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6"/>
  </bookViews>
  <sheets>
    <sheet name="총괄" sheetId="16" r:id="rId1"/>
    <sheet name="02" sheetId="1164" r:id="rId2"/>
    <sheet name="03" sheetId="1165" r:id="rId3"/>
    <sheet name="04" sheetId="1166" r:id="rId4"/>
    <sheet name="05" sheetId="1167" r:id="rId5"/>
    <sheet name="06" sheetId="1168" r:id="rId6"/>
    <sheet name="09" sheetId="1169" r:id="rId7"/>
    <sheet name="10" sheetId="1170" r:id="rId8"/>
    <sheet name="11" sheetId="1171" r:id="rId9"/>
    <sheet name="12" sheetId="1172" r:id="rId10"/>
    <sheet name="13" sheetId="1173" r:id="rId11"/>
    <sheet name="16" sheetId="1174" r:id="rId12"/>
    <sheet name="17" sheetId="1175" r:id="rId13"/>
    <sheet name="18" sheetId="1176" r:id="rId14"/>
    <sheet name="19" sheetId="1177" r:id="rId15"/>
    <sheet name="23" sheetId="1178" r:id="rId16"/>
    <sheet name="24" sheetId="1179" r:id="rId17"/>
    <sheet name="25" sheetId="1180" r:id="rId18"/>
    <sheet name="26" sheetId="1181" r:id="rId19"/>
    <sheet name="27" sheetId="1182" r:id="rId20"/>
    <sheet name="30" sheetId="1183" r:id="rId21"/>
  </sheets>
  <definedNames>
    <definedName name="_xlnm.Print_Area" localSheetId="1">'02'!$A$1:$AD$86</definedName>
    <definedName name="_xlnm.Print_Area" localSheetId="2">'03'!$A$1:$AD$87</definedName>
    <definedName name="_xlnm.Print_Area" localSheetId="3">'04'!$A$1:$AD$87</definedName>
    <definedName name="_xlnm.Print_Area" localSheetId="4">'05'!$A$1:$AD$89</definedName>
    <definedName name="_xlnm.Print_Area" localSheetId="5">'06'!$A$1:$AD$87</definedName>
    <definedName name="_xlnm.Print_Area" localSheetId="6">'09'!$A$1:$AD$86</definedName>
    <definedName name="_xlnm.Print_Area" localSheetId="7">'10'!$A$1:$AD$86</definedName>
    <definedName name="_xlnm.Print_Area" localSheetId="8">'11'!$A$1:$AD$87</definedName>
    <definedName name="_xlnm.Print_Area" localSheetId="9">'12'!$A$1:$AD$86</definedName>
    <definedName name="_xlnm.Print_Area" localSheetId="10">'13'!$A$1:$AD$88</definedName>
    <definedName name="_xlnm.Print_Area" localSheetId="11">'16'!$A$1:$AD$86</definedName>
    <definedName name="_xlnm.Print_Area" localSheetId="12">'17'!$A$1:$AD$86</definedName>
    <definedName name="_xlnm.Print_Area" localSheetId="13">'18'!$A$1:$AD$86</definedName>
    <definedName name="_xlnm.Print_Area" localSheetId="14">'19'!$A$1:$AD$86</definedName>
    <definedName name="_xlnm.Print_Area" localSheetId="15">'23'!$A$1:$AD$87</definedName>
    <definedName name="_xlnm.Print_Area" localSheetId="16">'24'!$A$1:$AD$87</definedName>
    <definedName name="_xlnm.Print_Area" localSheetId="17">'25'!$A$1:$AD$88</definedName>
    <definedName name="_xlnm.Print_Area" localSheetId="18">'26'!$A$1:$AD$88</definedName>
    <definedName name="_xlnm.Print_Area" localSheetId="19">'27'!$A$1:$AD$87</definedName>
    <definedName name="_xlnm.Print_Area" localSheetId="20">'30'!$A$1:$AD$86</definedName>
  </definedNames>
  <calcPr calcId="144525"/>
</workbook>
</file>

<file path=xl/calcChain.xml><?xml version="1.0" encoding="utf-8"?>
<calcChain xmlns="http://schemas.openxmlformats.org/spreadsheetml/2006/main">
  <c r="AE18" i="16" l="1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19" i="1183"/>
  <c r="K19" i="1183" s="1"/>
  <c r="L18" i="1183"/>
  <c r="K18" i="1183" s="1"/>
  <c r="L16" i="1183"/>
  <c r="L12" i="1183"/>
  <c r="L11" i="1183"/>
  <c r="K11" i="1183" s="1"/>
  <c r="L8" i="1183"/>
  <c r="O8" i="1183" s="1"/>
  <c r="L6" i="1183"/>
  <c r="K6" i="1183" s="1"/>
  <c r="K16" i="1183"/>
  <c r="K15" i="1183"/>
  <c r="K14" i="1183"/>
  <c r="K13" i="1183"/>
  <c r="K12" i="1183"/>
  <c r="K9" i="1183"/>
  <c r="A74" i="1183"/>
  <c r="A75" i="1183" s="1"/>
  <c r="A76" i="1183" s="1"/>
  <c r="A77" i="1183" s="1"/>
  <c r="A78" i="1183" s="1"/>
  <c r="A79" i="1183" s="1"/>
  <c r="A80" i="1183" s="1"/>
  <c r="A81" i="1183" s="1"/>
  <c r="AF60" i="1183"/>
  <c r="AF62" i="1183" s="1"/>
  <c r="AF59" i="1183"/>
  <c r="AA21" i="1183"/>
  <c r="Z21" i="1183"/>
  <c r="Y21" i="1183"/>
  <c r="X21" i="1183"/>
  <c r="W21" i="1183"/>
  <c r="V21" i="1183"/>
  <c r="U21" i="1183"/>
  <c r="T21" i="1183"/>
  <c r="S21" i="1183"/>
  <c r="R21" i="1183"/>
  <c r="N21" i="1183"/>
  <c r="J21" i="1183"/>
  <c r="I21" i="1183"/>
  <c r="AF20" i="1183"/>
  <c r="AB20" i="1183"/>
  <c r="Q20" i="1183"/>
  <c r="P20" i="1183"/>
  <c r="AC20" i="1183" s="1"/>
  <c r="O20" i="1183"/>
  <c r="M20" i="1183"/>
  <c r="K20" i="1183"/>
  <c r="AF19" i="1183"/>
  <c r="Q19" i="1183"/>
  <c r="P19" i="1183"/>
  <c r="AC19" i="1183" s="1"/>
  <c r="O19" i="1183"/>
  <c r="AF18" i="1183"/>
  <c r="AB18" i="1183"/>
  <c r="Q18" i="1183"/>
  <c r="P18" i="1183" s="1"/>
  <c r="AC18" i="1183" s="1"/>
  <c r="AD18" i="1183" s="1"/>
  <c r="O18" i="1183"/>
  <c r="M18" i="1183"/>
  <c r="AF17" i="1183"/>
  <c r="AB17" i="1183"/>
  <c r="Q17" i="1183"/>
  <c r="P17" i="1183"/>
  <c r="AC17" i="1183" s="1"/>
  <c r="O17" i="1183"/>
  <c r="M17" i="1183"/>
  <c r="K17" i="1183"/>
  <c r="AF16" i="1183"/>
  <c r="Q16" i="1183"/>
  <c r="P16" i="1183" s="1"/>
  <c r="AC16" i="1183" s="1"/>
  <c r="O16" i="1183"/>
  <c r="AF15" i="1183"/>
  <c r="AB15" i="1183"/>
  <c r="Q15" i="1183"/>
  <c r="P15" i="1183" s="1"/>
  <c r="AC15" i="1183" s="1"/>
  <c r="O15" i="1183"/>
  <c r="M15" i="1183"/>
  <c r="AF14" i="1183"/>
  <c r="AB14" i="1183"/>
  <c r="Q14" i="1183"/>
  <c r="P14" i="1183" s="1"/>
  <c r="AC14" i="1183" s="1"/>
  <c r="O14" i="1183"/>
  <c r="M14" i="1183"/>
  <c r="AF13" i="1183"/>
  <c r="Q13" i="1183"/>
  <c r="O13" i="1183"/>
  <c r="AB13" i="1183"/>
  <c r="AF12" i="1183"/>
  <c r="AB12" i="1183"/>
  <c r="Q12" i="1183"/>
  <c r="P12" i="1183" s="1"/>
  <c r="AC12" i="1183" s="1"/>
  <c r="M12" i="1183"/>
  <c r="O12" i="1183"/>
  <c r="AF11" i="1183"/>
  <c r="AB11" i="1183"/>
  <c r="Q11" i="1183"/>
  <c r="P11" i="1183" s="1"/>
  <c r="AC11" i="1183" s="1"/>
  <c r="O11" i="1183"/>
  <c r="M11" i="1183"/>
  <c r="AF10" i="1183"/>
  <c r="AB10" i="1183"/>
  <c r="Q10" i="1183"/>
  <c r="P10" i="1183"/>
  <c r="AC10" i="1183" s="1"/>
  <c r="O10" i="1183"/>
  <c r="M10" i="1183"/>
  <c r="K10" i="1183"/>
  <c r="AF9" i="1183"/>
  <c r="Q9" i="1183"/>
  <c r="P9" i="1183"/>
  <c r="AC9" i="1183" s="1"/>
  <c r="AF8" i="1183"/>
  <c r="Q8" i="1183"/>
  <c r="P8" i="1183" s="1"/>
  <c r="AC8" i="1183" s="1"/>
  <c r="AF7" i="1183"/>
  <c r="AC7" i="1183"/>
  <c r="AB7" i="1183"/>
  <c r="Q7" i="1183"/>
  <c r="P7" i="1183"/>
  <c r="O7" i="1183"/>
  <c r="M7" i="1183"/>
  <c r="K7" i="1183"/>
  <c r="AF6" i="1183"/>
  <c r="Q6" i="1183"/>
  <c r="AD20" i="1183" l="1"/>
  <c r="AD17" i="1183"/>
  <c r="Q21" i="1183"/>
  <c r="K8" i="1183"/>
  <c r="AB8" i="1183"/>
  <c r="AD8" i="1183" s="1"/>
  <c r="M8" i="1183"/>
  <c r="P6" i="1183"/>
  <c r="AD11" i="1183"/>
  <c r="AD15" i="1183"/>
  <c r="AD14" i="1183"/>
  <c r="AD7" i="1183"/>
  <c r="AD10" i="1183"/>
  <c r="AC6" i="1183"/>
  <c r="AD12" i="1183"/>
  <c r="M19" i="1183"/>
  <c r="AB19" i="1183"/>
  <c r="AD19" i="1183" s="1"/>
  <c r="M6" i="1183"/>
  <c r="AB6" i="1183"/>
  <c r="M9" i="1183"/>
  <c r="AB9" i="1183"/>
  <c r="P13" i="1183"/>
  <c r="AC13" i="1183" s="1"/>
  <c r="AD13" i="1183" s="1"/>
  <c r="M16" i="1183"/>
  <c r="AB16" i="1183"/>
  <c r="AD16" i="1183" s="1"/>
  <c r="L21" i="1183"/>
  <c r="O21" i="1183" s="1"/>
  <c r="O6" i="1183"/>
  <c r="O9" i="1183"/>
  <c r="M13" i="1183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1182"/>
  <c r="L17" i="1182"/>
  <c r="K17" i="1182" s="1"/>
  <c r="AF17" i="1182"/>
  <c r="AB17" i="1182"/>
  <c r="Q17" i="1182"/>
  <c r="M17" i="1182"/>
  <c r="L16" i="1182"/>
  <c r="O16" i="1182" s="1"/>
  <c r="AF16" i="1182"/>
  <c r="Q16" i="1182"/>
  <c r="M16" i="1182"/>
  <c r="K14" i="1182"/>
  <c r="L13" i="1182"/>
  <c r="L12" i="1182"/>
  <c r="K12" i="1182" s="1"/>
  <c r="K10" i="1182"/>
  <c r="L9" i="1182"/>
  <c r="K9" i="1182" s="1"/>
  <c r="L8" i="1182"/>
  <c r="L6" i="1182"/>
  <c r="O6" i="1182" s="1"/>
  <c r="AF6" i="1182"/>
  <c r="Q6" i="1182"/>
  <c r="P6" i="1182" s="1"/>
  <c r="AC6" i="1182" s="1"/>
  <c r="M6" i="1182"/>
  <c r="K20" i="1182"/>
  <c r="K19" i="1182"/>
  <c r="K15" i="1182"/>
  <c r="K13" i="1182"/>
  <c r="K11" i="1182"/>
  <c r="K8" i="1182"/>
  <c r="A75" i="1182"/>
  <c r="A76" i="1182" s="1"/>
  <c r="A77" i="1182" s="1"/>
  <c r="A78" i="1182" s="1"/>
  <c r="A79" i="1182" s="1"/>
  <c r="A80" i="1182" s="1"/>
  <c r="A81" i="1182" s="1"/>
  <c r="A82" i="1182" s="1"/>
  <c r="AF61" i="1182"/>
  <c r="AF60" i="1182"/>
  <c r="AA22" i="1182"/>
  <c r="Z22" i="1182"/>
  <c r="Y22" i="1182"/>
  <c r="X22" i="1182"/>
  <c r="W22" i="1182"/>
  <c r="V22" i="1182"/>
  <c r="U22" i="1182"/>
  <c r="T22" i="1182"/>
  <c r="S22" i="1182"/>
  <c r="R22" i="1182"/>
  <c r="N22" i="1182"/>
  <c r="J22" i="1182"/>
  <c r="I22" i="1182"/>
  <c r="AF21" i="1182"/>
  <c r="AB21" i="1182"/>
  <c r="Q21" i="1182"/>
  <c r="P21" i="1182"/>
  <c r="AC21" i="1182" s="1"/>
  <c r="O21" i="1182"/>
  <c r="M21" i="1182"/>
  <c r="K21" i="1182"/>
  <c r="AF20" i="1182"/>
  <c r="Q20" i="1182"/>
  <c r="P20" i="1182"/>
  <c r="AC20" i="1182" s="1"/>
  <c r="AF19" i="1182"/>
  <c r="Q19" i="1182"/>
  <c r="P19" i="1182" s="1"/>
  <c r="AC19" i="1182" s="1"/>
  <c r="O19" i="1182"/>
  <c r="AF18" i="1182"/>
  <c r="AB18" i="1182"/>
  <c r="Q18" i="1182"/>
  <c r="P18" i="1182"/>
  <c r="AC18" i="1182" s="1"/>
  <c r="O18" i="1182"/>
  <c r="M18" i="1182"/>
  <c r="K18" i="1182"/>
  <c r="AF15" i="1182"/>
  <c r="AB15" i="1182"/>
  <c r="Q15" i="1182"/>
  <c r="P15" i="1182" s="1"/>
  <c r="AC15" i="1182" s="1"/>
  <c r="O15" i="1182"/>
  <c r="M15" i="1182"/>
  <c r="AF14" i="1182"/>
  <c r="AB14" i="1182"/>
  <c r="Q14" i="1182"/>
  <c r="P14" i="1182" s="1"/>
  <c r="AC14" i="1182" s="1"/>
  <c r="O14" i="1182"/>
  <c r="M14" i="1182"/>
  <c r="AF13" i="1182"/>
  <c r="Q13" i="1182"/>
  <c r="P13" i="1182" s="1"/>
  <c r="AC13" i="1182" s="1"/>
  <c r="O13" i="1182"/>
  <c r="AF12" i="1182"/>
  <c r="Q12" i="1182"/>
  <c r="P12" i="1182" s="1"/>
  <c r="AC12" i="1182" s="1"/>
  <c r="O12" i="1182"/>
  <c r="AB12" i="1182"/>
  <c r="AF11" i="1182"/>
  <c r="AB11" i="1182"/>
  <c r="Q11" i="1182"/>
  <c r="P11" i="1182"/>
  <c r="AC11" i="1182" s="1"/>
  <c r="O11" i="1182"/>
  <c r="M11" i="1182"/>
  <c r="AF10" i="1182"/>
  <c r="AB10" i="1182"/>
  <c r="Q10" i="1182"/>
  <c r="P10" i="1182"/>
  <c r="AC10" i="1182" s="1"/>
  <c r="O10" i="1182"/>
  <c r="M10" i="1182"/>
  <c r="AF9" i="1182"/>
  <c r="AB9" i="1182"/>
  <c r="Q9" i="1182"/>
  <c r="P9" i="1182" s="1"/>
  <c r="AC9" i="1182" s="1"/>
  <c r="O9" i="1182"/>
  <c r="M9" i="1182"/>
  <c r="AF8" i="1182"/>
  <c r="Q8" i="1182"/>
  <c r="L22" i="1182"/>
  <c r="O22" i="1182" s="1"/>
  <c r="AF7" i="1182"/>
  <c r="AB7" i="1182"/>
  <c r="Q7" i="1182"/>
  <c r="P7" i="1182"/>
  <c r="AC7" i="1182" s="1"/>
  <c r="O7" i="1182"/>
  <c r="M7" i="1182"/>
  <c r="K7" i="1182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1" i="1181"/>
  <c r="K21" i="1181" s="1"/>
  <c r="L20" i="1181"/>
  <c r="K20" i="1181" s="1"/>
  <c r="L18" i="1181"/>
  <c r="K18" i="1181" s="1"/>
  <c r="K17" i="1181"/>
  <c r="L15" i="1181"/>
  <c r="K15" i="1181" s="1"/>
  <c r="L14" i="1181"/>
  <c r="K14" i="1181" s="1"/>
  <c r="AF13" i="1181"/>
  <c r="AB13" i="1181"/>
  <c r="Q13" i="1181"/>
  <c r="P13" i="1181" s="1"/>
  <c r="AC13" i="1181" s="1"/>
  <c r="O13" i="1181"/>
  <c r="M13" i="1181"/>
  <c r="K13" i="1181"/>
  <c r="L10" i="1181"/>
  <c r="M10" i="1181" s="1"/>
  <c r="AF10" i="1181"/>
  <c r="Q10" i="1181"/>
  <c r="K9" i="1181"/>
  <c r="L8" i="1181"/>
  <c r="K8" i="1181" s="1"/>
  <c r="K19" i="1181"/>
  <c r="K12" i="1181"/>
  <c r="K7" i="1181"/>
  <c r="K6" i="1181"/>
  <c r="A76" i="1181"/>
  <c r="A77" i="1181" s="1"/>
  <c r="A78" i="1181" s="1"/>
  <c r="A79" i="1181" s="1"/>
  <c r="A80" i="1181" s="1"/>
  <c r="A81" i="1181" s="1"/>
  <c r="A82" i="1181" s="1"/>
  <c r="A83" i="1181" s="1"/>
  <c r="AF62" i="1181"/>
  <c r="AF61" i="1181"/>
  <c r="AF64" i="1181" s="1"/>
  <c r="AA23" i="1181"/>
  <c r="Z23" i="1181"/>
  <c r="Y23" i="1181"/>
  <c r="X23" i="1181"/>
  <c r="W23" i="1181"/>
  <c r="V23" i="1181"/>
  <c r="U23" i="1181"/>
  <c r="T23" i="1181"/>
  <c r="S23" i="1181"/>
  <c r="R23" i="1181"/>
  <c r="N23" i="1181"/>
  <c r="J23" i="1181"/>
  <c r="I23" i="1181"/>
  <c r="AF22" i="1181"/>
  <c r="AB22" i="1181"/>
  <c r="Q22" i="1181"/>
  <c r="P22" i="1181"/>
  <c r="AC22" i="1181" s="1"/>
  <c r="O22" i="1181"/>
  <c r="M22" i="1181"/>
  <c r="K22" i="1181"/>
  <c r="AF21" i="1181"/>
  <c r="Q21" i="1181"/>
  <c r="P21" i="1181" s="1"/>
  <c r="AC21" i="1181" s="1"/>
  <c r="AF20" i="1181"/>
  <c r="AB20" i="1181"/>
  <c r="Q20" i="1181"/>
  <c r="P20" i="1181" s="1"/>
  <c r="AC20" i="1181" s="1"/>
  <c r="O20" i="1181"/>
  <c r="M20" i="1181"/>
  <c r="AF19" i="1181"/>
  <c r="AB19" i="1181"/>
  <c r="Q19" i="1181"/>
  <c r="P19" i="1181"/>
  <c r="AC19" i="1181" s="1"/>
  <c r="O19" i="1181"/>
  <c r="M19" i="1181"/>
  <c r="AF18" i="1181"/>
  <c r="AB18" i="1181"/>
  <c r="Q18" i="1181"/>
  <c r="M18" i="1181"/>
  <c r="AF17" i="1181"/>
  <c r="AB17" i="1181"/>
  <c r="Q17" i="1181"/>
  <c r="P17" i="1181" s="1"/>
  <c r="AC17" i="1181" s="1"/>
  <c r="O17" i="1181"/>
  <c r="M17" i="1181"/>
  <c r="AF16" i="1181"/>
  <c r="AC16" i="1181"/>
  <c r="AB16" i="1181"/>
  <c r="Q16" i="1181"/>
  <c r="P16" i="1181"/>
  <c r="O16" i="1181"/>
  <c r="M16" i="1181"/>
  <c r="K16" i="1181"/>
  <c r="AF15" i="1181"/>
  <c r="Q15" i="1181"/>
  <c r="AB15" i="1181"/>
  <c r="AF14" i="1181"/>
  <c r="AB14" i="1181"/>
  <c r="Q14" i="1181"/>
  <c r="P14" i="1181" s="1"/>
  <c r="AC14" i="1181" s="1"/>
  <c r="M14" i="1181"/>
  <c r="AF12" i="1181"/>
  <c r="Q12" i="1181"/>
  <c r="M12" i="1181"/>
  <c r="AF11" i="1181"/>
  <c r="AB11" i="1181"/>
  <c r="Q11" i="1181"/>
  <c r="P11" i="1181"/>
  <c r="AC11" i="1181" s="1"/>
  <c r="O11" i="1181"/>
  <c r="M11" i="1181"/>
  <c r="K11" i="1181"/>
  <c r="AF9" i="1181"/>
  <c r="Q9" i="1181"/>
  <c r="AB9" i="1181"/>
  <c r="AF8" i="1181"/>
  <c r="Q8" i="1181"/>
  <c r="M8" i="1181"/>
  <c r="AF7" i="1181"/>
  <c r="Q7" i="1181"/>
  <c r="P7" i="1181"/>
  <c r="AC7" i="1181" s="1"/>
  <c r="O7" i="1181"/>
  <c r="AB7" i="1181"/>
  <c r="AF6" i="1181"/>
  <c r="AB6" i="1181"/>
  <c r="Q6" i="1181"/>
  <c r="O6" i="1181"/>
  <c r="M6" i="1181"/>
  <c r="AD9" i="1183" l="1"/>
  <c r="AB21" i="1183"/>
  <c r="M21" i="1183"/>
  <c r="K21" i="1183"/>
  <c r="P21" i="1183"/>
  <c r="AC21" i="1183"/>
  <c r="AD6" i="1183"/>
  <c r="AD21" i="1183" s="1"/>
  <c r="P17" i="1182"/>
  <c r="AC17" i="1182" s="1"/>
  <c r="AF63" i="1182"/>
  <c r="P16" i="1182"/>
  <c r="AC16" i="1182" s="1"/>
  <c r="AD16" i="1182" s="1"/>
  <c r="K16" i="1182"/>
  <c r="AB16" i="1182"/>
  <c r="O17" i="1182"/>
  <c r="AD17" i="1182" s="1"/>
  <c r="Q22" i="1182"/>
  <c r="AD7" i="1182"/>
  <c r="AD11" i="1182"/>
  <c r="AD15" i="1182"/>
  <c r="AB6" i="1182"/>
  <c r="AD6" i="1182" s="1"/>
  <c r="AD9" i="1182"/>
  <c r="K6" i="1182"/>
  <c r="K22" i="1182" s="1"/>
  <c r="AD14" i="1182"/>
  <c r="AD10" i="1182"/>
  <c r="AD18" i="1182"/>
  <c r="AD21" i="1182"/>
  <c r="AD12" i="1182"/>
  <c r="M8" i="1182"/>
  <c r="AB8" i="1182"/>
  <c r="M20" i="1182"/>
  <c r="AB20" i="1182"/>
  <c r="O8" i="1182"/>
  <c r="M13" i="1182"/>
  <c r="AB13" i="1182"/>
  <c r="AD13" i="1182" s="1"/>
  <c r="M19" i="1182"/>
  <c r="AB19" i="1182"/>
  <c r="AD19" i="1182" s="1"/>
  <c r="O20" i="1182"/>
  <c r="P8" i="1182"/>
  <c r="AC8" i="1182" s="1"/>
  <c r="M12" i="1182"/>
  <c r="P18" i="1181"/>
  <c r="AC18" i="1181" s="1"/>
  <c r="AD13" i="1181"/>
  <c r="P10" i="1181"/>
  <c r="AC10" i="1181" s="1"/>
  <c r="L23" i="1181"/>
  <c r="O23" i="1181" s="1"/>
  <c r="K10" i="1181"/>
  <c r="AB10" i="1181"/>
  <c r="O10" i="1181"/>
  <c r="AD19" i="1181"/>
  <c r="Q23" i="1181"/>
  <c r="P6" i="1181"/>
  <c r="AC6" i="1181" s="1"/>
  <c r="AD6" i="1181" s="1"/>
  <c r="AD20" i="1181"/>
  <c r="AD16" i="1181"/>
  <c r="AD11" i="1181"/>
  <c r="AD17" i="1181"/>
  <c r="AD22" i="1181"/>
  <c r="AD7" i="1181"/>
  <c r="M9" i="1181"/>
  <c r="AB8" i="1181"/>
  <c r="O9" i="1181"/>
  <c r="AB12" i="1181"/>
  <c r="O14" i="1181"/>
  <c r="AD14" i="1181" s="1"/>
  <c r="M15" i="1181"/>
  <c r="O18" i="1181"/>
  <c r="M7" i="1181"/>
  <c r="O8" i="1181"/>
  <c r="K23" i="1181"/>
  <c r="P9" i="1181"/>
  <c r="AC9" i="1181" s="1"/>
  <c r="AD9" i="1181" s="1"/>
  <c r="O12" i="1181"/>
  <c r="O15" i="1181"/>
  <c r="M21" i="1181"/>
  <c r="AB21" i="1181"/>
  <c r="P8" i="1181"/>
  <c r="AC8" i="1181" s="1"/>
  <c r="P12" i="1181"/>
  <c r="AC12" i="1181" s="1"/>
  <c r="AD12" i="1181" s="1"/>
  <c r="P15" i="1181"/>
  <c r="AC15" i="1181" s="1"/>
  <c r="O21" i="1181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180"/>
  <c r="K20" i="1180"/>
  <c r="AF20" i="1180"/>
  <c r="AB20" i="1180"/>
  <c r="Q20" i="1180"/>
  <c r="P20" i="1180" s="1"/>
  <c r="AC20" i="1180" s="1"/>
  <c r="O20" i="1180"/>
  <c r="M20" i="1180"/>
  <c r="L18" i="1180"/>
  <c r="K18" i="1180" s="1"/>
  <c r="L17" i="1180"/>
  <c r="L14" i="1180"/>
  <c r="K14" i="1180"/>
  <c r="K13" i="1180"/>
  <c r="AF13" i="1180"/>
  <c r="Q13" i="1180"/>
  <c r="AB13" i="1180"/>
  <c r="L12" i="1180"/>
  <c r="K12" i="1180" s="1"/>
  <c r="L11" i="1180"/>
  <c r="K11" i="1180" s="1"/>
  <c r="L9" i="1180"/>
  <c r="K9" i="1180" s="1"/>
  <c r="L8" i="1180"/>
  <c r="L7" i="1180"/>
  <c r="K7" i="1180"/>
  <c r="L6" i="1180"/>
  <c r="K21" i="1180"/>
  <c r="K19" i="1180"/>
  <c r="K17" i="1180"/>
  <c r="K16" i="1180"/>
  <c r="K6" i="1180"/>
  <c r="A76" i="1180"/>
  <c r="A77" i="1180" s="1"/>
  <c r="A78" i="1180" s="1"/>
  <c r="A79" i="1180" s="1"/>
  <c r="A80" i="1180" s="1"/>
  <c r="A81" i="1180" s="1"/>
  <c r="A82" i="1180" s="1"/>
  <c r="A83" i="1180" s="1"/>
  <c r="AF62" i="1180"/>
  <c r="AF64" i="1180" s="1"/>
  <c r="AF61" i="1180"/>
  <c r="AA23" i="1180"/>
  <c r="Z23" i="1180"/>
  <c r="Y23" i="1180"/>
  <c r="X23" i="1180"/>
  <c r="W23" i="1180"/>
  <c r="V23" i="1180"/>
  <c r="U23" i="1180"/>
  <c r="T23" i="1180"/>
  <c r="S23" i="1180"/>
  <c r="R23" i="1180"/>
  <c r="N23" i="1180"/>
  <c r="J23" i="1180"/>
  <c r="I23" i="1180"/>
  <c r="AF22" i="1180"/>
  <c r="AB22" i="1180"/>
  <c r="Q22" i="1180"/>
  <c r="P22" i="1180"/>
  <c r="AC22" i="1180" s="1"/>
  <c r="AD22" i="1180" s="1"/>
  <c r="O22" i="1180"/>
  <c r="M22" i="1180"/>
  <c r="K22" i="1180"/>
  <c r="AF21" i="1180"/>
  <c r="AB21" i="1180"/>
  <c r="Q21" i="1180"/>
  <c r="P21" i="1180" s="1"/>
  <c r="AC21" i="1180" s="1"/>
  <c r="AD21" i="1180" s="1"/>
  <c r="AE11" i="1180" s="1"/>
  <c r="M21" i="1180"/>
  <c r="O21" i="1180"/>
  <c r="AF19" i="1180"/>
  <c r="Q19" i="1180"/>
  <c r="P19" i="1180"/>
  <c r="AC19" i="1180" s="1"/>
  <c r="AF18" i="1180"/>
  <c r="AB18" i="1180"/>
  <c r="Q18" i="1180"/>
  <c r="P18" i="1180"/>
  <c r="AC18" i="1180" s="1"/>
  <c r="O18" i="1180"/>
  <c r="M18" i="1180"/>
  <c r="AF17" i="1180"/>
  <c r="AB17" i="1180"/>
  <c r="Q17" i="1180"/>
  <c r="P17" i="1180" s="1"/>
  <c r="AC17" i="1180" s="1"/>
  <c r="M17" i="1180"/>
  <c r="O17" i="1180"/>
  <c r="AF16" i="1180"/>
  <c r="AB16" i="1180"/>
  <c r="Q16" i="1180"/>
  <c r="P16" i="1180" s="1"/>
  <c r="AC16" i="1180" s="1"/>
  <c r="O16" i="1180"/>
  <c r="M16" i="1180"/>
  <c r="AF15" i="1180"/>
  <c r="AC15" i="1180"/>
  <c r="AB15" i="1180"/>
  <c r="Q15" i="1180"/>
  <c r="P15" i="1180"/>
  <c r="O15" i="1180"/>
  <c r="M15" i="1180"/>
  <c r="K15" i="1180"/>
  <c r="AF14" i="1180"/>
  <c r="AB14" i="1180"/>
  <c r="Q14" i="1180"/>
  <c r="P14" i="1180" s="1"/>
  <c r="AC14" i="1180" s="1"/>
  <c r="O14" i="1180"/>
  <c r="M14" i="1180"/>
  <c r="AF12" i="1180"/>
  <c r="AB12" i="1180"/>
  <c r="Q12" i="1180"/>
  <c r="P12" i="1180" s="1"/>
  <c r="AC12" i="1180" s="1"/>
  <c r="O12" i="1180"/>
  <c r="M12" i="1180"/>
  <c r="AF11" i="1180"/>
  <c r="Q11" i="1180"/>
  <c r="P11" i="1180" s="1"/>
  <c r="AC11" i="1180" s="1"/>
  <c r="AF10" i="1180"/>
  <c r="AB10" i="1180"/>
  <c r="Q10" i="1180"/>
  <c r="P10" i="1180"/>
  <c r="AC10" i="1180" s="1"/>
  <c r="O10" i="1180"/>
  <c r="M10" i="1180"/>
  <c r="K10" i="1180"/>
  <c r="AF9" i="1180"/>
  <c r="AB9" i="1180"/>
  <c r="Q9" i="1180"/>
  <c r="P9" i="1180" s="1"/>
  <c r="AC9" i="1180" s="1"/>
  <c r="M9" i="1180"/>
  <c r="O9" i="1180"/>
  <c r="AF8" i="1180"/>
  <c r="Q8" i="1180"/>
  <c r="AF7" i="1180"/>
  <c r="AB7" i="1180"/>
  <c r="Q7" i="1180"/>
  <c r="P7" i="1180" s="1"/>
  <c r="AC7" i="1180" s="1"/>
  <c r="O7" i="1180"/>
  <c r="M7" i="1180"/>
  <c r="AF6" i="1180"/>
  <c r="AB6" i="1180"/>
  <c r="Q6" i="1180"/>
  <c r="O6" i="1180"/>
  <c r="M6" i="1180"/>
  <c r="AE19" i="1183" l="1"/>
  <c r="AE12" i="1183"/>
  <c r="AE17" i="1183"/>
  <c r="AE13" i="1183"/>
  <c r="AE10" i="1183"/>
  <c r="AE7" i="1183"/>
  <c r="AE9" i="1183"/>
  <c r="AE20" i="1183"/>
  <c r="AE15" i="1183"/>
  <c r="AE8" i="1183"/>
  <c r="AE16" i="1183"/>
  <c r="AE14" i="1183"/>
  <c r="AE11" i="1183"/>
  <c r="AE6" i="1183"/>
  <c r="AE18" i="1183"/>
  <c r="AD20" i="1182"/>
  <c r="AB22" i="1182"/>
  <c r="AD8" i="1182"/>
  <c r="M22" i="1182"/>
  <c r="P22" i="1182"/>
  <c r="AD18" i="1181"/>
  <c r="AD10" i="1181"/>
  <c r="M23" i="1181"/>
  <c r="AB23" i="1181"/>
  <c r="AD21" i="1181"/>
  <c r="AE12" i="1181" s="1"/>
  <c r="AD15" i="1181"/>
  <c r="P23" i="1181"/>
  <c r="AD8" i="1181"/>
  <c r="AC23" i="1181"/>
  <c r="AD17" i="1180"/>
  <c r="AD20" i="1180"/>
  <c r="AD16" i="1180"/>
  <c r="AD18" i="1180"/>
  <c r="AD14" i="1180"/>
  <c r="O13" i="1180"/>
  <c r="P8" i="1180"/>
  <c r="AC8" i="1180" s="1"/>
  <c r="P13" i="1180"/>
  <c r="AC13" i="1180" s="1"/>
  <c r="AD13" i="1180" s="1"/>
  <c r="M13" i="1180"/>
  <c r="AD12" i="1180"/>
  <c r="AD9" i="1180"/>
  <c r="L23" i="1180"/>
  <c r="O23" i="1180" s="1"/>
  <c r="K8" i="1180"/>
  <c r="K23" i="1180" s="1"/>
  <c r="Q23" i="1180"/>
  <c r="P6" i="1180"/>
  <c r="AC6" i="1180" s="1"/>
  <c r="AC23" i="1180" s="1"/>
  <c r="AD7" i="1180"/>
  <c r="AD10" i="1180"/>
  <c r="AD15" i="1180"/>
  <c r="M8" i="1180"/>
  <c r="AB8" i="1180"/>
  <c r="M11" i="1180"/>
  <c r="AB11" i="1180"/>
  <c r="M19" i="1180"/>
  <c r="AB19" i="1180"/>
  <c r="O8" i="1180"/>
  <c r="AD8" i="1180" s="1"/>
  <c r="O11" i="1180"/>
  <c r="O19" i="1180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179"/>
  <c r="L19" i="1179"/>
  <c r="K19" i="1179" s="1"/>
  <c r="L17" i="1179"/>
  <c r="K17" i="1179" s="1"/>
  <c r="L12" i="1179"/>
  <c r="K12" i="1179" s="1"/>
  <c r="AF12" i="1179"/>
  <c r="AB12" i="1179"/>
  <c r="Q12" i="1179"/>
  <c r="P12" i="1179" s="1"/>
  <c r="AC12" i="1179" s="1"/>
  <c r="M12" i="1179"/>
  <c r="O12" i="1179"/>
  <c r="L10" i="1179"/>
  <c r="L9" i="1179"/>
  <c r="K9" i="1179" s="1"/>
  <c r="AF9" i="1179"/>
  <c r="Q9" i="1179"/>
  <c r="L6" i="1179"/>
  <c r="K6" i="1179" s="1"/>
  <c r="K20" i="1179"/>
  <c r="K18" i="1179"/>
  <c r="K16" i="1179"/>
  <c r="K8" i="1179"/>
  <c r="A75" i="1179"/>
  <c r="A76" i="1179" s="1"/>
  <c r="A77" i="1179" s="1"/>
  <c r="A78" i="1179" s="1"/>
  <c r="A79" i="1179" s="1"/>
  <c r="A80" i="1179" s="1"/>
  <c r="A81" i="1179" s="1"/>
  <c r="A82" i="1179" s="1"/>
  <c r="AF61" i="1179"/>
  <c r="AF60" i="1179"/>
  <c r="AF63" i="1179" s="1"/>
  <c r="AA22" i="1179"/>
  <c r="Z22" i="1179"/>
  <c r="Y22" i="1179"/>
  <c r="X22" i="1179"/>
  <c r="W22" i="1179"/>
  <c r="V22" i="1179"/>
  <c r="U22" i="1179"/>
  <c r="T22" i="1179"/>
  <c r="S22" i="1179"/>
  <c r="R22" i="1179"/>
  <c r="N22" i="1179"/>
  <c r="J22" i="1179"/>
  <c r="I22" i="1179"/>
  <c r="AF21" i="1179"/>
  <c r="AB21" i="1179"/>
  <c r="Q21" i="1179"/>
  <c r="P21" i="1179"/>
  <c r="AC21" i="1179" s="1"/>
  <c r="O21" i="1179"/>
  <c r="M21" i="1179"/>
  <c r="K21" i="1179"/>
  <c r="AF20" i="1179"/>
  <c r="Q20" i="1179"/>
  <c r="P20" i="1179" s="1"/>
  <c r="AC20" i="1179" s="1"/>
  <c r="O20" i="1179"/>
  <c r="AB20" i="1179"/>
  <c r="AF19" i="1179"/>
  <c r="Q19" i="1179"/>
  <c r="M19" i="1179"/>
  <c r="O19" i="1179"/>
  <c r="AF18" i="1179"/>
  <c r="Q18" i="1179"/>
  <c r="AB18" i="1179"/>
  <c r="AF17" i="1179"/>
  <c r="Q17" i="1179"/>
  <c r="O17" i="1179"/>
  <c r="AB17" i="1179"/>
  <c r="AF16" i="1179"/>
  <c r="AB16" i="1179"/>
  <c r="Q16" i="1179"/>
  <c r="P16" i="1179"/>
  <c r="AC16" i="1179" s="1"/>
  <c r="O16" i="1179"/>
  <c r="M16" i="1179"/>
  <c r="AF15" i="1179"/>
  <c r="AB15" i="1179"/>
  <c r="Q15" i="1179"/>
  <c r="P15" i="1179"/>
  <c r="AC15" i="1179" s="1"/>
  <c r="O15" i="1179"/>
  <c r="M15" i="1179"/>
  <c r="K15" i="1179"/>
  <c r="AF14" i="1179"/>
  <c r="AB14" i="1179"/>
  <c r="Q14" i="1179"/>
  <c r="P14" i="1179"/>
  <c r="AC14" i="1179" s="1"/>
  <c r="O14" i="1179"/>
  <c r="M14" i="1179"/>
  <c r="K14" i="1179"/>
  <c r="AF13" i="1179"/>
  <c r="AB13" i="1179"/>
  <c r="Q13" i="1179"/>
  <c r="P13" i="1179"/>
  <c r="AC13" i="1179" s="1"/>
  <c r="O13" i="1179"/>
  <c r="M13" i="1179"/>
  <c r="K13" i="1179"/>
  <c r="AF11" i="1179"/>
  <c r="AB11" i="1179"/>
  <c r="Q11" i="1179"/>
  <c r="P11" i="1179"/>
  <c r="AC11" i="1179" s="1"/>
  <c r="O11" i="1179"/>
  <c r="M11" i="1179"/>
  <c r="K11" i="1179"/>
  <c r="AF10" i="1179"/>
  <c r="AB10" i="1179"/>
  <c r="Q10" i="1179"/>
  <c r="AF8" i="1179"/>
  <c r="Q8" i="1179"/>
  <c r="P8" i="1179" s="1"/>
  <c r="AC8" i="1179" s="1"/>
  <c r="AF7" i="1179"/>
  <c r="AB7" i="1179"/>
  <c r="Q7" i="1179"/>
  <c r="P7" i="1179"/>
  <c r="AC7" i="1179" s="1"/>
  <c r="O7" i="1179"/>
  <c r="M7" i="1179"/>
  <c r="K7" i="1179"/>
  <c r="AF6" i="1179"/>
  <c r="AB6" i="1179"/>
  <c r="Q6" i="1179"/>
  <c r="M6" i="1179"/>
  <c r="AC22" i="1182" l="1"/>
  <c r="AD22" i="1182"/>
  <c r="AD23" i="1181"/>
  <c r="AE13" i="1181" s="1"/>
  <c r="AD6" i="1180"/>
  <c r="AD19" i="1180"/>
  <c r="M23" i="1180"/>
  <c r="P23" i="1180"/>
  <c r="AB23" i="1180"/>
  <c r="AD11" i="1180"/>
  <c r="AD23" i="1180" s="1"/>
  <c r="P17" i="1179"/>
  <c r="AC17" i="1179" s="1"/>
  <c r="AB19" i="1179"/>
  <c r="AD12" i="1179"/>
  <c r="L22" i="1179"/>
  <c r="O22" i="1179" s="1"/>
  <c r="P10" i="1179"/>
  <c r="AC10" i="1179" s="1"/>
  <c r="K10" i="1179"/>
  <c r="M10" i="1179"/>
  <c r="M9" i="1179"/>
  <c r="AB9" i="1179"/>
  <c r="O9" i="1179"/>
  <c r="P9" i="1179"/>
  <c r="AC9" i="1179" s="1"/>
  <c r="AD9" i="1179" s="1"/>
  <c r="AD13" i="1179"/>
  <c r="AD16" i="1179"/>
  <c r="AD14" i="1179"/>
  <c r="Q22" i="1179"/>
  <c r="AD11" i="1179"/>
  <c r="AD7" i="1179"/>
  <c r="AD21" i="1179"/>
  <c r="AD15" i="1179"/>
  <c r="AD20" i="1179"/>
  <c r="AE12" i="1179" s="1"/>
  <c r="AD17" i="1179"/>
  <c r="O6" i="1179"/>
  <c r="M8" i="1179"/>
  <c r="AB8" i="1179"/>
  <c r="O10" i="1179"/>
  <c r="M17" i="1179"/>
  <c r="O18" i="1179"/>
  <c r="P19" i="1179"/>
  <c r="AC19" i="1179" s="1"/>
  <c r="M20" i="1179"/>
  <c r="P6" i="1179"/>
  <c r="O8" i="1179"/>
  <c r="P18" i="1179"/>
  <c r="AC18" i="1179" s="1"/>
  <c r="M18" i="1179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0" i="1178"/>
  <c r="K20" i="1178" s="1"/>
  <c r="AF19" i="1178"/>
  <c r="Q19" i="1178"/>
  <c r="L19" i="1178"/>
  <c r="P19" i="1178" s="1"/>
  <c r="AC19" i="1178" s="1"/>
  <c r="L18" i="1178"/>
  <c r="K18" i="1178" s="1"/>
  <c r="L17" i="1178"/>
  <c r="L16" i="1178"/>
  <c r="K16" i="1178" s="1"/>
  <c r="L15" i="1178"/>
  <c r="L11" i="1178"/>
  <c r="K11" i="1178" s="1"/>
  <c r="L9" i="1178"/>
  <c r="K9" i="1178" s="1"/>
  <c r="L8" i="1178"/>
  <c r="L6" i="1178"/>
  <c r="K6" i="1178" s="1"/>
  <c r="AE17" i="1182" l="1"/>
  <c r="AE6" i="1182"/>
  <c r="AE16" i="1182"/>
  <c r="AE20" i="1182"/>
  <c r="AE8" i="1182"/>
  <c r="AE14" i="1182"/>
  <c r="AE11" i="1182"/>
  <c r="AE10" i="1182"/>
  <c r="AE21" i="1182"/>
  <c r="AE18" i="1182"/>
  <c r="AE12" i="1182"/>
  <c r="AE9" i="1182"/>
  <c r="AE19" i="1182"/>
  <c r="AE15" i="1182"/>
  <c r="AE13" i="1182"/>
  <c r="AE7" i="1182"/>
  <c r="AE8" i="1181"/>
  <c r="AE9" i="1181"/>
  <c r="AE6" i="1181"/>
  <c r="AE17" i="1181"/>
  <c r="AE10" i="1181"/>
  <c r="AE11" i="1181"/>
  <c r="AE19" i="1181"/>
  <c r="AE18" i="1181"/>
  <c r="AE15" i="1181"/>
  <c r="AE7" i="1181"/>
  <c r="AE16" i="1181"/>
  <c r="AE14" i="1181"/>
  <c r="AE20" i="1181"/>
  <c r="AE21" i="1181"/>
  <c r="AE22" i="1181"/>
  <c r="AE13" i="1180"/>
  <c r="AE20" i="1180"/>
  <c r="AE21" i="1180"/>
  <c r="AE17" i="1180"/>
  <c r="AE9" i="1180"/>
  <c r="AE7" i="1180"/>
  <c r="AE15" i="1180"/>
  <c r="AE12" i="1180"/>
  <c r="AE14" i="1180"/>
  <c r="AE22" i="1180"/>
  <c r="AE18" i="1180"/>
  <c r="AE10" i="1180"/>
  <c r="AE6" i="1180"/>
  <c r="AE19" i="1180"/>
  <c r="AE16" i="1180"/>
  <c r="AE8" i="1180"/>
  <c r="AD19" i="1179"/>
  <c r="AD10" i="1179"/>
  <c r="AD8" i="1179"/>
  <c r="AD18" i="1179"/>
  <c r="M22" i="1179"/>
  <c r="P22" i="1179"/>
  <c r="AC6" i="1179"/>
  <c r="AB22" i="1179"/>
  <c r="K22" i="1179"/>
  <c r="M19" i="1178"/>
  <c r="O19" i="1178"/>
  <c r="AD19" i="1178" s="1"/>
  <c r="AB19" i="1178"/>
  <c r="K19" i="1178"/>
  <c r="K17" i="1178"/>
  <c r="K15" i="1178"/>
  <c r="K13" i="1178"/>
  <c r="K8" i="1178"/>
  <c r="A76" i="1178"/>
  <c r="A77" i="1178" s="1"/>
  <c r="A78" i="1178" s="1"/>
  <c r="A79" i="1178" s="1"/>
  <c r="A80" i="1178" s="1"/>
  <c r="A81" i="1178" s="1"/>
  <c r="A82" i="1178" s="1"/>
  <c r="A75" i="1178"/>
  <c r="AF61" i="1178"/>
  <c r="AF60" i="1178"/>
  <c r="AF63" i="1178" s="1"/>
  <c r="AA22" i="1178"/>
  <c r="Z22" i="1178"/>
  <c r="Y22" i="1178"/>
  <c r="X22" i="1178"/>
  <c r="W22" i="1178"/>
  <c r="V22" i="1178"/>
  <c r="U22" i="1178"/>
  <c r="T22" i="1178"/>
  <c r="S22" i="1178"/>
  <c r="R22" i="1178"/>
  <c r="N22" i="1178"/>
  <c r="J22" i="1178"/>
  <c r="I22" i="1178"/>
  <c r="AF21" i="1178"/>
  <c r="AB21" i="1178"/>
  <c r="Q21" i="1178"/>
  <c r="P21" i="1178"/>
  <c r="AC21" i="1178" s="1"/>
  <c r="AD21" i="1178" s="1"/>
  <c r="O21" i="1178"/>
  <c r="M21" i="1178"/>
  <c r="K21" i="1178"/>
  <c r="AF20" i="1178"/>
  <c r="Q20" i="1178"/>
  <c r="P20" i="1178" s="1"/>
  <c r="AC20" i="1178" s="1"/>
  <c r="O20" i="1178"/>
  <c r="AB20" i="1178"/>
  <c r="AF18" i="1178"/>
  <c r="AB18" i="1178"/>
  <c r="Q18" i="1178"/>
  <c r="P18" i="1178" s="1"/>
  <c r="AC18" i="1178" s="1"/>
  <c r="O18" i="1178"/>
  <c r="M18" i="1178"/>
  <c r="AF17" i="1178"/>
  <c r="Q17" i="1178"/>
  <c r="O17" i="1178"/>
  <c r="AF16" i="1178"/>
  <c r="Q16" i="1178"/>
  <c r="P16" i="1178" s="1"/>
  <c r="AC16" i="1178" s="1"/>
  <c r="AB16" i="1178"/>
  <c r="AF15" i="1178"/>
  <c r="Q15" i="1178"/>
  <c r="P15" i="1178" s="1"/>
  <c r="AC15" i="1178" s="1"/>
  <c r="O15" i="1178"/>
  <c r="AB15" i="1178"/>
  <c r="AF14" i="1178"/>
  <c r="AB14" i="1178"/>
  <c r="Q14" i="1178"/>
  <c r="P14" i="1178"/>
  <c r="AC14" i="1178" s="1"/>
  <c r="O14" i="1178"/>
  <c r="M14" i="1178"/>
  <c r="K14" i="1178"/>
  <c r="AF13" i="1178"/>
  <c r="Q13" i="1178"/>
  <c r="P13" i="1178"/>
  <c r="AC13" i="1178" s="1"/>
  <c r="AB13" i="1178"/>
  <c r="AF12" i="1178"/>
  <c r="AB12" i="1178"/>
  <c r="Q12" i="1178"/>
  <c r="P12" i="1178"/>
  <c r="AC12" i="1178" s="1"/>
  <c r="AD12" i="1178" s="1"/>
  <c r="O12" i="1178"/>
  <c r="M12" i="1178"/>
  <c r="K12" i="1178"/>
  <c r="AF11" i="1178"/>
  <c r="Q11" i="1178"/>
  <c r="O11" i="1178"/>
  <c r="AF10" i="1178"/>
  <c r="AB10" i="1178"/>
  <c r="Q10" i="1178"/>
  <c r="P10" i="1178"/>
  <c r="AC10" i="1178" s="1"/>
  <c r="O10" i="1178"/>
  <c r="M10" i="1178"/>
  <c r="K10" i="1178"/>
  <c r="AF9" i="1178"/>
  <c r="AB9" i="1178"/>
  <c r="Q9" i="1178"/>
  <c r="P9" i="1178" s="1"/>
  <c r="AC9" i="1178" s="1"/>
  <c r="O9" i="1178"/>
  <c r="M9" i="1178"/>
  <c r="AF8" i="1178"/>
  <c r="Q8" i="1178"/>
  <c r="O8" i="1178"/>
  <c r="AF7" i="1178"/>
  <c r="AB7" i="1178"/>
  <c r="Q7" i="1178"/>
  <c r="P7" i="1178"/>
  <c r="AC7" i="1178" s="1"/>
  <c r="O7" i="1178"/>
  <c r="M7" i="1178"/>
  <c r="K7" i="1178"/>
  <c r="AF6" i="1178"/>
  <c r="AB6" i="1178"/>
  <c r="Q6" i="1178"/>
  <c r="O6" i="1178"/>
  <c r="M6" i="1178"/>
  <c r="AC22" i="1179" l="1"/>
  <c r="AD6" i="1179"/>
  <c r="AD22" i="1179" s="1"/>
  <c r="AE9" i="1179" s="1"/>
  <c r="AD18" i="1178"/>
  <c r="AD9" i="1178"/>
  <c r="Q22" i="1178"/>
  <c r="P6" i="1178"/>
  <c r="AD14" i="1178"/>
  <c r="AD7" i="1178"/>
  <c r="AD10" i="1178"/>
  <c r="AD15" i="1178"/>
  <c r="AC6" i="1178"/>
  <c r="AD20" i="1178"/>
  <c r="M8" i="1178"/>
  <c r="AB11" i="1178"/>
  <c r="K22" i="1178"/>
  <c r="P8" i="1178"/>
  <c r="AC8" i="1178" s="1"/>
  <c r="P11" i="1178"/>
  <c r="AC11" i="1178" s="1"/>
  <c r="O13" i="1178"/>
  <c r="AD13" i="1178" s="1"/>
  <c r="M15" i="1178"/>
  <c r="O16" i="1178"/>
  <c r="AD16" i="1178" s="1"/>
  <c r="P17" i="1178"/>
  <c r="AC17" i="1178" s="1"/>
  <c r="M20" i="1178"/>
  <c r="M17" i="1178"/>
  <c r="AB17" i="1178"/>
  <c r="L22" i="1178"/>
  <c r="O22" i="1178" s="1"/>
  <c r="AB8" i="1178"/>
  <c r="M11" i="1178"/>
  <c r="M13" i="1178"/>
  <c r="M16" i="1178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19" i="1177"/>
  <c r="L18" i="1177"/>
  <c r="L17" i="1177"/>
  <c r="K17" i="1177" s="1"/>
  <c r="AF17" i="1177"/>
  <c r="Q17" i="1177"/>
  <c r="L16" i="1177"/>
  <c r="K16" i="1177" s="1"/>
  <c r="L15" i="1177"/>
  <c r="K15" i="1177" s="1"/>
  <c r="L13" i="1177"/>
  <c r="K13" i="1177" s="1"/>
  <c r="L11" i="1177"/>
  <c r="L9" i="1177"/>
  <c r="L8" i="1177"/>
  <c r="L6" i="1177"/>
  <c r="K19" i="1177"/>
  <c r="K18" i="1177"/>
  <c r="K14" i="1177"/>
  <c r="K12" i="1177"/>
  <c r="K11" i="1177"/>
  <c r="K9" i="1177"/>
  <c r="K8" i="1177"/>
  <c r="K6" i="1177"/>
  <c r="A75" i="1177"/>
  <c r="A76" i="1177" s="1"/>
  <c r="A77" i="1177" s="1"/>
  <c r="A78" i="1177" s="1"/>
  <c r="A79" i="1177" s="1"/>
  <c r="A80" i="1177" s="1"/>
  <c r="A81" i="1177" s="1"/>
  <c r="A74" i="1177"/>
  <c r="AF60" i="1177"/>
  <c r="AF59" i="1177"/>
  <c r="AF62" i="1177" s="1"/>
  <c r="AA21" i="1177"/>
  <c r="Z21" i="1177"/>
  <c r="Y21" i="1177"/>
  <c r="X21" i="1177"/>
  <c r="W21" i="1177"/>
  <c r="V21" i="1177"/>
  <c r="U21" i="1177"/>
  <c r="T21" i="1177"/>
  <c r="S21" i="1177"/>
  <c r="R21" i="1177"/>
  <c r="N21" i="1177"/>
  <c r="J21" i="1177"/>
  <c r="I21" i="1177"/>
  <c r="AF20" i="1177"/>
  <c r="AB20" i="1177"/>
  <c r="Q20" i="1177"/>
  <c r="P20" i="1177"/>
  <c r="AC20" i="1177" s="1"/>
  <c r="AD20" i="1177" s="1"/>
  <c r="O20" i="1177"/>
  <c r="M20" i="1177"/>
  <c r="K20" i="1177"/>
  <c r="AF19" i="1177"/>
  <c r="Q19" i="1177"/>
  <c r="P19" i="1177"/>
  <c r="AC19" i="1177" s="1"/>
  <c r="O19" i="1177"/>
  <c r="AB19" i="1177"/>
  <c r="AF18" i="1177"/>
  <c r="AB18" i="1177"/>
  <c r="Q18" i="1177"/>
  <c r="P18" i="1177" s="1"/>
  <c r="AC18" i="1177" s="1"/>
  <c r="O18" i="1177"/>
  <c r="M18" i="1177"/>
  <c r="AF16" i="1177"/>
  <c r="Q16" i="1177"/>
  <c r="P16" i="1177" s="1"/>
  <c r="AC16" i="1177" s="1"/>
  <c r="AB16" i="1177"/>
  <c r="AF15" i="1177"/>
  <c r="AB15" i="1177"/>
  <c r="Q15" i="1177"/>
  <c r="P15" i="1177" s="1"/>
  <c r="AC15" i="1177" s="1"/>
  <c r="O15" i="1177"/>
  <c r="M15" i="1177"/>
  <c r="AF14" i="1177"/>
  <c r="AB14" i="1177"/>
  <c r="Q14" i="1177"/>
  <c r="P14" i="1177" s="1"/>
  <c r="AC14" i="1177" s="1"/>
  <c r="O14" i="1177"/>
  <c r="M14" i="1177"/>
  <c r="AF13" i="1177"/>
  <c r="AB13" i="1177"/>
  <c r="Q13" i="1177"/>
  <c r="P13" i="1177"/>
  <c r="AC13" i="1177" s="1"/>
  <c r="O13" i="1177"/>
  <c r="M13" i="1177"/>
  <c r="AF12" i="1177"/>
  <c r="AB12" i="1177"/>
  <c r="Q12" i="1177"/>
  <c r="P12" i="1177" s="1"/>
  <c r="AC12" i="1177" s="1"/>
  <c r="AD12" i="1177" s="1"/>
  <c r="O12" i="1177"/>
  <c r="M12" i="1177"/>
  <c r="AF11" i="1177"/>
  <c r="Q11" i="1177"/>
  <c r="P11" i="1177"/>
  <c r="AC11" i="1177" s="1"/>
  <c r="O11" i="1177"/>
  <c r="AB11" i="1177"/>
  <c r="AF10" i="1177"/>
  <c r="AC10" i="1177"/>
  <c r="AB10" i="1177"/>
  <c r="Q10" i="1177"/>
  <c r="P10" i="1177"/>
  <c r="O10" i="1177"/>
  <c r="M10" i="1177"/>
  <c r="K10" i="1177"/>
  <c r="AF9" i="1177"/>
  <c r="Q9" i="1177"/>
  <c r="P9" i="1177"/>
  <c r="AC9" i="1177" s="1"/>
  <c r="AB9" i="1177"/>
  <c r="AF8" i="1177"/>
  <c r="Q8" i="1177"/>
  <c r="P8" i="1177"/>
  <c r="AC8" i="1177" s="1"/>
  <c r="O8" i="1177"/>
  <c r="AB8" i="1177"/>
  <c r="AF7" i="1177"/>
  <c r="AC7" i="1177"/>
  <c r="AD7" i="1177" s="1"/>
  <c r="AB7" i="1177"/>
  <c r="Q7" i="1177"/>
  <c r="P7" i="1177"/>
  <c r="O7" i="1177"/>
  <c r="M7" i="1177"/>
  <c r="K7" i="1177"/>
  <c r="AF6" i="1177"/>
  <c r="Q6" i="1177"/>
  <c r="AB6" i="1177"/>
  <c r="AE20" i="1179" l="1"/>
  <c r="AE17" i="1179"/>
  <c r="AE18" i="1179"/>
  <c r="AE10" i="1179"/>
  <c r="AE6" i="1179"/>
  <c r="AE21" i="1179"/>
  <c r="AE19" i="1179"/>
  <c r="AE15" i="1179"/>
  <c r="AE13" i="1179"/>
  <c r="AE8" i="1179"/>
  <c r="AE16" i="1179"/>
  <c r="AE11" i="1179"/>
  <c r="AE7" i="1179"/>
  <c r="AE14" i="1179"/>
  <c r="AD11" i="1178"/>
  <c r="AB22" i="1178"/>
  <c r="AD17" i="1178"/>
  <c r="M22" i="1178"/>
  <c r="AD8" i="1178"/>
  <c r="P22" i="1178"/>
  <c r="AC22" i="1178"/>
  <c r="AD6" i="1178"/>
  <c r="AD22" i="1178" s="1"/>
  <c r="AE19" i="1178" s="1"/>
  <c r="O17" i="1177"/>
  <c r="AB17" i="1177"/>
  <c r="M17" i="1177"/>
  <c r="P17" i="1177"/>
  <c r="AC17" i="1177" s="1"/>
  <c r="AD17" i="1177" s="1"/>
  <c r="AD15" i="1177"/>
  <c r="Q21" i="1177"/>
  <c r="AD13" i="1177"/>
  <c r="P6" i="1177"/>
  <c r="AD14" i="1177"/>
  <c r="AD10" i="1177"/>
  <c r="AD18" i="1177"/>
  <c r="AD11" i="1177"/>
  <c r="AD19" i="1177"/>
  <c r="AD8" i="1177"/>
  <c r="O6" i="1177"/>
  <c r="AC6" i="1177"/>
  <c r="M8" i="1177"/>
  <c r="O9" i="1177"/>
  <c r="AD9" i="1177" s="1"/>
  <c r="M11" i="1177"/>
  <c r="O16" i="1177"/>
  <c r="AD16" i="1177" s="1"/>
  <c r="K21" i="1177"/>
  <c r="M19" i="1177"/>
  <c r="AB21" i="1177"/>
  <c r="L21" i="1177"/>
  <c r="O21" i="1177" s="1"/>
  <c r="M6" i="1177"/>
  <c r="M9" i="1177"/>
  <c r="M16" i="1177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19" i="1176"/>
  <c r="K19" i="1176" s="1"/>
  <c r="L18" i="1176"/>
  <c r="K18" i="1176" s="1"/>
  <c r="L17" i="1176"/>
  <c r="K17" i="1176" s="1"/>
  <c r="L16" i="1176"/>
  <c r="K16" i="1176" s="1"/>
  <c r="K14" i="1176"/>
  <c r="L11" i="1176"/>
  <c r="K11" i="1176" s="1"/>
  <c r="L9" i="1176"/>
  <c r="K9" i="1176" s="1"/>
  <c r="L8" i="1176"/>
  <c r="K8" i="1176" s="1"/>
  <c r="L6" i="1176"/>
  <c r="K6" i="1176" s="1"/>
  <c r="K15" i="1176"/>
  <c r="K12" i="1176"/>
  <c r="A76" i="1176"/>
  <c r="A77" i="1176" s="1"/>
  <c r="A78" i="1176" s="1"/>
  <c r="A79" i="1176" s="1"/>
  <c r="A80" i="1176" s="1"/>
  <c r="A81" i="1176" s="1"/>
  <c r="A75" i="1176"/>
  <c r="A74" i="1176"/>
  <c r="AF60" i="1176"/>
  <c r="AF59" i="1176"/>
  <c r="AF62" i="1176" s="1"/>
  <c r="AA21" i="1176"/>
  <c r="Z21" i="1176"/>
  <c r="Y21" i="1176"/>
  <c r="X21" i="1176"/>
  <c r="W21" i="1176"/>
  <c r="V21" i="1176"/>
  <c r="U21" i="1176"/>
  <c r="T21" i="1176"/>
  <c r="S21" i="1176"/>
  <c r="R21" i="1176"/>
  <c r="N21" i="1176"/>
  <c r="J21" i="1176"/>
  <c r="I21" i="1176"/>
  <c r="AF20" i="1176"/>
  <c r="AB20" i="1176"/>
  <c r="Q20" i="1176"/>
  <c r="P20" i="1176"/>
  <c r="AC20" i="1176" s="1"/>
  <c r="AD20" i="1176" s="1"/>
  <c r="O20" i="1176"/>
  <c r="M20" i="1176"/>
  <c r="K20" i="1176"/>
  <c r="AF19" i="1176"/>
  <c r="Q19" i="1176"/>
  <c r="P19" i="1176"/>
  <c r="AC19" i="1176" s="1"/>
  <c r="O19" i="1176"/>
  <c r="AB19" i="1176"/>
  <c r="AF18" i="1176"/>
  <c r="AB18" i="1176"/>
  <c r="Q18" i="1176"/>
  <c r="P18" i="1176" s="1"/>
  <c r="AC18" i="1176" s="1"/>
  <c r="O18" i="1176"/>
  <c r="M18" i="1176"/>
  <c r="AF17" i="1176"/>
  <c r="Q17" i="1176"/>
  <c r="AF16" i="1176"/>
  <c r="Q16" i="1176"/>
  <c r="AF15" i="1176"/>
  <c r="Q15" i="1176"/>
  <c r="P15" i="1176" s="1"/>
  <c r="AC15" i="1176" s="1"/>
  <c r="O15" i="1176"/>
  <c r="AB15" i="1176"/>
  <c r="AF14" i="1176"/>
  <c r="AB14" i="1176"/>
  <c r="Q14" i="1176"/>
  <c r="P14" i="1176" s="1"/>
  <c r="AC14" i="1176" s="1"/>
  <c r="AD14" i="1176" s="1"/>
  <c r="O14" i="1176"/>
  <c r="M14" i="1176"/>
  <c r="AF13" i="1176"/>
  <c r="AB13" i="1176"/>
  <c r="Q13" i="1176"/>
  <c r="P13" i="1176"/>
  <c r="AC13" i="1176" s="1"/>
  <c r="O13" i="1176"/>
  <c r="M13" i="1176"/>
  <c r="K13" i="1176"/>
  <c r="AF12" i="1176"/>
  <c r="AB12" i="1176"/>
  <c r="Q12" i="1176"/>
  <c r="P12" i="1176" s="1"/>
  <c r="AC12" i="1176" s="1"/>
  <c r="O12" i="1176"/>
  <c r="M12" i="1176"/>
  <c r="AF11" i="1176"/>
  <c r="Q11" i="1176"/>
  <c r="O11" i="1176"/>
  <c r="AF10" i="1176"/>
  <c r="AB10" i="1176"/>
  <c r="Q10" i="1176"/>
  <c r="P10" i="1176"/>
  <c r="AC10" i="1176" s="1"/>
  <c r="O10" i="1176"/>
  <c r="M10" i="1176"/>
  <c r="K10" i="1176"/>
  <c r="AF9" i="1176"/>
  <c r="AB9" i="1176"/>
  <c r="Q9" i="1176"/>
  <c r="P9" i="1176" s="1"/>
  <c r="AC9" i="1176" s="1"/>
  <c r="O9" i="1176"/>
  <c r="M9" i="1176"/>
  <c r="AF8" i="1176"/>
  <c r="Q8" i="1176"/>
  <c r="P8" i="1176"/>
  <c r="AC8" i="1176" s="1"/>
  <c r="AB8" i="1176"/>
  <c r="AF7" i="1176"/>
  <c r="AC7" i="1176"/>
  <c r="AB7" i="1176"/>
  <c r="Q7" i="1176"/>
  <c r="P7" i="1176"/>
  <c r="O7" i="1176"/>
  <c r="M7" i="1176"/>
  <c r="K7" i="1176"/>
  <c r="AF6" i="1176"/>
  <c r="Q6" i="1176"/>
  <c r="O6" i="1176"/>
  <c r="AE20" i="1178" l="1"/>
  <c r="AE15" i="1178"/>
  <c r="AE12" i="1178"/>
  <c r="AE13" i="1178"/>
  <c r="AE7" i="1178"/>
  <c r="AE8" i="1178"/>
  <c r="AE16" i="1178"/>
  <c r="AE18" i="1178"/>
  <c r="AE14" i="1178"/>
  <c r="AE9" i="1178"/>
  <c r="AE6" i="1178"/>
  <c r="AE10" i="1178"/>
  <c r="AE21" i="1178"/>
  <c r="AE17" i="1178"/>
  <c r="AE11" i="1178"/>
  <c r="AC21" i="1177"/>
  <c r="AD6" i="1177"/>
  <c r="AD21" i="1177" s="1"/>
  <c r="AE17" i="1177" s="1"/>
  <c r="M21" i="1177"/>
  <c r="P21" i="1177"/>
  <c r="AD18" i="1176"/>
  <c r="O17" i="1176"/>
  <c r="M17" i="1176"/>
  <c r="AB17" i="1176"/>
  <c r="AB16" i="1176"/>
  <c r="AD15" i="1176"/>
  <c r="AD12" i="1176"/>
  <c r="Q21" i="1176"/>
  <c r="AD9" i="1176"/>
  <c r="AD10" i="1176"/>
  <c r="AD7" i="1176"/>
  <c r="AD13" i="1176"/>
  <c r="AD19" i="1176"/>
  <c r="M6" i="1176"/>
  <c r="AB6" i="1176"/>
  <c r="AB11" i="1176"/>
  <c r="P6" i="1176"/>
  <c r="O8" i="1176"/>
  <c r="AD8" i="1176" s="1"/>
  <c r="P11" i="1176"/>
  <c r="AC11" i="1176" s="1"/>
  <c r="M15" i="1176"/>
  <c r="O16" i="1176"/>
  <c r="P17" i="1176"/>
  <c r="AC17" i="1176" s="1"/>
  <c r="M19" i="1176"/>
  <c r="P16" i="1176"/>
  <c r="AC16" i="1176" s="1"/>
  <c r="AD16" i="1176" s="1"/>
  <c r="L21" i="1176"/>
  <c r="O21" i="1176" s="1"/>
  <c r="M11" i="1176"/>
  <c r="M8" i="1176"/>
  <c r="M16" i="117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19" i="1175"/>
  <c r="L18" i="1175"/>
  <c r="K18" i="1175" s="1"/>
  <c r="L17" i="1175"/>
  <c r="K17" i="1175" s="1"/>
  <c r="L16" i="1175"/>
  <c r="L15" i="1175"/>
  <c r="K15" i="1175" s="1"/>
  <c r="AE19" i="1177" l="1"/>
  <c r="AE15" i="1177"/>
  <c r="AE13" i="1177"/>
  <c r="AE11" i="1177"/>
  <c r="AE8" i="1177"/>
  <c r="AE9" i="1177"/>
  <c r="AE16" i="1177"/>
  <c r="AE20" i="1177"/>
  <c r="AE14" i="1177"/>
  <c r="AE12" i="1177"/>
  <c r="AE18" i="1177"/>
  <c r="AE10" i="1177"/>
  <c r="AE7" i="1177"/>
  <c r="AE6" i="1177"/>
  <c r="AD17" i="1176"/>
  <c r="AB21" i="1176"/>
  <c r="AC6" i="1176"/>
  <c r="P21" i="1176"/>
  <c r="M21" i="1176"/>
  <c r="AD11" i="1176"/>
  <c r="K21" i="1176"/>
  <c r="L12" i="1175"/>
  <c r="K12" i="1175" s="1"/>
  <c r="L11" i="1175"/>
  <c r="L8" i="1175"/>
  <c r="K8" i="1175" s="1"/>
  <c r="L6" i="1175"/>
  <c r="K19" i="1175"/>
  <c r="K16" i="1175"/>
  <c r="K11" i="1175"/>
  <c r="K6" i="1175"/>
  <c r="A75" i="1175"/>
  <c r="A76" i="1175" s="1"/>
  <c r="A77" i="1175" s="1"/>
  <c r="A78" i="1175" s="1"/>
  <c r="A79" i="1175" s="1"/>
  <c r="A80" i="1175" s="1"/>
  <c r="A81" i="1175" s="1"/>
  <c r="A74" i="1175"/>
  <c r="AF60" i="1175"/>
  <c r="AF59" i="1175"/>
  <c r="AF62" i="1175" s="1"/>
  <c r="AA21" i="1175"/>
  <c r="Z21" i="1175"/>
  <c r="Y21" i="1175"/>
  <c r="X21" i="1175"/>
  <c r="W21" i="1175"/>
  <c r="V21" i="1175"/>
  <c r="U21" i="1175"/>
  <c r="T21" i="1175"/>
  <c r="S21" i="1175"/>
  <c r="R21" i="1175"/>
  <c r="N21" i="1175"/>
  <c r="J21" i="1175"/>
  <c r="I21" i="1175"/>
  <c r="AF20" i="1175"/>
  <c r="AB20" i="1175"/>
  <c r="Q20" i="1175"/>
  <c r="P20" i="1175"/>
  <c r="AC20" i="1175" s="1"/>
  <c r="AD20" i="1175" s="1"/>
  <c r="O20" i="1175"/>
  <c r="M20" i="1175"/>
  <c r="K20" i="1175"/>
  <c r="AF19" i="1175"/>
  <c r="Q19" i="1175"/>
  <c r="P19" i="1175" s="1"/>
  <c r="AC19" i="1175" s="1"/>
  <c r="O19" i="1175"/>
  <c r="AB19" i="1175"/>
  <c r="AF18" i="1175"/>
  <c r="AB18" i="1175"/>
  <c r="Q18" i="1175"/>
  <c r="P18" i="1175" s="1"/>
  <c r="AC18" i="1175" s="1"/>
  <c r="O18" i="1175"/>
  <c r="M18" i="1175"/>
  <c r="AF17" i="1175"/>
  <c r="Q17" i="1175"/>
  <c r="AB17" i="1175"/>
  <c r="AF16" i="1175"/>
  <c r="Q16" i="1175"/>
  <c r="P16" i="1175"/>
  <c r="AC16" i="1175" s="1"/>
  <c r="O16" i="1175"/>
  <c r="AB16" i="1175"/>
  <c r="AF15" i="1175"/>
  <c r="AB15" i="1175"/>
  <c r="Q15" i="1175"/>
  <c r="P15" i="1175" s="1"/>
  <c r="AC15" i="1175" s="1"/>
  <c r="O15" i="1175"/>
  <c r="M15" i="1175"/>
  <c r="AF14" i="1175"/>
  <c r="AB14" i="1175"/>
  <c r="Q14" i="1175"/>
  <c r="P14" i="1175"/>
  <c r="AC14" i="1175" s="1"/>
  <c r="O14" i="1175"/>
  <c r="M14" i="1175"/>
  <c r="K14" i="1175"/>
  <c r="AF13" i="1175"/>
  <c r="AB13" i="1175"/>
  <c r="Q13" i="1175"/>
  <c r="P13" i="1175"/>
  <c r="AC13" i="1175" s="1"/>
  <c r="AD13" i="1175" s="1"/>
  <c r="O13" i="1175"/>
  <c r="M13" i="1175"/>
  <c r="K13" i="1175"/>
  <c r="AF12" i="1175"/>
  <c r="Q12" i="1175"/>
  <c r="AB12" i="1175"/>
  <c r="AF11" i="1175"/>
  <c r="Q11" i="1175"/>
  <c r="P11" i="1175"/>
  <c r="AC11" i="1175" s="1"/>
  <c r="O11" i="1175"/>
  <c r="AB11" i="1175"/>
  <c r="AF10" i="1175"/>
  <c r="AB10" i="1175"/>
  <c r="Q10" i="1175"/>
  <c r="P10" i="1175"/>
  <c r="AC10" i="1175" s="1"/>
  <c r="AD10" i="1175" s="1"/>
  <c r="O10" i="1175"/>
  <c r="M10" i="1175"/>
  <c r="K10" i="1175"/>
  <c r="AF9" i="1175"/>
  <c r="AB9" i="1175"/>
  <c r="Q9" i="1175"/>
  <c r="P9" i="1175"/>
  <c r="AC9" i="1175" s="1"/>
  <c r="AD9" i="1175" s="1"/>
  <c r="O9" i="1175"/>
  <c r="M9" i="1175"/>
  <c r="K9" i="1175"/>
  <c r="AF8" i="1175"/>
  <c r="AB8" i="1175"/>
  <c r="Q8" i="1175"/>
  <c r="P8" i="1175" s="1"/>
  <c r="AC8" i="1175" s="1"/>
  <c r="O8" i="1175"/>
  <c r="M8" i="1175"/>
  <c r="AF7" i="1175"/>
  <c r="AB7" i="1175"/>
  <c r="Q7" i="1175"/>
  <c r="P7" i="1175"/>
  <c r="AC7" i="1175" s="1"/>
  <c r="O7" i="1175"/>
  <c r="M7" i="1175"/>
  <c r="K7" i="1175"/>
  <c r="AF6" i="1175"/>
  <c r="AB6" i="1175"/>
  <c r="Q6" i="1175"/>
  <c r="O6" i="1175"/>
  <c r="M6" i="1175"/>
  <c r="P6" i="1175"/>
  <c r="AC21" i="1176" l="1"/>
  <c r="AD6" i="1176"/>
  <c r="AD21" i="1176" s="1"/>
  <c r="Q21" i="1175"/>
  <c r="AD8" i="1175"/>
  <c r="AB21" i="1175"/>
  <c r="AD15" i="1175"/>
  <c r="AD18" i="1175"/>
  <c r="AD11" i="1175"/>
  <c r="AD7" i="1175"/>
  <c r="AD14" i="1175"/>
  <c r="AD16" i="1175"/>
  <c r="AD19" i="1175"/>
  <c r="AC6" i="1175"/>
  <c r="M11" i="1175"/>
  <c r="O12" i="1175"/>
  <c r="M16" i="1175"/>
  <c r="O17" i="1175"/>
  <c r="M19" i="1175"/>
  <c r="K21" i="1175"/>
  <c r="P12" i="1175"/>
  <c r="AC12" i="1175" s="1"/>
  <c r="AD12" i="1175" s="1"/>
  <c r="P17" i="1175"/>
  <c r="AC17" i="1175" s="1"/>
  <c r="L21" i="1175"/>
  <c r="O21" i="1175" s="1"/>
  <c r="M12" i="1175"/>
  <c r="M17" i="1175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19" i="1174"/>
  <c r="L17" i="1174"/>
  <c r="K17" i="1174" s="1"/>
  <c r="L16" i="1174"/>
  <c r="K16" i="1174" s="1"/>
  <c r="L12" i="1174"/>
  <c r="K12" i="1174" s="1"/>
  <c r="L11" i="1174"/>
  <c r="L6" i="1174"/>
  <c r="O6" i="1174" s="1"/>
  <c r="K19" i="1174"/>
  <c r="K18" i="1174"/>
  <c r="K15" i="1174"/>
  <c r="K13" i="1174"/>
  <c r="K11" i="1174"/>
  <c r="A74" i="1174"/>
  <c r="A75" i="1174" s="1"/>
  <c r="A76" i="1174" s="1"/>
  <c r="A77" i="1174" s="1"/>
  <c r="A78" i="1174" s="1"/>
  <c r="A79" i="1174" s="1"/>
  <c r="A80" i="1174" s="1"/>
  <c r="A81" i="1174" s="1"/>
  <c r="AF60" i="1174"/>
  <c r="AF59" i="1174"/>
  <c r="AA21" i="1174"/>
  <c r="Z21" i="1174"/>
  <c r="Y21" i="1174"/>
  <c r="X21" i="1174"/>
  <c r="W21" i="1174"/>
  <c r="V21" i="1174"/>
  <c r="U21" i="1174"/>
  <c r="T21" i="1174"/>
  <c r="S21" i="1174"/>
  <c r="R21" i="1174"/>
  <c r="N21" i="1174"/>
  <c r="J21" i="1174"/>
  <c r="I21" i="1174"/>
  <c r="AF20" i="1174"/>
  <c r="AB20" i="1174"/>
  <c r="Q20" i="1174"/>
  <c r="P20" i="1174"/>
  <c r="AC20" i="1174" s="1"/>
  <c r="O20" i="1174"/>
  <c r="M20" i="1174"/>
  <c r="K20" i="1174"/>
  <c r="AF19" i="1174"/>
  <c r="Q19" i="1174"/>
  <c r="P19" i="1174" s="1"/>
  <c r="AC19" i="1174" s="1"/>
  <c r="M19" i="1174"/>
  <c r="AF18" i="1174"/>
  <c r="Q18" i="1174"/>
  <c r="P18" i="1174"/>
  <c r="AC18" i="1174" s="1"/>
  <c r="AF17" i="1174"/>
  <c r="Q17" i="1174"/>
  <c r="M17" i="1174"/>
  <c r="AF16" i="1174"/>
  <c r="Q16" i="1174"/>
  <c r="P16" i="1174" s="1"/>
  <c r="AC16" i="1174" s="1"/>
  <c r="AF15" i="1174"/>
  <c r="AB15" i="1174"/>
  <c r="Q15" i="1174"/>
  <c r="M15" i="1174"/>
  <c r="P15" i="1174"/>
  <c r="AC15" i="1174" s="1"/>
  <c r="AF14" i="1174"/>
  <c r="AB14" i="1174"/>
  <c r="Q14" i="1174"/>
  <c r="P14" i="1174"/>
  <c r="AC14" i="1174" s="1"/>
  <c r="O14" i="1174"/>
  <c r="M14" i="1174"/>
  <c r="K14" i="1174"/>
  <c r="AF13" i="1174"/>
  <c r="AB13" i="1174"/>
  <c r="Q13" i="1174"/>
  <c r="O13" i="1174"/>
  <c r="M13" i="1174"/>
  <c r="P13" i="1174"/>
  <c r="AC13" i="1174" s="1"/>
  <c r="AF12" i="1174"/>
  <c r="Q12" i="1174"/>
  <c r="AF11" i="1174"/>
  <c r="Q11" i="1174"/>
  <c r="P11" i="1174"/>
  <c r="AC11" i="1174" s="1"/>
  <c r="AF10" i="1174"/>
  <c r="AB10" i="1174"/>
  <c r="Q10" i="1174"/>
  <c r="P10" i="1174"/>
  <c r="AC10" i="1174" s="1"/>
  <c r="O10" i="1174"/>
  <c r="M10" i="1174"/>
  <c r="K10" i="1174"/>
  <c r="AF9" i="1174"/>
  <c r="AB9" i="1174"/>
  <c r="Q9" i="1174"/>
  <c r="P9" i="1174"/>
  <c r="AC9" i="1174" s="1"/>
  <c r="O9" i="1174"/>
  <c r="M9" i="1174"/>
  <c r="K9" i="1174"/>
  <c r="AF8" i="1174"/>
  <c r="AB8" i="1174"/>
  <c r="Q8" i="1174"/>
  <c r="P8" i="1174"/>
  <c r="AC8" i="1174" s="1"/>
  <c r="O8" i="1174"/>
  <c r="M8" i="1174"/>
  <c r="K8" i="1174"/>
  <c r="AF7" i="1174"/>
  <c r="AB7" i="1174"/>
  <c r="Q7" i="1174"/>
  <c r="P7" i="1174"/>
  <c r="AC7" i="1174" s="1"/>
  <c r="O7" i="1174"/>
  <c r="M7" i="1174"/>
  <c r="K7" i="1174"/>
  <c r="AF6" i="1174"/>
  <c r="Q6" i="1174"/>
  <c r="AE19" i="1176" l="1"/>
  <c r="AE15" i="1176"/>
  <c r="AE7" i="1176"/>
  <c r="AE16" i="1176"/>
  <c r="AE13" i="1176"/>
  <c r="AE8" i="1176"/>
  <c r="AE11" i="1176"/>
  <c r="AE10" i="1176"/>
  <c r="AE20" i="1176"/>
  <c r="AE17" i="1176"/>
  <c r="AE6" i="1176"/>
  <c r="AE18" i="1176"/>
  <c r="AE14" i="1176"/>
  <c r="AE12" i="1176"/>
  <c r="AE9" i="1176"/>
  <c r="M21" i="1175"/>
  <c r="P21" i="1175"/>
  <c r="AC21" i="1175"/>
  <c r="AD6" i="1175"/>
  <c r="AD17" i="1175"/>
  <c r="P17" i="1174"/>
  <c r="AC17" i="1174" s="1"/>
  <c r="AF62" i="1174"/>
  <c r="AD13" i="1174"/>
  <c r="AD8" i="1174"/>
  <c r="AD7" i="1174"/>
  <c r="P12" i="1174"/>
  <c r="AC12" i="1174" s="1"/>
  <c r="Q21" i="1174"/>
  <c r="K6" i="1174"/>
  <c r="P6" i="1174"/>
  <c r="AC6" i="1174" s="1"/>
  <c r="L21" i="1174"/>
  <c r="O21" i="1174" s="1"/>
  <c r="AD10" i="1174"/>
  <c r="AD9" i="1174"/>
  <c r="AD20" i="1174"/>
  <c r="AD14" i="1174"/>
  <c r="M12" i="1174"/>
  <c r="AB12" i="1174"/>
  <c r="AB17" i="1174"/>
  <c r="AB19" i="1174"/>
  <c r="M11" i="1174"/>
  <c r="AB11" i="1174"/>
  <c r="O12" i="1174"/>
  <c r="O15" i="1174"/>
  <c r="AD15" i="1174" s="1"/>
  <c r="M16" i="1174"/>
  <c r="AB16" i="1174"/>
  <c r="O17" i="1174"/>
  <c r="M18" i="1174"/>
  <c r="AB18" i="1174"/>
  <c r="O19" i="1174"/>
  <c r="M6" i="1174"/>
  <c r="AB6" i="1174"/>
  <c r="O11" i="1174"/>
  <c r="O16" i="1174"/>
  <c r="O18" i="1174"/>
  <c r="K21" i="1174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1" i="1173"/>
  <c r="K21" i="1173"/>
  <c r="L20" i="1173"/>
  <c r="K20" i="1173" s="1"/>
  <c r="AF20" i="1173"/>
  <c r="Q20" i="1173"/>
  <c r="K19" i="1173"/>
  <c r="L18" i="1173"/>
  <c r="K18" i="1173"/>
  <c r="L17" i="1173"/>
  <c r="M17" i="1173" s="1"/>
  <c r="K17" i="1173"/>
  <c r="AF17" i="1173"/>
  <c r="Q17" i="1173"/>
  <c r="P17" i="1173" s="1"/>
  <c r="AC17" i="1173" s="1"/>
  <c r="O17" i="1173"/>
  <c r="K16" i="1173"/>
  <c r="L15" i="1173"/>
  <c r="K15" i="1173" s="1"/>
  <c r="K14" i="1173"/>
  <c r="L13" i="1173"/>
  <c r="K13" i="1173"/>
  <c r="L12" i="1173"/>
  <c r="K12" i="1173" s="1"/>
  <c r="L11" i="1173"/>
  <c r="K11" i="1173" s="1"/>
  <c r="L6" i="1173"/>
  <c r="K6" i="1173" s="1"/>
  <c r="A76" i="1173"/>
  <c r="A77" i="1173" s="1"/>
  <c r="A78" i="1173" s="1"/>
  <c r="A79" i="1173" s="1"/>
  <c r="A80" i="1173" s="1"/>
  <c r="A81" i="1173" s="1"/>
  <c r="A82" i="1173" s="1"/>
  <c r="A83" i="1173" s="1"/>
  <c r="AF62" i="1173"/>
  <c r="AF61" i="1173"/>
  <c r="AF64" i="1173" s="1"/>
  <c r="AA23" i="1173"/>
  <c r="Z23" i="1173"/>
  <c r="Y23" i="1173"/>
  <c r="X23" i="1173"/>
  <c r="W23" i="1173"/>
  <c r="V23" i="1173"/>
  <c r="U23" i="1173"/>
  <c r="T23" i="1173"/>
  <c r="S23" i="1173"/>
  <c r="R23" i="1173"/>
  <c r="N23" i="1173"/>
  <c r="J23" i="1173"/>
  <c r="I23" i="1173"/>
  <c r="AF22" i="1173"/>
  <c r="AB22" i="1173"/>
  <c r="Q22" i="1173"/>
  <c r="P22" i="1173"/>
  <c r="AC22" i="1173" s="1"/>
  <c r="AD22" i="1173" s="1"/>
  <c r="O22" i="1173"/>
  <c r="M22" i="1173"/>
  <c r="K22" i="1173"/>
  <c r="AF21" i="1173"/>
  <c r="Q21" i="1173"/>
  <c r="P21" i="1173" s="1"/>
  <c r="AC21" i="1173" s="1"/>
  <c r="M21" i="1173"/>
  <c r="O21" i="1173"/>
  <c r="AF19" i="1173"/>
  <c r="Q19" i="1173"/>
  <c r="O19" i="1173"/>
  <c r="AF18" i="1173"/>
  <c r="AB18" i="1173"/>
  <c r="Q18" i="1173"/>
  <c r="P18" i="1173" s="1"/>
  <c r="AC18" i="1173" s="1"/>
  <c r="O18" i="1173"/>
  <c r="M18" i="1173"/>
  <c r="AF16" i="1173"/>
  <c r="AB16" i="1173"/>
  <c r="Q16" i="1173"/>
  <c r="P16" i="1173" s="1"/>
  <c r="AC16" i="1173" s="1"/>
  <c r="M16" i="1173"/>
  <c r="O16" i="1173"/>
  <c r="AF15" i="1173"/>
  <c r="Q15" i="1173"/>
  <c r="P15" i="1173" s="1"/>
  <c r="AC15" i="1173" s="1"/>
  <c r="O15" i="1173"/>
  <c r="AF14" i="1173"/>
  <c r="AB14" i="1173"/>
  <c r="Q14" i="1173"/>
  <c r="P14" i="1173"/>
  <c r="AC14" i="1173" s="1"/>
  <c r="O14" i="1173"/>
  <c r="M14" i="1173"/>
  <c r="AF13" i="1173"/>
  <c r="AB13" i="1173"/>
  <c r="Q13" i="1173"/>
  <c r="P13" i="1173"/>
  <c r="AC13" i="1173" s="1"/>
  <c r="M13" i="1173"/>
  <c r="O13" i="1173"/>
  <c r="AF12" i="1173"/>
  <c r="Q12" i="1173"/>
  <c r="P12" i="1173" s="1"/>
  <c r="AC12" i="1173" s="1"/>
  <c r="O12" i="1173"/>
  <c r="AF11" i="1173"/>
  <c r="AB11" i="1173"/>
  <c r="Q11" i="1173"/>
  <c r="P11" i="1173" s="1"/>
  <c r="AC11" i="1173" s="1"/>
  <c r="O11" i="1173"/>
  <c r="M11" i="1173"/>
  <c r="AF10" i="1173"/>
  <c r="AB10" i="1173"/>
  <c r="Q10" i="1173"/>
  <c r="P10" i="1173"/>
  <c r="AC10" i="1173" s="1"/>
  <c r="O10" i="1173"/>
  <c r="M10" i="1173"/>
  <c r="K10" i="1173"/>
  <c r="AF9" i="1173"/>
  <c r="AB9" i="1173"/>
  <c r="Q9" i="1173"/>
  <c r="P9" i="1173"/>
  <c r="AC9" i="1173" s="1"/>
  <c r="O9" i="1173"/>
  <c r="M9" i="1173"/>
  <c r="K9" i="1173"/>
  <c r="AF8" i="1173"/>
  <c r="AB8" i="1173"/>
  <c r="Q8" i="1173"/>
  <c r="P8" i="1173"/>
  <c r="AC8" i="1173" s="1"/>
  <c r="AD8" i="1173" s="1"/>
  <c r="O8" i="1173"/>
  <c r="M8" i="1173"/>
  <c r="K8" i="1173"/>
  <c r="AF7" i="1173"/>
  <c r="AB7" i="1173"/>
  <c r="Q7" i="1173"/>
  <c r="P7" i="1173"/>
  <c r="AC7" i="1173" s="1"/>
  <c r="O7" i="1173"/>
  <c r="M7" i="1173"/>
  <c r="K7" i="1173"/>
  <c r="AF6" i="1173"/>
  <c r="AB6" i="1173"/>
  <c r="Q6" i="1173"/>
  <c r="O6" i="1173"/>
  <c r="M6" i="1173"/>
  <c r="AD21" i="1175" l="1"/>
  <c r="AE11" i="1175" s="1"/>
  <c r="AC21" i="1174"/>
  <c r="AD18" i="1174"/>
  <c r="AD19" i="1174"/>
  <c r="P21" i="1174"/>
  <c r="AB21" i="1174"/>
  <c r="M21" i="1174"/>
  <c r="AD16" i="1174"/>
  <c r="AD11" i="1174"/>
  <c r="AD12" i="1174"/>
  <c r="AD17" i="1174"/>
  <c r="AD6" i="1174"/>
  <c r="AB20" i="1173"/>
  <c r="M20" i="1173"/>
  <c r="P20" i="1173"/>
  <c r="AC20" i="1173" s="1"/>
  <c r="L23" i="1173"/>
  <c r="O23" i="1173" s="1"/>
  <c r="O20" i="1173"/>
  <c r="AB17" i="1173"/>
  <c r="AD17" i="1173" s="1"/>
  <c r="AD7" i="1173"/>
  <c r="AD9" i="1173"/>
  <c r="AD14" i="1173"/>
  <c r="AD18" i="1173"/>
  <c r="P19" i="1173"/>
  <c r="AC19" i="1173" s="1"/>
  <c r="AD10" i="1173"/>
  <c r="AD16" i="1173"/>
  <c r="Q23" i="1173"/>
  <c r="AD11" i="1173"/>
  <c r="P6" i="1173"/>
  <c r="AC6" i="1173" s="1"/>
  <c r="AD13" i="1173"/>
  <c r="AB21" i="1173"/>
  <c r="M12" i="1173"/>
  <c r="AB12" i="1173"/>
  <c r="AD12" i="1173" s="1"/>
  <c r="M15" i="1173"/>
  <c r="AB15" i="1173"/>
  <c r="AD15" i="1173" s="1"/>
  <c r="M19" i="1173"/>
  <c r="AB19" i="1173"/>
  <c r="K23" i="1173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19" i="1172"/>
  <c r="L18" i="1172"/>
  <c r="L16" i="1172"/>
  <c r="L15" i="1172"/>
  <c r="K15" i="1172" s="1"/>
  <c r="K14" i="1172"/>
  <c r="L13" i="1172"/>
  <c r="L12" i="1172"/>
  <c r="K19" i="1172"/>
  <c r="K18" i="1172"/>
  <c r="K16" i="1172"/>
  <c r="K13" i="1172"/>
  <c r="K12" i="1172"/>
  <c r="K11" i="1172"/>
  <c r="K9" i="1172"/>
  <c r="K8" i="1172"/>
  <c r="K6" i="1172"/>
  <c r="A74" i="1172"/>
  <c r="A75" i="1172" s="1"/>
  <c r="A76" i="1172" s="1"/>
  <c r="A77" i="1172" s="1"/>
  <c r="A78" i="1172" s="1"/>
  <c r="A79" i="1172" s="1"/>
  <c r="A80" i="1172" s="1"/>
  <c r="A81" i="1172" s="1"/>
  <c r="AF60" i="1172"/>
  <c r="AF62" i="1172" s="1"/>
  <c r="AF59" i="1172"/>
  <c r="AA21" i="1172"/>
  <c r="Z21" i="1172"/>
  <c r="Y21" i="1172"/>
  <c r="X21" i="1172"/>
  <c r="W21" i="1172"/>
  <c r="V21" i="1172"/>
  <c r="U21" i="1172"/>
  <c r="T21" i="1172"/>
  <c r="S21" i="1172"/>
  <c r="R21" i="1172"/>
  <c r="N21" i="1172"/>
  <c r="J21" i="1172"/>
  <c r="I21" i="1172"/>
  <c r="AF20" i="1172"/>
  <c r="AB20" i="1172"/>
  <c r="Q20" i="1172"/>
  <c r="P20" i="1172"/>
  <c r="AC20" i="1172" s="1"/>
  <c r="AD20" i="1172" s="1"/>
  <c r="O20" i="1172"/>
  <c r="M20" i="1172"/>
  <c r="K20" i="1172"/>
  <c r="AF19" i="1172"/>
  <c r="Q19" i="1172"/>
  <c r="P19" i="1172" s="1"/>
  <c r="AC19" i="1172" s="1"/>
  <c r="O19" i="1172"/>
  <c r="AF18" i="1172"/>
  <c r="Q18" i="1172"/>
  <c r="P18" i="1172" s="1"/>
  <c r="AC18" i="1172" s="1"/>
  <c r="O18" i="1172"/>
  <c r="AB18" i="1172"/>
  <c r="AF17" i="1172"/>
  <c r="AB17" i="1172"/>
  <c r="Q17" i="1172"/>
  <c r="P17" i="1172"/>
  <c r="AC17" i="1172" s="1"/>
  <c r="O17" i="1172"/>
  <c r="M17" i="1172"/>
  <c r="K17" i="1172"/>
  <c r="AF16" i="1172"/>
  <c r="AB16" i="1172"/>
  <c r="Q16" i="1172"/>
  <c r="P16" i="1172"/>
  <c r="AC16" i="1172" s="1"/>
  <c r="O16" i="1172"/>
  <c r="M16" i="1172"/>
  <c r="AF15" i="1172"/>
  <c r="AB15" i="1172"/>
  <c r="Q15" i="1172"/>
  <c r="P15" i="1172" s="1"/>
  <c r="AC15" i="1172" s="1"/>
  <c r="O15" i="1172"/>
  <c r="M15" i="1172"/>
  <c r="AF14" i="1172"/>
  <c r="AB14" i="1172"/>
  <c r="Q14" i="1172"/>
  <c r="P14" i="1172" s="1"/>
  <c r="AC14" i="1172" s="1"/>
  <c r="O14" i="1172"/>
  <c r="M14" i="1172"/>
  <c r="AF13" i="1172"/>
  <c r="AB13" i="1172"/>
  <c r="Q13" i="1172"/>
  <c r="P13" i="1172" s="1"/>
  <c r="AC13" i="1172" s="1"/>
  <c r="O13" i="1172"/>
  <c r="M13" i="1172"/>
  <c r="AF12" i="1172"/>
  <c r="AB12" i="1172"/>
  <c r="Q12" i="1172"/>
  <c r="P12" i="1172" s="1"/>
  <c r="AC12" i="1172" s="1"/>
  <c r="O12" i="1172"/>
  <c r="M12" i="1172"/>
  <c r="AF11" i="1172"/>
  <c r="AB11" i="1172"/>
  <c r="Q11" i="1172"/>
  <c r="P11" i="1172" s="1"/>
  <c r="AC11" i="1172" s="1"/>
  <c r="O11" i="1172"/>
  <c r="M11" i="1172"/>
  <c r="AF10" i="1172"/>
  <c r="AB10" i="1172"/>
  <c r="Q10" i="1172"/>
  <c r="P10" i="1172"/>
  <c r="AC10" i="1172" s="1"/>
  <c r="O10" i="1172"/>
  <c r="M10" i="1172"/>
  <c r="K10" i="1172"/>
  <c r="AF9" i="1172"/>
  <c r="AB9" i="1172"/>
  <c r="Q9" i="1172"/>
  <c r="P9" i="1172" s="1"/>
  <c r="AC9" i="1172" s="1"/>
  <c r="O9" i="1172"/>
  <c r="M9" i="1172"/>
  <c r="AF8" i="1172"/>
  <c r="Q8" i="1172"/>
  <c r="O8" i="1172"/>
  <c r="P8" i="1172"/>
  <c r="AC8" i="1172" s="1"/>
  <c r="AF7" i="1172"/>
  <c r="AB7" i="1172"/>
  <c r="Q7" i="1172"/>
  <c r="P7" i="1172"/>
  <c r="AC7" i="1172" s="1"/>
  <c r="O7" i="1172"/>
  <c r="M7" i="1172"/>
  <c r="K7" i="1172"/>
  <c r="AF6" i="1172"/>
  <c r="AB6" i="1172"/>
  <c r="Q6" i="1172"/>
  <c r="P6" i="1172"/>
  <c r="O6" i="1172"/>
  <c r="M6" i="1172"/>
  <c r="AE15" i="1175" l="1"/>
  <c r="AE9" i="1175"/>
  <c r="AE6" i="1175"/>
  <c r="AE18" i="1175"/>
  <c r="AE17" i="1175"/>
  <c r="AE8" i="1175"/>
  <c r="AE7" i="1175"/>
  <c r="AE16" i="1175"/>
  <c r="AE10" i="1175"/>
  <c r="AE20" i="1175"/>
  <c r="AE19" i="1175"/>
  <c r="AE14" i="1175"/>
  <c r="AE13" i="1175"/>
  <c r="AE12" i="1175"/>
  <c r="AD21" i="1174"/>
  <c r="AE19" i="1174" s="1"/>
  <c r="AD20" i="1173"/>
  <c r="P23" i="1173"/>
  <c r="M23" i="1173"/>
  <c r="AD19" i="1173"/>
  <c r="AB23" i="1173"/>
  <c r="AD21" i="1173"/>
  <c r="AC23" i="1173"/>
  <c r="AD6" i="1173"/>
  <c r="AD10" i="1172"/>
  <c r="AD16" i="1172"/>
  <c r="AD13" i="1172"/>
  <c r="Q21" i="1172"/>
  <c r="P21" i="1172"/>
  <c r="AD7" i="1172"/>
  <c r="AD12" i="1172"/>
  <c r="AD17" i="1172"/>
  <c r="AD9" i="1172"/>
  <c r="AD14" i="1172"/>
  <c r="AD15" i="1172"/>
  <c r="AD11" i="1172"/>
  <c r="AD18" i="1172"/>
  <c r="M19" i="1172"/>
  <c r="AB19" i="1172"/>
  <c r="AD19" i="1172" s="1"/>
  <c r="AC6" i="1172"/>
  <c r="M8" i="1172"/>
  <c r="AB8" i="1172"/>
  <c r="M18" i="1172"/>
  <c r="L21" i="1172"/>
  <c r="O21" i="1172" s="1"/>
  <c r="K21" i="1172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0" i="1171"/>
  <c r="L19" i="1171"/>
  <c r="O19" i="1171" s="1"/>
  <c r="AF19" i="1171"/>
  <c r="Q19" i="1171"/>
  <c r="P19" i="1171" s="1"/>
  <c r="AC19" i="1171" s="1"/>
  <c r="M19" i="1171"/>
  <c r="L16" i="1171"/>
  <c r="K13" i="1171"/>
  <c r="K12" i="1171"/>
  <c r="K11" i="1171"/>
  <c r="K9" i="1171"/>
  <c r="L8" i="1171"/>
  <c r="K8" i="1171" s="1"/>
  <c r="AE14" i="1174" l="1"/>
  <c r="AE10" i="1174"/>
  <c r="AE6" i="1174"/>
  <c r="AE12" i="1174"/>
  <c r="AE8" i="1174"/>
  <c r="AE9" i="1174"/>
  <c r="AE16" i="1174"/>
  <c r="AE13" i="1174"/>
  <c r="AE15" i="1174"/>
  <c r="AE11" i="1174"/>
  <c r="AE20" i="1174"/>
  <c r="AE18" i="1174"/>
  <c r="AE7" i="1174"/>
  <c r="AE17" i="1174"/>
  <c r="AD23" i="1173"/>
  <c r="AE17" i="1173" s="1"/>
  <c r="M21" i="1172"/>
  <c r="AB21" i="1172"/>
  <c r="AD8" i="1172"/>
  <c r="AC21" i="1172"/>
  <c r="AD6" i="1172"/>
  <c r="K19" i="1171"/>
  <c r="AB19" i="1171"/>
  <c r="AD19" i="1171" s="1"/>
  <c r="K20" i="1171"/>
  <c r="K18" i="1171"/>
  <c r="K16" i="1171"/>
  <c r="K6" i="1171"/>
  <c r="A77" i="1171"/>
  <c r="A78" i="1171" s="1"/>
  <c r="A79" i="1171" s="1"/>
  <c r="A80" i="1171" s="1"/>
  <c r="A81" i="1171" s="1"/>
  <c r="A82" i="1171" s="1"/>
  <c r="A76" i="1171"/>
  <c r="A75" i="1171"/>
  <c r="AF61" i="1171"/>
  <c r="AF60" i="1171"/>
  <c r="AF63" i="1171" s="1"/>
  <c r="AA22" i="1171"/>
  <c r="Z22" i="1171"/>
  <c r="Y22" i="1171"/>
  <c r="X22" i="1171"/>
  <c r="W22" i="1171"/>
  <c r="V22" i="1171"/>
  <c r="U22" i="1171"/>
  <c r="T22" i="1171"/>
  <c r="S22" i="1171"/>
  <c r="R22" i="1171"/>
  <c r="N22" i="1171"/>
  <c r="J22" i="1171"/>
  <c r="I22" i="1171"/>
  <c r="AF21" i="1171"/>
  <c r="AB21" i="1171"/>
  <c r="Q21" i="1171"/>
  <c r="P21" i="1171"/>
  <c r="AC21" i="1171" s="1"/>
  <c r="AD21" i="1171" s="1"/>
  <c r="O21" i="1171"/>
  <c r="M21" i="1171"/>
  <c r="K21" i="1171"/>
  <c r="AF20" i="1171"/>
  <c r="Q20" i="1171"/>
  <c r="P20" i="1171" s="1"/>
  <c r="AC20" i="1171" s="1"/>
  <c r="O20" i="1171"/>
  <c r="AB20" i="1171"/>
  <c r="AF18" i="1171"/>
  <c r="AB18" i="1171"/>
  <c r="Q18" i="1171"/>
  <c r="P18" i="1171" s="1"/>
  <c r="AC18" i="1171" s="1"/>
  <c r="O18" i="1171"/>
  <c r="M18" i="1171"/>
  <c r="AF17" i="1171"/>
  <c r="AB17" i="1171"/>
  <c r="Q17" i="1171"/>
  <c r="P17" i="1171"/>
  <c r="AC17" i="1171" s="1"/>
  <c r="AD17" i="1171" s="1"/>
  <c r="O17" i="1171"/>
  <c r="M17" i="1171"/>
  <c r="K17" i="1171"/>
  <c r="AF16" i="1171"/>
  <c r="AB16" i="1171"/>
  <c r="Q16" i="1171"/>
  <c r="P16" i="1171"/>
  <c r="AC16" i="1171" s="1"/>
  <c r="O16" i="1171"/>
  <c r="M16" i="1171"/>
  <c r="AF15" i="1171"/>
  <c r="AC15" i="1171"/>
  <c r="AB15" i="1171"/>
  <c r="Q15" i="1171"/>
  <c r="P15" i="1171"/>
  <c r="O15" i="1171"/>
  <c r="M15" i="1171"/>
  <c r="K15" i="1171"/>
  <c r="AF14" i="1171"/>
  <c r="AB14" i="1171"/>
  <c r="Q14" i="1171"/>
  <c r="P14" i="1171"/>
  <c r="AC14" i="1171" s="1"/>
  <c r="O14" i="1171"/>
  <c r="M14" i="1171"/>
  <c r="K14" i="1171"/>
  <c r="AF13" i="1171"/>
  <c r="AB13" i="1171"/>
  <c r="Q13" i="1171"/>
  <c r="P13" i="1171" s="1"/>
  <c r="AC13" i="1171" s="1"/>
  <c r="O13" i="1171"/>
  <c r="M13" i="1171"/>
  <c r="AF12" i="1171"/>
  <c r="AB12" i="1171"/>
  <c r="Q12" i="1171"/>
  <c r="P12" i="1171" s="1"/>
  <c r="AC12" i="1171" s="1"/>
  <c r="O12" i="1171"/>
  <c r="M12" i="1171"/>
  <c r="AF11" i="1171"/>
  <c r="AB11" i="1171"/>
  <c r="Q11" i="1171"/>
  <c r="P11" i="1171" s="1"/>
  <c r="AC11" i="1171" s="1"/>
  <c r="O11" i="1171"/>
  <c r="M11" i="1171"/>
  <c r="AF10" i="1171"/>
  <c r="AB10" i="1171"/>
  <c r="Q10" i="1171"/>
  <c r="P10" i="1171"/>
  <c r="AC10" i="1171" s="1"/>
  <c r="O10" i="1171"/>
  <c r="M10" i="1171"/>
  <c r="K10" i="1171"/>
  <c r="AF9" i="1171"/>
  <c r="AB9" i="1171"/>
  <c r="Q9" i="1171"/>
  <c r="P9" i="1171" s="1"/>
  <c r="AC9" i="1171" s="1"/>
  <c r="O9" i="1171"/>
  <c r="M9" i="1171"/>
  <c r="AF8" i="1171"/>
  <c r="Q8" i="1171"/>
  <c r="AB8" i="1171"/>
  <c r="AF7" i="1171"/>
  <c r="AB7" i="1171"/>
  <c r="Q7" i="1171"/>
  <c r="P7" i="1171"/>
  <c r="AC7" i="1171" s="1"/>
  <c r="O7" i="1171"/>
  <c r="M7" i="1171"/>
  <c r="K7" i="1171"/>
  <c r="AF6" i="1171"/>
  <c r="AB6" i="1171"/>
  <c r="Q6" i="1171"/>
  <c r="M6" i="1171"/>
  <c r="O6" i="1171"/>
  <c r="AE19" i="1173" l="1"/>
  <c r="AE14" i="1173"/>
  <c r="AE8" i="1173"/>
  <c r="AE21" i="1173"/>
  <c r="AE11" i="1173"/>
  <c r="AE16" i="1173"/>
  <c r="AE7" i="1173"/>
  <c r="AE18" i="1173"/>
  <c r="AE10" i="1173"/>
  <c r="AE20" i="1173"/>
  <c r="AE15" i="1173"/>
  <c r="AE6" i="1173"/>
  <c r="AE12" i="1173"/>
  <c r="AE9" i="1173"/>
  <c r="AE22" i="1173"/>
  <c r="AE13" i="1173"/>
  <c r="AD21" i="1172"/>
  <c r="AE19" i="1172" s="1"/>
  <c r="AE8" i="1172"/>
  <c r="AE9" i="1172"/>
  <c r="AE18" i="1172"/>
  <c r="AE14" i="1172"/>
  <c r="AD7" i="1171"/>
  <c r="AD11" i="1171"/>
  <c r="AD18" i="1171"/>
  <c r="AD13" i="1171"/>
  <c r="Q22" i="1171"/>
  <c r="AD12" i="1171"/>
  <c r="AD15" i="1171"/>
  <c r="AD10" i="1171"/>
  <c r="AB22" i="1171"/>
  <c r="AD14" i="1171"/>
  <c r="AD9" i="1171"/>
  <c r="AD16" i="1171"/>
  <c r="AD20" i="1171"/>
  <c r="P6" i="1171"/>
  <c r="O8" i="1171"/>
  <c r="M20" i="1171"/>
  <c r="P8" i="1171"/>
  <c r="AC8" i="1171" s="1"/>
  <c r="L22" i="1171"/>
  <c r="O22" i="1171" s="1"/>
  <c r="M8" i="1171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K19" i="1170"/>
  <c r="L19" i="1170"/>
  <c r="L18" i="1170"/>
  <c r="K18" i="1170" s="1"/>
  <c r="L16" i="1170"/>
  <c r="K16" i="1170" s="1"/>
  <c r="L8" i="1170"/>
  <c r="K8" i="1170" s="1"/>
  <c r="L6" i="1170"/>
  <c r="K6" i="1170" s="1"/>
  <c r="K13" i="1170"/>
  <c r="A74" i="1170"/>
  <c r="A75" i="1170" s="1"/>
  <c r="A76" i="1170" s="1"/>
  <c r="A77" i="1170" s="1"/>
  <c r="A78" i="1170" s="1"/>
  <c r="A79" i="1170" s="1"/>
  <c r="A80" i="1170" s="1"/>
  <c r="A81" i="1170" s="1"/>
  <c r="AF60" i="1170"/>
  <c r="AF62" i="1170" s="1"/>
  <c r="AF59" i="1170"/>
  <c r="AA21" i="1170"/>
  <c r="Z21" i="1170"/>
  <c r="Y21" i="1170"/>
  <c r="X21" i="1170"/>
  <c r="W21" i="1170"/>
  <c r="V21" i="1170"/>
  <c r="U21" i="1170"/>
  <c r="T21" i="1170"/>
  <c r="S21" i="1170"/>
  <c r="R21" i="1170"/>
  <c r="N21" i="1170"/>
  <c r="J21" i="1170"/>
  <c r="I21" i="1170"/>
  <c r="AF20" i="1170"/>
  <c r="AB20" i="1170"/>
  <c r="Q20" i="1170"/>
  <c r="P20" i="1170"/>
  <c r="AC20" i="1170" s="1"/>
  <c r="AD20" i="1170" s="1"/>
  <c r="O20" i="1170"/>
  <c r="M20" i="1170"/>
  <c r="K20" i="1170"/>
  <c r="AF19" i="1170"/>
  <c r="Q19" i="1170"/>
  <c r="P19" i="1170" s="1"/>
  <c r="AC19" i="1170" s="1"/>
  <c r="O19" i="1170"/>
  <c r="AF18" i="1170"/>
  <c r="Q18" i="1170"/>
  <c r="P18" i="1170" s="1"/>
  <c r="AC18" i="1170" s="1"/>
  <c r="O18" i="1170"/>
  <c r="AB18" i="1170"/>
  <c r="AF17" i="1170"/>
  <c r="AB17" i="1170"/>
  <c r="Q17" i="1170"/>
  <c r="P17" i="1170"/>
  <c r="AC17" i="1170" s="1"/>
  <c r="AD17" i="1170" s="1"/>
  <c r="O17" i="1170"/>
  <c r="M17" i="1170"/>
  <c r="K17" i="1170"/>
  <c r="AF16" i="1170"/>
  <c r="Q16" i="1170"/>
  <c r="P16" i="1170"/>
  <c r="AC16" i="1170" s="1"/>
  <c r="AF15" i="1170"/>
  <c r="AB15" i="1170"/>
  <c r="Q15" i="1170"/>
  <c r="P15" i="1170"/>
  <c r="AC15" i="1170" s="1"/>
  <c r="O15" i="1170"/>
  <c r="M15" i="1170"/>
  <c r="K15" i="1170"/>
  <c r="AF14" i="1170"/>
  <c r="AC14" i="1170"/>
  <c r="AB14" i="1170"/>
  <c r="Q14" i="1170"/>
  <c r="P14" i="1170"/>
  <c r="O14" i="1170"/>
  <c r="M14" i="1170"/>
  <c r="K14" i="1170"/>
  <c r="AF13" i="1170"/>
  <c r="Q13" i="1170"/>
  <c r="P13" i="1170" s="1"/>
  <c r="AC13" i="1170" s="1"/>
  <c r="O13" i="1170"/>
  <c r="AB13" i="1170"/>
  <c r="AF12" i="1170"/>
  <c r="AB12" i="1170"/>
  <c r="Q12" i="1170"/>
  <c r="P12" i="1170"/>
  <c r="AC12" i="1170" s="1"/>
  <c r="AD12" i="1170" s="1"/>
  <c r="O12" i="1170"/>
  <c r="M12" i="1170"/>
  <c r="K12" i="1170"/>
  <c r="AF11" i="1170"/>
  <c r="AB11" i="1170"/>
  <c r="Q11" i="1170"/>
  <c r="P11" i="1170"/>
  <c r="AC11" i="1170" s="1"/>
  <c r="O11" i="1170"/>
  <c r="M11" i="1170"/>
  <c r="K11" i="1170"/>
  <c r="AF10" i="1170"/>
  <c r="AC10" i="1170"/>
  <c r="AB10" i="1170"/>
  <c r="Q10" i="1170"/>
  <c r="P10" i="1170"/>
  <c r="O10" i="1170"/>
  <c r="M10" i="1170"/>
  <c r="K10" i="1170"/>
  <c r="AF9" i="1170"/>
  <c r="AB9" i="1170"/>
  <c r="Q9" i="1170"/>
  <c r="P9" i="1170"/>
  <c r="AC9" i="1170" s="1"/>
  <c r="O9" i="1170"/>
  <c r="M9" i="1170"/>
  <c r="K9" i="1170"/>
  <c r="AF8" i="1170"/>
  <c r="AB8" i="1170"/>
  <c r="Q8" i="1170"/>
  <c r="P8" i="1170"/>
  <c r="AC8" i="1170" s="1"/>
  <c r="O8" i="1170"/>
  <c r="M8" i="1170"/>
  <c r="AF7" i="1170"/>
  <c r="AC7" i="1170"/>
  <c r="AB7" i="1170"/>
  <c r="Q7" i="1170"/>
  <c r="P7" i="1170"/>
  <c r="O7" i="1170"/>
  <c r="M7" i="1170"/>
  <c r="K7" i="1170"/>
  <c r="AF6" i="1170"/>
  <c r="Q6" i="1170"/>
  <c r="P6" i="1170"/>
  <c r="L21" i="1170"/>
  <c r="O21" i="1170" s="1"/>
  <c r="AE11" i="1172" l="1"/>
  <c r="AE10" i="1172"/>
  <c r="AE12" i="1172"/>
  <c r="AE7" i="1172"/>
  <c r="AE16" i="1172"/>
  <c r="AE13" i="1172"/>
  <c r="AE20" i="1172"/>
  <c r="AE15" i="1172"/>
  <c r="AE6" i="1172"/>
  <c r="AE17" i="1172"/>
  <c r="M22" i="1171"/>
  <c r="AD8" i="1171"/>
  <c r="AC6" i="1171"/>
  <c r="P22" i="1171"/>
  <c r="K22" i="1171"/>
  <c r="Q21" i="1170"/>
  <c r="AD10" i="1170"/>
  <c r="AD8" i="1170"/>
  <c r="AD7" i="1170"/>
  <c r="AD14" i="1170"/>
  <c r="AD11" i="1170"/>
  <c r="AD15" i="1170"/>
  <c r="AD9" i="1170"/>
  <c r="P21" i="1170"/>
  <c r="AD13" i="1170"/>
  <c r="AD18" i="1170"/>
  <c r="M16" i="1170"/>
  <c r="AB16" i="1170"/>
  <c r="M19" i="1170"/>
  <c r="AB19" i="1170"/>
  <c r="AD19" i="1170" s="1"/>
  <c r="M6" i="1170"/>
  <c r="AB6" i="1170"/>
  <c r="M13" i="1170"/>
  <c r="O16" i="1170"/>
  <c r="M18" i="1170"/>
  <c r="O6" i="1170"/>
  <c r="AC6" i="1170"/>
  <c r="K21" i="1170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19" i="1169"/>
  <c r="L18" i="1169"/>
  <c r="K18" i="1169" s="1"/>
  <c r="L16" i="1169"/>
  <c r="K16" i="1169" s="1"/>
  <c r="L13" i="1169"/>
  <c r="K13" i="1169" s="1"/>
  <c r="L8" i="1169"/>
  <c r="K8" i="1169" s="1"/>
  <c r="L6" i="1169"/>
  <c r="K19" i="1169"/>
  <c r="K10" i="1169"/>
  <c r="K6" i="1169"/>
  <c r="AC22" i="1171" l="1"/>
  <c r="AD6" i="1171"/>
  <c r="AD22" i="1171" s="1"/>
  <c r="AE19" i="1171" s="1"/>
  <c r="AD16" i="1170"/>
  <c r="AB21" i="1170"/>
  <c r="M21" i="1170"/>
  <c r="AC21" i="1170"/>
  <c r="AD6" i="1170"/>
  <c r="AD21" i="1170" s="1"/>
  <c r="A74" i="1169"/>
  <c r="A75" i="1169" s="1"/>
  <c r="A76" i="1169" s="1"/>
  <c r="A77" i="1169" s="1"/>
  <c r="A78" i="1169" s="1"/>
  <c r="A79" i="1169" s="1"/>
  <c r="A80" i="1169" s="1"/>
  <c r="A81" i="1169" s="1"/>
  <c r="AF60" i="1169"/>
  <c r="AF59" i="1169"/>
  <c r="AF62" i="1169" s="1"/>
  <c r="AA21" i="1169"/>
  <c r="Z21" i="1169"/>
  <c r="Y21" i="1169"/>
  <c r="X21" i="1169"/>
  <c r="W21" i="1169"/>
  <c r="V21" i="1169"/>
  <c r="U21" i="1169"/>
  <c r="T21" i="1169"/>
  <c r="S21" i="1169"/>
  <c r="R21" i="1169"/>
  <c r="N21" i="1169"/>
  <c r="J21" i="1169"/>
  <c r="I21" i="1169"/>
  <c r="AF20" i="1169"/>
  <c r="AB20" i="1169"/>
  <c r="Q20" i="1169"/>
  <c r="P20" i="1169"/>
  <c r="AC20" i="1169" s="1"/>
  <c r="AD20" i="1169" s="1"/>
  <c r="O20" i="1169"/>
  <c r="M20" i="1169"/>
  <c r="K20" i="1169"/>
  <c r="AF19" i="1169"/>
  <c r="AB19" i="1169"/>
  <c r="Q19" i="1169"/>
  <c r="P19" i="1169" s="1"/>
  <c r="AC19" i="1169" s="1"/>
  <c r="O19" i="1169"/>
  <c r="M19" i="1169"/>
  <c r="AF18" i="1169"/>
  <c r="AB18" i="1169"/>
  <c r="Q18" i="1169"/>
  <c r="P18" i="1169" s="1"/>
  <c r="AC18" i="1169" s="1"/>
  <c r="O18" i="1169"/>
  <c r="M18" i="1169"/>
  <c r="AF17" i="1169"/>
  <c r="AC17" i="1169"/>
  <c r="AB17" i="1169"/>
  <c r="Q17" i="1169"/>
  <c r="P17" i="1169"/>
  <c r="O17" i="1169"/>
  <c r="M17" i="1169"/>
  <c r="K17" i="1169"/>
  <c r="AF16" i="1169"/>
  <c r="AB16" i="1169"/>
  <c r="Q16" i="1169"/>
  <c r="P16" i="1169" s="1"/>
  <c r="AC16" i="1169" s="1"/>
  <c r="O16" i="1169"/>
  <c r="M16" i="1169"/>
  <c r="AF15" i="1169"/>
  <c r="AB15" i="1169"/>
  <c r="Q15" i="1169"/>
  <c r="P15" i="1169"/>
  <c r="AC15" i="1169" s="1"/>
  <c r="O15" i="1169"/>
  <c r="M15" i="1169"/>
  <c r="K15" i="1169"/>
  <c r="AF14" i="1169"/>
  <c r="AB14" i="1169"/>
  <c r="Q14" i="1169"/>
  <c r="P14" i="1169"/>
  <c r="AC14" i="1169" s="1"/>
  <c r="O14" i="1169"/>
  <c r="M14" i="1169"/>
  <c r="K14" i="1169"/>
  <c r="AF13" i="1169"/>
  <c r="AB13" i="1169"/>
  <c r="Q13" i="1169"/>
  <c r="P13" i="1169" s="1"/>
  <c r="AC13" i="1169" s="1"/>
  <c r="O13" i="1169"/>
  <c r="M13" i="1169"/>
  <c r="AF12" i="1169"/>
  <c r="AB12" i="1169"/>
  <c r="Q12" i="1169"/>
  <c r="P12" i="1169"/>
  <c r="AC12" i="1169" s="1"/>
  <c r="O12" i="1169"/>
  <c r="M12" i="1169"/>
  <c r="K12" i="1169"/>
  <c r="AF11" i="1169"/>
  <c r="AB11" i="1169"/>
  <c r="Q11" i="1169"/>
  <c r="P11" i="1169"/>
  <c r="AC11" i="1169" s="1"/>
  <c r="O11" i="1169"/>
  <c r="M11" i="1169"/>
  <c r="K11" i="1169"/>
  <c r="AF10" i="1169"/>
  <c r="AB10" i="1169"/>
  <c r="Q10" i="1169"/>
  <c r="P10" i="1169"/>
  <c r="AC10" i="1169" s="1"/>
  <c r="AD10" i="1169" s="1"/>
  <c r="O10" i="1169"/>
  <c r="M10" i="1169"/>
  <c r="AF9" i="1169"/>
  <c r="AB9" i="1169"/>
  <c r="Q9" i="1169"/>
  <c r="P9" i="1169"/>
  <c r="AC9" i="1169" s="1"/>
  <c r="O9" i="1169"/>
  <c r="M9" i="1169"/>
  <c r="K9" i="1169"/>
  <c r="AF8" i="1169"/>
  <c r="Q8" i="1169"/>
  <c r="P8" i="1169" s="1"/>
  <c r="AC8" i="1169" s="1"/>
  <c r="O8" i="1169"/>
  <c r="AB8" i="1169"/>
  <c r="AF7" i="1169"/>
  <c r="AB7" i="1169"/>
  <c r="Q7" i="1169"/>
  <c r="P7" i="1169"/>
  <c r="AC7" i="1169" s="1"/>
  <c r="O7" i="1169"/>
  <c r="M7" i="1169"/>
  <c r="K7" i="1169"/>
  <c r="AF6" i="1169"/>
  <c r="Q6" i="1169"/>
  <c r="M6" i="1169"/>
  <c r="K21" i="1169"/>
  <c r="AE20" i="1171" l="1"/>
  <c r="AE16" i="1171"/>
  <c r="AE7" i="1171"/>
  <c r="AE12" i="1171"/>
  <c r="AE10" i="1171"/>
  <c r="AE21" i="1171"/>
  <c r="AE17" i="1171"/>
  <c r="AE6" i="1171"/>
  <c r="AE8" i="1171"/>
  <c r="AE18" i="1171"/>
  <c r="AE15" i="1171"/>
  <c r="AE13" i="1171"/>
  <c r="AE11" i="1171"/>
  <c r="AE9" i="1171"/>
  <c r="AE14" i="1171"/>
  <c r="AE19" i="1170"/>
  <c r="AE14" i="1170"/>
  <c r="AE7" i="1170"/>
  <c r="AE6" i="1170"/>
  <c r="AE16" i="1170"/>
  <c r="AE20" i="1170"/>
  <c r="AE17" i="1170"/>
  <c r="AE12" i="1170"/>
  <c r="AE10" i="1170"/>
  <c r="AE8" i="1170"/>
  <c r="AE13" i="1170"/>
  <c r="AE18" i="1170"/>
  <c r="AE15" i="1170"/>
  <c r="AE11" i="1170"/>
  <c r="AE9" i="1170"/>
  <c r="AD15" i="1169"/>
  <c r="AD19" i="1169"/>
  <c r="AD9" i="1169"/>
  <c r="AD7" i="1169"/>
  <c r="AD11" i="1169"/>
  <c r="Q21" i="1169"/>
  <c r="P6" i="1169"/>
  <c r="P21" i="1169" s="1"/>
  <c r="AD12" i="1169"/>
  <c r="AD18" i="1169"/>
  <c r="AD16" i="1169"/>
  <c r="AD13" i="1169"/>
  <c r="AD17" i="1169"/>
  <c r="AD14" i="1169"/>
  <c r="AD8" i="1169"/>
  <c r="AB6" i="1169"/>
  <c r="AB21" i="1169" s="1"/>
  <c r="O6" i="1169"/>
  <c r="M8" i="1169"/>
  <c r="M21" i="1169" s="1"/>
  <c r="L21" i="1169"/>
  <c r="O21" i="1169" s="1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K19" i="1168"/>
  <c r="AF19" i="1168"/>
  <c r="AB19" i="1168"/>
  <c r="Q19" i="1168"/>
  <c r="P19" i="1168" s="1"/>
  <c r="AC19" i="1168" s="1"/>
  <c r="O19" i="1168"/>
  <c r="M19" i="1168"/>
  <c r="AF16" i="1168"/>
  <c r="AB16" i="1168"/>
  <c r="Q16" i="1168"/>
  <c r="P16" i="1168" s="1"/>
  <c r="AC16" i="1168" s="1"/>
  <c r="O16" i="1168"/>
  <c r="M16" i="1168"/>
  <c r="K16" i="1168"/>
  <c r="K10" i="1168"/>
  <c r="L8" i="1168"/>
  <c r="K8" i="1168" s="1"/>
  <c r="L6" i="1168"/>
  <c r="K6" i="1168" s="1"/>
  <c r="K20" i="1168"/>
  <c r="K18" i="1168"/>
  <c r="K13" i="1168"/>
  <c r="K12" i="1168"/>
  <c r="K9" i="1168"/>
  <c r="A75" i="1168"/>
  <c r="A76" i="1168" s="1"/>
  <c r="A77" i="1168" s="1"/>
  <c r="A78" i="1168" s="1"/>
  <c r="A79" i="1168" s="1"/>
  <c r="A80" i="1168" s="1"/>
  <c r="A81" i="1168" s="1"/>
  <c r="A82" i="1168" s="1"/>
  <c r="AF61" i="1168"/>
  <c r="AF60" i="1168"/>
  <c r="AF63" i="1168" s="1"/>
  <c r="AA22" i="1168"/>
  <c r="Z22" i="1168"/>
  <c r="Y22" i="1168"/>
  <c r="X22" i="1168"/>
  <c r="W22" i="1168"/>
  <c r="V22" i="1168"/>
  <c r="U22" i="1168"/>
  <c r="T22" i="1168"/>
  <c r="S22" i="1168"/>
  <c r="R22" i="1168"/>
  <c r="N22" i="1168"/>
  <c r="J22" i="1168"/>
  <c r="I22" i="1168"/>
  <c r="AF21" i="1168"/>
  <c r="AB21" i="1168"/>
  <c r="Q21" i="1168"/>
  <c r="P21" i="1168"/>
  <c r="AC21" i="1168" s="1"/>
  <c r="O21" i="1168"/>
  <c r="M21" i="1168"/>
  <c r="K21" i="1168"/>
  <c r="AF20" i="1168"/>
  <c r="AB20" i="1168"/>
  <c r="Q20" i="1168"/>
  <c r="P20" i="1168" s="1"/>
  <c r="AC20" i="1168" s="1"/>
  <c r="O20" i="1168"/>
  <c r="M20" i="1168"/>
  <c r="AF18" i="1168"/>
  <c r="AB18" i="1168"/>
  <c r="Q18" i="1168"/>
  <c r="M18" i="1168"/>
  <c r="O18" i="1168"/>
  <c r="AF17" i="1168"/>
  <c r="AB17" i="1168"/>
  <c r="Q17" i="1168"/>
  <c r="P17" i="1168"/>
  <c r="AC17" i="1168" s="1"/>
  <c r="O17" i="1168"/>
  <c r="M17" i="1168"/>
  <c r="K17" i="1168"/>
  <c r="AF15" i="1168"/>
  <c r="AB15" i="1168"/>
  <c r="Q15" i="1168"/>
  <c r="P15" i="1168"/>
  <c r="AC15" i="1168" s="1"/>
  <c r="O15" i="1168"/>
  <c r="M15" i="1168"/>
  <c r="K15" i="1168"/>
  <c r="AF14" i="1168"/>
  <c r="AB14" i="1168"/>
  <c r="Q14" i="1168"/>
  <c r="P14" i="1168"/>
  <c r="AC14" i="1168" s="1"/>
  <c r="O14" i="1168"/>
  <c r="M14" i="1168"/>
  <c r="K14" i="1168"/>
  <c r="AF13" i="1168"/>
  <c r="AB13" i="1168"/>
  <c r="Q13" i="1168"/>
  <c r="P13" i="1168" s="1"/>
  <c r="AC13" i="1168" s="1"/>
  <c r="O13" i="1168"/>
  <c r="M13" i="1168"/>
  <c r="AF12" i="1168"/>
  <c r="AB12" i="1168"/>
  <c r="Q12" i="1168"/>
  <c r="P12" i="1168"/>
  <c r="AC12" i="1168" s="1"/>
  <c r="O12" i="1168"/>
  <c r="M12" i="1168"/>
  <c r="AF11" i="1168"/>
  <c r="AB11" i="1168"/>
  <c r="Q11" i="1168"/>
  <c r="P11" i="1168"/>
  <c r="AC11" i="1168" s="1"/>
  <c r="O11" i="1168"/>
  <c r="M11" i="1168"/>
  <c r="K11" i="1168"/>
  <c r="AF10" i="1168"/>
  <c r="AB10" i="1168"/>
  <c r="Q10" i="1168"/>
  <c r="P10" i="1168" s="1"/>
  <c r="AC10" i="1168" s="1"/>
  <c r="O10" i="1168"/>
  <c r="M10" i="1168"/>
  <c r="AF9" i="1168"/>
  <c r="Q9" i="1168"/>
  <c r="P9" i="1168"/>
  <c r="AC9" i="1168" s="1"/>
  <c r="O9" i="1168"/>
  <c r="AB9" i="1168"/>
  <c r="AF8" i="1168"/>
  <c r="AB8" i="1168"/>
  <c r="Q8" i="1168"/>
  <c r="P8" i="1168" s="1"/>
  <c r="AC8" i="1168" s="1"/>
  <c r="O8" i="1168"/>
  <c r="M8" i="1168"/>
  <c r="AF7" i="1168"/>
  <c r="AB7" i="1168"/>
  <c r="Q7" i="1168"/>
  <c r="P7" i="1168"/>
  <c r="AC7" i="1168" s="1"/>
  <c r="O7" i="1168"/>
  <c r="M7" i="1168"/>
  <c r="K7" i="1168"/>
  <c r="AF6" i="1168"/>
  <c r="AB6" i="1168"/>
  <c r="Q6" i="1168"/>
  <c r="O6" i="1168"/>
  <c r="M6" i="1168"/>
  <c r="L22" i="1168"/>
  <c r="O22" i="1168" s="1"/>
  <c r="AC6" i="1169" l="1"/>
  <c r="AD6" i="1169" s="1"/>
  <c r="AD21" i="1169" s="1"/>
  <c r="AC21" i="1169"/>
  <c r="AD19" i="1168"/>
  <c r="AD21" i="1168"/>
  <c r="AD16" i="1168"/>
  <c r="AD8" i="1168"/>
  <c r="AD11" i="1168"/>
  <c r="AD13" i="1168"/>
  <c r="AD14" i="1168"/>
  <c r="AD7" i="1168"/>
  <c r="AD10" i="1168"/>
  <c r="Q22" i="1168"/>
  <c r="AB22" i="1168"/>
  <c r="P6" i="1168"/>
  <c r="AC6" i="1168" s="1"/>
  <c r="AD9" i="1168"/>
  <c r="AD17" i="1168"/>
  <c r="AD12" i="1168"/>
  <c r="AD15" i="1168"/>
  <c r="AD20" i="1168"/>
  <c r="K22" i="1168"/>
  <c r="M9" i="1168"/>
  <c r="M22" i="1168" s="1"/>
  <c r="P18" i="1168"/>
  <c r="AC18" i="1168" s="1"/>
  <c r="AD18" i="1168" s="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F11" i="1167"/>
  <c r="AB11" i="1167"/>
  <c r="Q11" i="1167"/>
  <c r="P11" i="1167"/>
  <c r="AC11" i="1167" s="1"/>
  <c r="O11" i="1167"/>
  <c r="M11" i="1167"/>
  <c r="K11" i="1167"/>
  <c r="K19" i="1167"/>
  <c r="AF19" i="1167"/>
  <c r="AB19" i="1167"/>
  <c r="Q19" i="1167"/>
  <c r="P19" i="1167" s="1"/>
  <c r="AC19" i="1167" s="1"/>
  <c r="O19" i="1167"/>
  <c r="M19" i="1167"/>
  <c r="K14" i="1167"/>
  <c r="AF14" i="1167"/>
  <c r="AB14" i="1167"/>
  <c r="Q14" i="1167"/>
  <c r="P14" i="1167" s="1"/>
  <c r="AC14" i="1167" s="1"/>
  <c r="O14" i="1167"/>
  <c r="M14" i="1167"/>
  <c r="L21" i="1167"/>
  <c r="K21" i="1167" s="1"/>
  <c r="L15" i="1167"/>
  <c r="K15" i="1167" s="1"/>
  <c r="K10" i="1167"/>
  <c r="L9" i="1167"/>
  <c r="L8" i="1167"/>
  <c r="K8" i="1167" s="1"/>
  <c r="L6" i="1167"/>
  <c r="K6" i="1167" s="1"/>
  <c r="K18" i="1167"/>
  <c r="K13" i="1167"/>
  <c r="K12" i="1167"/>
  <c r="K9" i="1167"/>
  <c r="A77" i="1167"/>
  <c r="A78" i="1167" s="1"/>
  <c r="A79" i="1167" s="1"/>
  <c r="A80" i="1167" s="1"/>
  <c r="A81" i="1167" s="1"/>
  <c r="A82" i="1167" s="1"/>
  <c r="A83" i="1167" s="1"/>
  <c r="A84" i="1167" s="1"/>
  <c r="AF65" i="1167"/>
  <c r="AF63" i="1167"/>
  <c r="AF62" i="1167"/>
  <c r="AA24" i="1167"/>
  <c r="Z24" i="1167"/>
  <c r="Y24" i="1167"/>
  <c r="X24" i="1167"/>
  <c r="W24" i="1167"/>
  <c r="V24" i="1167"/>
  <c r="U24" i="1167"/>
  <c r="T24" i="1167"/>
  <c r="S24" i="1167"/>
  <c r="R24" i="1167"/>
  <c r="N24" i="1167"/>
  <c r="J24" i="1167"/>
  <c r="I24" i="1167"/>
  <c r="AF23" i="1167"/>
  <c r="AB23" i="1167"/>
  <c r="Q23" i="1167"/>
  <c r="P23" i="1167"/>
  <c r="AC23" i="1167" s="1"/>
  <c r="O23" i="1167"/>
  <c r="M23" i="1167"/>
  <c r="K23" i="1167"/>
  <c r="AF22" i="1167"/>
  <c r="AB22" i="1167"/>
  <c r="Q22" i="1167"/>
  <c r="P22" i="1167" s="1"/>
  <c r="AC22" i="1167" s="1"/>
  <c r="O22" i="1167"/>
  <c r="M22" i="1167"/>
  <c r="K22" i="1167"/>
  <c r="AF21" i="1167"/>
  <c r="AB21" i="1167"/>
  <c r="Q21" i="1167"/>
  <c r="P21" i="1167" s="1"/>
  <c r="AC21" i="1167" s="1"/>
  <c r="O21" i="1167"/>
  <c r="M21" i="1167"/>
  <c r="AF20" i="1167"/>
  <c r="AB20" i="1167"/>
  <c r="Q20" i="1167"/>
  <c r="P20" i="1167"/>
  <c r="AC20" i="1167" s="1"/>
  <c r="O20" i="1167"/>
  <c r="M20" i="1167"/>
  <c r="K20" i="1167"/>
  <c r="AF18" i="1167"/>
  <c r="Q18" i="1167"/>
  <c r="P18" i="1167" s="1"/>
  <c r="AC18" i="1167" s="1"/>
  <c r="AF17" i="1167"/>
  <c r="AB17" i="1167"/>
  <c r="Q17" i="1167"/>
  <c r="P17" i="1167"/>
  <c r="AC17" i="1167" s="1"/>
  <c r="O17" i="1167"/>
  <c r="M17" i="1167"/>
  <c r="K17" i="1167"/>
  <c r="AF16" i="1167"/>
  <c r="AB16" i="1167"/>
  <c r="Q16" i="1167"/>
  <c r="P16" i="1167"/>
  <c r="AC16" i="1167" s="1"/>
  <c r="O16" i="1167"/>
  <c r="M16" i="1167"/>
  <c r="K16" i="1167"/>
  <c r="AF15" i="1167"/>
  <c r="Q15" i="1167"/>
  <c r="P15" i="1167" s="1"/>
  <c r="AC15" i="1167" s="1"/>
  <c r="O15" i="1167"/>
  <c r="M15" i="1167"/>
  <c r="AB15" i="1167"/>
  <c r="AF13" i="1167"/>
  <c r="Q13" i="1167"/>
  <c r="P13" i="1167" s="1"/>
  <c r="AC13" i="1167" s="1"/>
  <c r="AF12" i="1167"/>
  <c r="AB12" i="1167"/>
  <c r="Q12" i="1167"/>
  <c r="P12" i="1167"/>
  <c r="AC12" i="1167" s="1"/>
  <c r="O12" i="1167"/>
  <c r="M12" i="1167"/>
  <c r="AF10" i="1167"/>
  <c r="AB10" i="1167"/>
  <c r="Q10" i="1167"/>
  <c r="P10" i="1167" s="1"/>
  <c r="AC10" i="1167" s="1"/>
  <c r="O10" i="1167"/>
  <c r="M10" i="1167"/>
  <c r="AF9" i="1167"/>
  <c r="Q9" i="1167"/>
  <c r="P9" i="1167" s="1"/>
  <c r="AC9" i="1167" s="1"/>
  <c r="O9" i="1167"/>
  <c r="AF8" i="1167"/>
  <c r="Q8" i="1167"/>
  <c r="O8" i="1167"/>
  <c r="AB8" i="1167"/>
  <c r="AF7" i="1167"/>
  <c r="AB7" i="1167"/>
  <c r="Q7" i="1167"/>
  <c r="P7" i="1167"/>
  <c r="AC7" i="1167" s="1"/>
  <c r="O7" i="1167"/>
  <c r="M7" i="1167"/>
  <c r="K7" i="1167"/>
  <c r="AF6" i="1167"/>
  <c r="AB6" i="1167"/>
  <c r="Q6" i="1167"/>
  <c r="O6" i="1167"/>
  <c r="M6" i="1167"/>
  <c r="L24" i="1167"/>
  <c r="AE19" i="1169" l="1"/>
  <c r="AE16" i="1169"/>
  <c r="AE10" i="1169"/>
  <c r="AE8" i="1169"/>
  <c r="AE6" i="1169"/>
  <c r="AE20" i="1169"/>
  <c r="AE18" i="1169"/>
  <c r="AE17" i="1169"/>
  <c r="AE15" i="1169"/>
  <c r="AE13" i="1169"/>
  <c r="AE11" i="1169"/>
  <c r="AE9" i="1169"/>
  <c r="AE7" i="1169"/>
  <c r="AE14" i="1169"/>
  <c r="AE12" i="1169"/>
  <c r="AC22" i="1168"/>
  <c r="AD6" i="1168"/>
  <c r="AD22" i="1168" s="1"/>
  <c r="P22" i="1168"/>
  <c r="AD11" i="1167"/>
  <c r="O24" i="1167"/>
  <c r="AD23" i="1167"/>
  <c r="AD19" i="1167"/>
  <c r="AD14" i="1167"/>
  <c r="AD10" i="1167"/>
  <c r="Q24" i="1167"/>
  <c r="P6" i="1167"/>
  <c r="AC6" i="1167" s="1"/>
  <c r="AD6" i="1167" s="1"/>
  <c r="AD17" i="1167"/>
  <c r="AD7" i="1167"/>
  <c r="AD16" i="1167"/>
  <c r="AD20" i="1167"/>
  <c r="AD12" i="1167"/>
  <c r="AD22" i="1167"/>
  <c r="AD21" i="1167"/>
  <c r="AD15" i="1167"/>
  <c r="K24" i="1167"/>
  <c r="P8" i="1167"/>
  <c r="AC8" i="1167" s="1"/>
  <c r="AD8" i="1167" s="1"/>
  <c r="M13" i="1167"/>
  <c r="AB13" i="1167"/>
  <c r="M18" i="1167"/>
  <c r="AB18" i="1167"/>
  <c r="M9" i="1167"/>
  <c r="AB9" i="1167"/>
  <c r="AD9" i="1167" s="1"/>
  <c r="O13" i="1167"/>
  <c r="O18" i="1167"/>
  <c r="M8" i="1167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K20" i="1166"/>
  <c r="L19" i="1166"/>
  <c r="K19" i="1166" s="1"/>
  <c r="L17" i="1166"/>
  <c r="K17" i="1166" s="1"/>
  <c r="L14" i="1166"/>
  <c r="K14" i="1166" s="1"/>
  <c r="AF14" i="1166"/>
  <c r="Q14" i="1166"/>
  <c r="O14" i="1166"/>
  <c r="M14" i="1166"/>
  <c r="K13" i="1166"/>
  <c r="L12" i="1166"/>
  <c r="K12" i="1166" s="1"/>
  <c r="K10" i="1166"/>
  <c r="L9" i="1166"/>
  <c r="K9" i="1166" s="1"/>
  <c r="L8" i="1166"/>
  <c r="L6" i="1166"/>
  <c r="K6" i="1166" s="1"/>
  <c r="K18" i="1166"/>
  <c r="K11" i="1166"/>
  <c r="K8" i="1166"/>
  <c r="A75" i="1166"/>
  <c r="A76" i="1166" s="1"/>
  <c r="A77" i="1166" s="1"/>
  <c r="A78" i="1166" s="1"/>
  <c r="A79" i="1166" s="1"/>
  <c r="A80" i="1166" s="1"/>
  <c r="A81" i="1166" s="1"/>
  <c r="A82" i="1166" s="1"/>
  <c r="AF61" i="1166"/>
  <c r="AF60" i="1166"/>
  <c r="AF63" i="1166" s="1"/>
  <c r="AA22" i="1166"/>
  <c r="Z22" i="1166"/>
  <c r="Y22" i="1166"/>
  <c r="X22" i="1166"/>
  <c r="W22" i="1166"/>
  <c r="V22" i="1166"/>
  <c r="U22" i="1166"/>
  <c r="T22" i="1166"/>
  <c r="S22" i="1166"/>
  <c r="R22" i="1166"/>
  <c r="N22" i="1166"/>
  <c r="J22" i="1166"/>
  <c r="I22" i="1166"/>
  <c r="AF21" i="1166"/>
  <c r="AC21" i="1166"/>
  <c r="AB21" i="1166"/>
  <c r="Q21" i="1166"/>
  <c r="P21" i="1166"/>
  <c r="O21" i="1166"/>
  <c r="M21" i="1166"/>
  <c r="K21" i="1166"/>
  <c r="AF20" i="1166"/>
  <c r="AB20" i="1166"/>
  <c r="Q20" i="1166"/>
  <c r="P20" i="1166"/>
  <c r="AC20" i="1166" s="1"/>
  <c r="O20" i="1166"/>
  <c r="M20" i="1166"/>
  <c r="AF19" i="1166"/>
  <c r="AB19" i="1166"/>
  <c r="Q19" i="1166"/>
  <c r="P19" i="1166" s="1"/>
  <c r="AC19" i="1166" s="1"/>
  <c r="O19" i="1166"/>
  <c r="M19" i="1166"/>
  <c r="AF18" i="1166"/>
  <c r="Q18" i="1166"/>
  <c r="P18" i="1166"/>
  <c r="AC18" i="1166" s="1"/>
  <c r="AF17" i="1166"/>
  <c r="Q17" i="1166"/>
  <c r="P17" i="1166"/>
  <c r="AC17" i="1166" s="1"/>
  <c r="O17" i="1166"/>
  <c r="AF16" i="1166"/>
  <c r="AC16" i="1166"/>
  <c r="AB16" i="1166"/>
  <c r="Q16" i="1166"/>
  <c r="P16" i="1166"/>
  <c r="O16" i="1166"/>
  <c r="M16" i="1166"/>
  <c r="K16" i="1166"/>
  <c r="AF15" i="1166"/>
  <c r="AB15" i="1166"/>
  <c r="Q15" i="1166"/>
  <c r="P15" i="1166"/>
  <c r="AC15" i="1166" s="1"/>
  <c r="O15" i="1166"/>
  <c r="M15" i="1166"/>
  <c r="K15" i="1166"/>
  <c r="AF13" i="1166"/>
  <c r="AB13" i="1166"/>
  <c r="Q13" i="1166"/>
  <c r="P13" i="1166" s="1"/>
  <c r="AC13" i="1166" s="1"/>
  <c r="O13" i="1166"/>
  <c r="M13" i="1166"/>
  <c r="AF12" i="1166"/>
  <c r="Q12" i="1166"/>
  <c r="P12" i="1166" s="1"/>
  <c r="AC12" i="1166" s="1"/>
  <c r="AF11" i="1166"/>
  <c r="Q11" i="1166"/>
  <c r="P11" i="1166" s="1"/>
  <c r="AC11" i="1166" s="1"/>
  <c r="O11" i="1166"/>
  <c r="AF10" i="1166"/>
  <c r="AB10" i="1166"/>
  <c r="Q10" i="1166"/>
  <c r="P10" i="1166" s="1"/>
  <c r="AC10" i="1166" s="1"/>
  <c r="O10" i="1166"/>
  <c r="M10" i="1166"/>
  <c r="AF9" i="1166"/>
  <c r="AB9" i="1166"/>
  <c r="Q9" i="1166"/>
  <c r="P9" i="1166" s="1"/>
  <c r="AC9" i="1166" s="1"/>
  <c r="O9" i="1166"/>
  <c r="M9" i="1166"/>
  <c r="AF8" i="1166"/>
  <c r="Q8" i="1166"/>
  <c r="P8" i="1166" s="1"/>
  <c r="AC8" i="1166" s="1"/>
  <c r="O8" i="1166"/>
  <c r="AB8" i="1166"/>
  <c r="AF7" i="1166"/>
  <c r="AB7" i="1166"/>
  <c r="Q7" i="1166"/>
  <c r="P7" i="1166"/>
  <c r="AC7" i="1166" s="1"/>
  <c r="O7" i="1166"/>
  <c r="M7" i="1166"/>
  <c r="K7" i="1166"/>
  <c r="AF6" i="1166"/>
  <c r="Q6" i="1166"/>
  <c r="L22" i="1166"/>
  <c r="O22" i="1166" s="1"/>
  <c r="AE16" i="1168" l="1"/>
  <c r="AE19" i="1168"/>
  <c r="AE20" i="1168"/>
  <c r="AE12" i="1168"/>
  <c r="AE9" i="1168"/>
  <c r="AE6" i="1168"/>
  <c r="AE17" i="1168"/>
  <c r="AE21" i="1168"/>
  <c r="AE18" i="1168"/>
  <c r="AE13" i="1168"/>
  <c r="AE11" i="1168"/>
  <c r="AE10" i="1168"/>
  <c r="AE7" i="1168"/>
  <c r="AE15" i="1168"/>
  <c r="AE8" i="1168"/>
  <c r="AE14" i="1168"/>
  <c r="AD18" i="1167"/>
  <c r="P24" i="1167"/>
  <c r="AD13" i="1167"/>
  <c r="M24" i="1167"/>
  <c r="AB24" i="1167"/>
  <c r="AC24" i="1167"/>
  <c r="AD7" i="1166"/>
  <c r="AB14" i="1166"/>
  <c r="AD14" i="1166" s="1"/>
  <c r="AD19" i="1166"/>
  <c r="P14" i="1166"/>
  <c r="AC14" i="1166" s="1"/>
  <c r="AD16" i="1166"/>
  <c r="AD21" i="1166"/>
  <c r="AD13" i="1166"/>
  <c r="AD10" i="1166"/>
  <c r="Q22" i="1166"/>
  <c r="P6" i="1166"/>
  <c r="P22" i="1166" s="1"/>
  <c r="AD9" i="1166"/>
  <c r="AD20" i="1166"/>
  <c r="AD15" i="1166"/>
  <c r="AD8" i="1166"/>
  <c r="M18" i="1166"/>
  <c r="AB18" i="1166"/>
  <c r="M12" i="1166"/>
  <c r="M6" i="1166"/>
  <c r="AB6" i="1166"/>
  <c r="M11" i="1166"/>
  <c r="AB11" i="1166"/>
  <c r="AD11" i="1166" s="1"/>
  <c r="O12" i="1166"/>
  <c r="M17" i="1166"/>
  <c r="AB17" i="1166"/>
  <c r="AD17" i="1166" s="1"/>
  <c r="O18" i="1166"/>
  <c r="AB12" i="1166"/>
  <c r="AD12" i="1166" s="1"/>
  <c r="O6" i="1166"/>
  <c r="M8" i="1166"/>
  <c r="K22" i="116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K19" i="1165"/>
  <c r="L18" i="1165"/>
  <c r="L17" i="1165"/>
  <c r="K17" i="1165" s="1"/>
  <c r="AF17" i="1165"/>
  <c r="Q17" i="1165"/>
  <c r="M17" i="1165"/>
  <c r="AB17" i="1165"/>
  <c r="L16" i="1165"/>
  <c r="L13" i="1165"/>
  <c r="K13" i="1165" s="1"/>
  <c r="L12" i="1165"/>
  <c r="K12" i="1165"/>
  <c r="L11" i="1165"/>
  <c r="L8" i="1165"/>
  <c r="K8" i="1165" s="1"/>
  <c r="L6" i="1165"/>
  <c r="K6" i="1165" s="1"/>
  <c r="K21" i="1165"/>
  <c r="K16" i="1165"/>
  <c r="K15" i="1165"/>
  <c r="K11" i="1165"/>
  <c r="K10" i="1165"/>
  <c r="A75" i="1165"/>
  <c r="A76" i="1165" s="1"/>
  <c r="A77" i="1165" s="1"/>
  <c r="A78" i="1165" s="1"/>
  <c r="A79" i="1165" s="1"/>
  <c r="A80" i="1165" s="1"/>
  <c r="A81" i="1165" s="1"/>
  <c r="A82" i="1165" s="1"/>
  <c r="AF61" i="1165"/>
  <c r="AF63" i="1165" s="1"/>
  <c r="AF60" i="1165"/>
  <c r="AA22" i="1165"/>
  <c r="Z22" i="1165"/>
  <c r="Y22" i="1165"/>
  <c r="X22" i="1165"/>
  <c r="W22" i="1165"/>
  <c r="V22" i="1165"/>
  <c r="U22" i="1165"/>
  <c r="T22" i="1165"/>
  <c r="S22" i="1165"/>
  <c r="R22" i="1165"/>
  <c r="N22" i="1165"/>
  <c r="J22" i="1165"/>
  <c r="I22" i="1165"/>
  <c r="AF21" i="1165"/>
  <c r="AB21" i="1165"/>
  <c r="Q21" i="1165"/>
  <c r="M21" i="1165"/>
  <c r="O21" i="1165"/>
  <c r="AF20" i="1165"/>
  <c r="AB20" i="1165"/>
  <c r="Q20" i="1165"/>
  <c r="P20" i="1165"/>
  <c r="AC20" i="1165" s="1"/>
  <c r="O20" i="1165"/>
  <c r="M20" i="1165"/>
  <c r="K20" i="1165"/>
  <c r="AF19" i="1165"/>
  <c r="Q19" i="1165"/>
  <c r="P19" i="1165" s="1"/>
  <c r="AC19" i="1165" s="1"/>
  <c r="O19" i="1165"/>
  <c r="AF18" i="1165"/>
  <c r="AB18" i="1165"/>
  <c r="Q18" i="1165"/>
  <c r="P18" i="1165" s="1"/>
  <c r="AC18" i="1165" s="1"/>
  <c r="O18" i="1165"/>
  <c r="M18" i="1165"/>
  <c r="K18" i="1165"/>
  <c r="AF16" i="1165"/>
  <c r="AB16" i="1165"/>
  <c r="Q16" i="1165"/>
  <c r="P16" i="1165" s="1"/>
  <c r="AC16" i="1165" s="1"/>
  <c r="O16" i="1165"/>
  <c r="M16" i="1165"/>
  <c r="AF15" i="1165"/>
  <c r="AB15" i="1165"/>
  <c r="Q15" i="1165"/>
  <c r="P15" i="1165" s="1"/>
  <c r="AC15" i="1165" s="1"/>
  <c r="O15" i="1165"/>
  <c r="M15" i="1165"/>
  <c r="AF14" i="1165"/>
  <c r="AB14" i="1165"/>
  <c r="Q14" i="1165"/>
  <c r="P14" i="1165"/>
  <c r="AC14" i="1165" s="1"/>
  <c r="O14" i="1165"/>
  <c r="M14" i="1165"/>
  <c r="K14" i="1165"/>
  <c r="AF13" i="1165"/>
  <c r="AB13" i="1165"/>
  <c r="Q13" i="1165"/>
  <c r="P13" i="1165" s="1"/>
  <c r="AC13" i="1165" s="1"/>
  <c r="O13" i="1165"/>
  <c r="M13" i="1165"/>
  <c r="AF12" i="1165"/>
  <c r="Q12" i="1165"/>
  <c r="AB12" i="1165"/>
  <c r="AF11" i="1165"/>
  <c r="AB11" i="1165"/>
  <c r="Q11" i="1165"/>
  <c r="P11" i="1165"/>
  <c r="AC11" i="1165" s="1"/>
  <c r="M11" i="1165"/>
  <c r="O11" i="1165"/>
  <c r="AF10" i="1165"/>
  <c r="Q10" i="1165"/>
  <c r="O10" i="1165"/>
  <c r="P10" i="1165"/>
  <c r="AC10" i="1165" s="1"/>
  <c r="AF9" i="1165"/>
  <c r="AB9" i="1165"/>
  <c r="Q9" i="1165"/>
  <c r="P9" i="1165"/>
  <c r="AC9" i="1165" s="1"/>
  <c r="O9" i="1165"/>
  <c r="M9" i="1165"/>
  <c r="K9" i="1165"/>
  <c r="AF8" i="1165"/>
  <c r="AB8" i="1165"/>
  <c r="Q8" i="1165"/>
  <c r="P8" i="1165" s="1"/>
  <c r="AC8" i="1165" s="1"/>
  <c r="M8" i="1165"/>
  <c r="L22" i="1165"/>
  <c r="O22" i="1165" s="1"/>
  <c r="AF7" i="1165"/>
  <c r="AB7" i="1165"/>
  <c r="Q7" i="1165"/>
  <c r="P7" i="1165"/>
  <c r="AC7" i="1165" s="1"/>
  <c r="O7" i="1165"/>
  <c r="M7" i="1165"/>
  <c r="K7" i="1165"/>
  <c r="AF6" i="1165"/>
  <c r="AB6" i="1165"/>
  <c r="Q6" i="1165"/>
  <c r="O6" i="1165"/>
  <c r="M6" i="1165"/>
  <c r="AD24" i="1167" l="1"/>
  <c r="AE11" i="1167" s="1"/>
  <c r="AE14" i="1167"/>
  <c r="AE19" i="1167"/>
  <c r="AE22" i="1167"/>
  <c r="AE16" i="1167"/>
  <c r="AE10" i="1167"/>
  <c r="AE7" i="1167"/>
  <c r="AE13" i="1167"/>
  <c r="AE20" i="1167"/>
  <c r="AE8" i="1167"/>
  <c r="AE18" i="1167"/>
  <c r="AE23" i="1167"/>
  <c r="AE21" i="1167"/>
  <c r="AE17" i="1167"/>
  <c r="AE15" i="1167"/>
  <c r="AE12" i="1167"/>
  <c r="AE9" i="1167"/>
  <c r="AE6" i="1167"/>
  <c r="AC6" i="1166"/>
  <c r="AC22" i="1166" s="1"/>
  <c r="AD18" i="1166"/>
  <c r="M22" i="1166"/>
  <c r="AB22" i="1166"/>
  <c r="O17" i="1165"/>
  <c r="P17" i="1165"/>
  <c r="AC17" i="1165" s="1"/>
  <c r="AD16" i="1165"/>
  <c r="Q22" i="1165"/>
  <c r="P6" i="1165"/>
  <c r="AC6" i="1165" s="1"/>
  <c r="AD6" i="1165" s="1"/>
  <c r="AD13" i="1165"/>
  <c r="AD7" i="1165"/>
  <c r="AD15" i="1165"/>
  <c r="AD18" i="1165"/>
  <c r="AD9" i="1165"/>
  <c r="AD14" i="1165"/>
  <c r="AD20" i="1165"/>
  <c r="AD11" i="1165"/>
  <c r="O12" i="1165"/>
  <c r="P21" i="1165"/>
  <c r="AC21" i="1165" s="1"/>
  <c r="AD21" i="1165" s="1"/>
  <c r="O8" i="1165"/>
  <c r="AD8" i="1165" s="1"/>
  <c r="M10" i="1165"/>
  <c r="AB10" i="1165"/>
  <c r="AD10" i="1165" s="1"/>
  <c r="P12" i="1165"/>
  <c r="AC12" i="1165" s="1"/>
  <c r="M19" i="1165"/>
  <c r="AB19" i="1165"/>
  <c r="AD19" i="1165" s="1"/>
  <c r="K22" i="1165"/>
  <c r="M12" i="1165"/>
  <c r="C18" i="16"/>
  <c r="C17" i="16"/>
  <c r="C16" i="16"/>
  <c r="AG16" i="16" s="1"/>
  <c r="C15" i="16"/>
  <c r="C14" i="16"/>
  <c r="C13" i="16"/>
  <c r="C12" i="16"/>
  <c r="AG12" i="16" s="1"/>
  <c r="C11" i="16"/>
  <c r="C10" i="16"/>
  <c r="C9" i="16"/>
  <c r="C8" i="16"/>
  <c r="AG8" i="16" s="1"/>
  <c r="C7" i="16"/>
  <c r="C6" i="16"/>
  <c r="C5" i="16"/>
  <c r="C4" i="16"/>
  <c r="AG4" i="16" s="1"/>
  <c r="C3" i="16"/>
  <c r="L20" i="1164"/>
  <c r="L18" i="1164"/>
  <c r="K18" i="1164" s="1"/>
  <c r="L16" i="1164"/>
  <c r="K15" i="1164"/>
  <c r="L12" i="1164"/>
  <c r="K12" i="1164"/>
  <c r="L11" i="1164"/>
  <c r="K11" i="1164"/>
  <c r="L10" i="1164"/>
  <c r="K10" i="1164" s="1"/>
  <c r="L8" i="1164"/>
  <c r="K8" i="1164" s="1"/>
  <c r="K20" i="1164"/>
  <c r="K16" i="1164"/>
  <c r="K13" i="1164"/>
  <c r="AG18" i="16"/>
  <c r="AG17" i="16"/>
  <c r="AG15" i="16"/>
  <c r="AG14" i="16"/>
  <c r="AG13" i="16"/>
  <c r="AG11" i="16"/>
  <c r="AG10" i="16"/>
  <c r="AG9" i="16"/>
  <c r="AG7" i="16"/>
  <c r="AG6" i="16"/>
  <c r="AG5" i="16"/>
  <c r="AG3" i="16"/>
  <c r="AD6" i="1166" l="1"/>
  <c r="AD22" i="1166"/>
  <c r="AD17" i="1165"/>
  <c r="M22" i="1165"/>
  <c r="AD12" i="1165"/>
  <c r="P22" i="1165"/>
  <c r="AC22" i="1165"/>
  <c r="AB22" i="1165"/>
  <c r="O10" i="1164"/>
  <c r="AF10" i="1164"/>
  <c r="Q10" i="1164"/>
  <c r="K9" i="1164"/>
  <c r="A75" i="1164"/>
  <c r="A76" i="1164" s="1"/>
  <c r="A77" i="1164" s="1"/>
  <c r="A78" i="1164" s="1"/>
  <c r="A79" i="1164" s="1"/>
  <c r="A80" i="1164" s="1"/>
  <c r="A81" i="1164" s="1"/>
  <c r="A74" i="1164"/>
  <c r="AF60" i="1164"/>
  <c r="AF59" i="1164"/>
  <c r="AF62" i="1164" s="1"/>
  <c r="AA21" i="1164"/>
  <c r="Z21" i="1164"/>
  <c r="Y21" i="1164"/>
  <c r="X21" i="1164"/>
  <c r="W21" i="1164"/>
  <c r="V21" i="1164"/>
  <c r="U21" i="1164"/>
  <c r="T21" i="1164"/>
  <c r="S21" i="1164"/>
  <c r="R21" i="1164"/>
  <c r="N21" i="1164"/>
  <c r="J21" i="1164"/>
  <c r="I21" i="1164"/>
  <c r="AF20" i="1164"/>
  <c r="Q20" i="1164"/>
  <c r="O20" i="1164"/>
  <c r="AF19" i="1164"/>
  <c r="AB19" i="1164"/>
  <c r="Q19" i="1164"/>
  <c r="P19" i="1164"/>
  <c r="AC19" i="1164" s="1"/>
  <c r="O19" i="1164"/>
  <c r="M19" i="1164"/>
  <c r="K19" i="1164"/>
  <c r="AF18" i="1164"/>
  <c r="AB18" i="1164"/>
  <c r="Q18" i="1164"/>
  <c r="P18" i="1164" s="1"/>
  <c r="AC18" i="1164" s="1"/>
  <c r="O18" i="1164"/>
  <c r="M18" i="1164"/>
  <c r="AF17" i="1164"/>
  <c r="AC17" i="1164"/>
  <c r="AB17" i="1164"/>
  <c r="Q17" i="1164"/>
  <c r="P17" i="1164"/>
  <c r="O17" i="1164"/>
  <c r="M17" i="1164"/>
  <c r="K17" i="1164"/>
  <c r="AF16" i="1164"/>
  <c r="Q16" i="1164"/>
  <c r="P16" i="1164" s="1"/>
  <c r="AC16" i="1164" s="1"/>
  <c r="O16" i="1164"/>
  <c r="AF15" i="1164"/>
  <c r="AB15" i="1164"/>
  <c r="Q15" i="1164"/>
  <c r="P15" i="1164" s="1"/>
  <c r="AC15" i="1164" s="1"/>
  <c r="O15" i="1164"/>
  <c r="M15" i="1164"/>
  <c r="AF14" i="1164"/>
  <c r="AB14" i="1164"/>
  <c r="Q14" i="1164"/>
  <c r="P14" i="1164"/>
  <c r="AC14" i="1164" s="1"/>
  <c r="O14" i="1164"/>
  <c r="M14" i="1164"/>
  <c r="K14" i="1164"/>
  <c r="AF13" i="1164"/>
  <c r="AB13" i="1164"/>
  <c r="Q13" i="1164"/>
  <c r="P13" i="1164" s="1"/>
  <c r="AC13" i="1164" s="1"/>
  <c r="O13" i="1164"/>
  <c r="M13" i="1164"/>
  <c r="AF12" i="1164"/>
  <c r="AB12" i="1164"/>
  <c r="Q12" i="1164"/>
  <c r="P12" i="1164" s="1"/>
  <c r="AC12" i="1164" s="1"/>
  <c r="O12" i="1164"/>
  <c r="M12" i="1164"/>
  <c r="AF11" i="1164"/>
  <c r="AC11" i="1164"/>
  <c r="AB11" i="1164"/>
  <c r="Q11" i="1164"/>
  <c r="P11" i="1164"/>
  <c r="O11" i="1164"/>
  <c r="M11" i="1164"/>
  <c r="AF9" i="1164"/>
  <c r="AB9" i="1164"/>
  <c r="Q9" i="1164"/>
  <c r="P9" i="1164" s="1"/>
  <c r="AC9" i="1164" s="1"/>
  <c r="O9" i="1164"/>
  <c r="M9" i="1164"/>
  <c r="AF8" i="1164"/>
  <c r="AB8" i="1164"/>
  <c r="Q8" i="1164"/>
  <c r="P8" i="1164" s="1"/>
  <c r="AC8" i="1164" s="1"/>
  <c r="O8" i="1164"/>
  <c r="M8" i="1164"/>
  <c r="AF7" i="1164"/>
  <c r="AB7" i="1164"/>
  <c r="Q7" i="1164"/>
  <c r="P7" i="1164"/>
  <c r="AC7" i="1164" s="1"/>
  <c r="O7" i="1164"/>
  <c r="M7" i="1164"/>
  <c r="K7" i="1164"/>
  <c r="AF6" i="1164"/>
  <c r="AB6" i="1164"/>
  <c r="Q6" i="1164"/>
  <c r="P6" i="1164"/>
  <c r="O6" i="1164"/>
  <c r="M6" i="1164"/>
  <c r="K6" i="1164"/>
  <c r="AE16" i="1166" l="1"/>
  <c r="AE14" i="1166"/>
  <c r="AE20" i="1166"/>
  <c r="AE17" i="1166"/>
  <c r="AE10" i="1166"/>
  <c r="AE11" i="1166"/>
  <c r="AE9" i="1166"/>
  <c r="AE6" i="1166"/>
  <c r="AE7" i="1166"/>
  <c r="AE12" i="1166"/>
  <c r="AE15" i="1166"/>
  <c r="AE19" i="1166"/>
  <c r="AE13" i="1166"/>
  <c r="AE18" i="1166"/>
  <c r="AE8" i="1166"/>
  <c r="AE21" i="1166"/>
  <c r="AD22" i="1165"/>
  <c r="AE17" i="1165" s="1"/>
  <c r="AD19" i="1164"/>
  <c r="AD7" i="1164"/>
  <c r="AD18" i="1164"/>
  <c r="L21" i="1164"/>
  <c r="O21" i="1164" s="1"/>
  <c r="P10" i="1164"/>
  <c r="AC10" i="1164" s="1"/>
  <c r="M10" i="1164"/>
  <c r="AB10" i="1164"/>
  <c r="AD8" i="1164"/>
  <c r="Q21" i="1164"/>
  <c r="AD9" i="1164"/>
  <c r="AD17" i="1164"/>
  <c r="AD13" i="1164"/>
  <c r="AD14" i="1164"/>
  <c r="AD15" i="1164"/>
  <c r="AD11" i="1164"/>
  <c r="AD12" i="1164"/>
  <c r="AC6" i="1164"/>
  <c r="M16" i="1164"/>
  <c r="AB16" i="1164"/>
  <c r="AD16" i="1164" s="1"/>
  <c r="P20" i="1164"/>
  <c r="AC20" i="1164" s="1"/>
  <c r="K21" i="1164"/>
  <c r="M20" i="1164"/>
  <c r="AB20" i="1164"/>
  <c r="AE7" i="1165" l="1"/>
  <c r="AE19" i="1165"/>
  <c r="AE18" i="1165"/>
  <c r="AE16" i="1165"/>
  <c r="AE13" i="1165"/>
  <c r="AE12" i="1165"/>
  <c r="AE14" i="1165"/>
  <c r="AE10" i="1165"/>
  <c r="AE6" i="1165"/>
  <c r="AE21" i="1165"/>
  <c r="AE15" i="1165"/>
  <c r="AE9" i="1165"/>
  <c r="AE20" i="1165"/>
  <c r="AE8" i="1165"/>
  <c r="AE11" i="1165"/>
  <c r="AD10" i="1164"/>
  <c r="P21" i="1164"/>
  <c r="AB21" i="1164"/>
  <c r="AD20" i="1164"/>
  <c r="M21" i="1164"/>
  <c r="AC21" i="1164"/>
  <c r="AD6" i="1164"/>
  <c r="AD21" i="1164" l="1"/>
  <c r="AE8" i="1164" l="1"/>
  <c r="AE10" i="1164"/>
  <c r="AE16" i="1164"/>
  <c r="AE20" i="1164"/>
  <c r="AE17" i="1164"/>
  <c r="AE11" i="1164"/>
  <c r="AE18" i="1164"/>
  <c r="AE19" i="1164"/>
  <c r="AE13" i="1164"/>
  <c r="AE6" i="1164"/>
  <c r="AE7" i="1164"/>
  <c r="AE12" i="1164"/>
  <c r="AE9" i="1164"/>
  <c r="AE15" i="1164"/>
  <c r="AE14" i="1164"/>
</calcChain>
</file>

<file path=xl/sharedStrings.xml><?xml version="1.0" encoding="utf-8"?>
<sst xmlns="http://schemas.openxmlformats.org/spreadsheetml/2006/main" count="4447" uniqueCount="1019">
  <si>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</si>
  <si>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</si>
  <si>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</si>
  <si>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</si>
  <si>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</si>
  <si>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</si>
  <si>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</si>
  <si>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</si>
  <si>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</si>
  <si>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</si>
  <si>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</si>
  <si>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</si>
  <si>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</si>
  <si>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</si>
  <si>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</si>
  <si>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</si>
  <si>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</si>
  <si>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</si>
  <si>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</si>
  <si>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</si>
  <si>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</si>
  <si>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</si>
  <si>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</si>
  <si>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</si>
  <si>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</si>
  <si>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</si>
  <si>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</si>
  <si>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</si>
  <si>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</si>
  <si>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</si>
  <si>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</si>
  <si>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</si>
  <si>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</si>
  <si>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</si>
  <si>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</si>
  <si>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</si>
  <si>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</si>
  <si>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</si>
  <si>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</si>
  <si>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</si>
  <si>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</si>
  <si>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</si>
  <si>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</si>
  <si>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</si>
  <si>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</si>
  <si>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</si>
  <si>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</si>
  <si>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</si>
  <si>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</si>
  <si>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</si>
  <si>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</si>
  <si>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</si>
  <si>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</si>
  <si>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</si>
  <si>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</si>
  <si>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</si>
  <si>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</si>
  <si>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</si>
  <si>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</si>
  <si>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</si>
  <si>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</si>
  <si>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</si>
  <si>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</si>
  <si>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</si>
  <si>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</si>
  <si>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</si>
  <si>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</si>
  <si>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</si>
  <si>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</si>
  <si>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</si>
  <si>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</si>
  <si>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</si>
  <si>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</si>
  <si>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</si>
  <si>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</si>
  <si>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</si>
  <si>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</si>
  <si>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</si>
  <si>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</si>
  <si>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</si>
  <si>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</si>
  <si>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</si>
  <si>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</si>
  <si>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</si>
  <si>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</si>
  <si>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</si>
  <si>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</si>
  <si>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</si>
  <si>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</si>
  <si>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</si>
  <si>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</si>
  <si>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</si>
  <si>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</si>
  <si>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</si>
  <si>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</si>
  <si>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</si>
  <si>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</si>
  <si>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</si>
  <si>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</si>
  <si>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</si>
  <si>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</si>
  <si>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</si>
  <si>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</si>
  <si>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</si>
  <si>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</si>
  <si>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</si>
  <si>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</si>
  <si>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</si>
  <si>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</si>
  <si>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</si>
  <si>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</si>
  <si>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</si>
  <si>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</si>
  <si>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</si>
  <si>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</si>
  <si>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 xml:space="preserve"> 코아파손</t>
    <phoneticPr fontId="2" type="noConversion"/>
  </si>
  <si>
    <t>IC GUIDE</t>
    <phoneticPr fontId="2" type="noConversion"/>
  </si>
  <si>
    <t>AMB07H9A-KAA-R1</t>
    <phoneticPr fontId="2" type="noConversion"/>
  </si>
  <si>
    <t xml:space="preserve"> 미성형,단차</t>
    <phoneticPr fontId="2" type="noConversion"/>
  </si>
  <si>
    <t>38P</t>
    <phoneticPr fontId="2" type="noConversion"/>
  </si>
  <si>
    <t>AM0164A-A</t>
    <phoneticPr fontId="2" type="noConversion"/>
  </si>
  <si>
    <t>SST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</si>
  <si>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</si>
  <si>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</si>
  <si>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</si>
  <si>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AYE</t>
    <phoneticPr fontId="2" type="noConversion"/>
  </si>
  <si>
    <t>ADAPTER</t>
    <phoneticPr fontId="2" type="noConversion"/>
  </si>
  <si>
    <t>72P</t>
    <phoneticPr fontId="2" type="noConversion"/>
  </si>
  <si>
    <t>PA9T</t>
    <phoneticPr fontId="2" type="noConversion"/>
  </si>
  <si>
    <t>SEPARATOR</t>
    <phoneticPr fontId="2" type="noConversion"/>
  </si>
  <si>
    <t>SGP2020R</t>
    <phoneticPr fontId="2" type="noConversion"/>
  </si>
  <si>
    <t>JD4901</t>
    <phoneticPr fontId="2" type="noConversion"/>
  </si>
  <si>
    <t>BASE</t>
    <phoneticPr fontId="2" type="noConversion"/>
  </si>
  <si>
    <t>발주분양산</t>
    <phoneticPr fontId="2" type="noConversion"/>
  </si>
  <si>
    <t>MCS</t>
    <phoneticPr fontId="2" type="noConversion"/>
  </si>
  <si>
    <t>SGF2033</t>
    <phoneticPr fontId="2" type="noConversion"/>
  </si>
  <si>
    <t>COVER</t>
    <phoneticPr fontId="2" type="noConversion"/>
  </si>
  <si>
    <t>AAM0818C-KAB-R3</t>
    <phoneticPr fontId="2" type="noConversion"/>
  </si>
  <si>
    <t>FLOATING</t>
    <phoneticPr fontId="2" type="noConversion"/>
  </si>
  <si>
    <t>수정</t>
    <phoneticPr fontId="2" type="noConversion"/>
  </si>
  <si>
    <t>SF2255 I/V</t>
    <phoneticPr fontId="2" type="noConversion"/>
  </si>
  <si>
    <t>BODY</t>
    <phoneticPr fontId="2" type="noConversion"/>
  </si>
  <si>
    <t>7301</t>
    <phoneticPr fontId="2" type="noConversion"/>
  </si>
  <si>
    <t>KR6152-GVA134QA</t>
    <phoneticPr fontId="2" type="noConversion"/>
  </si>
  <si>
    <t>KR6197AC841TA</t>
    <phoneticPr fontId="2" type="noConversion"/>
  </si>
  <si>
    <t>테스트메카</t>
    <phoneticPr fontId="2" type="noConversion"/>
  </si>
  <si>
    <t>UPP/COVER</t>
    <phoneticPr fontId="2" type="noConversion"/>
  </si>
  <si>
    <t>2*1</t>
    <phoneticPr fontId="2" type="noConversion"/>
  </si>
  <si>
    <t>NP504-295-091#SP</t>
    <phoneticPr fontId="2" type="noConversion"/>
  </si>
  <si>
    <t>K-JR01920-B414AZB</t>
    <phoneticPr fontId="2" type="noConversion"/>
  </si>
  <si>
    <t>AM0148B-K-R2</t>
    <phoneticPr fontId="2" type="noConversion"/>
  </si>
  <si>
    <t>SST</t>
    <phoneticPr fontId="2" type="noConversion"/>
  </si>
  <si>
    <t>4LEAD</t>
    <phoneticPr fontId="2" type="noConversion"/>
  </si>
  <si>
    <t>009-019-004</t>
    <phoneticPr fontId="2" type="noConversion"/>
  </si>
  <si>
    <t>ADAPTER</t>
    <phoneticPr fontId="2" type="noConversion"/>
  </si>
  <si>
    <t>AMB0201A-JAA-R3</t>
    <phoneticPr fontId="2" type="noConversion"/>
  </si>
  <si>
    <t>SF2255</t>
    <phoneticPr fontId="2" type="noConversion"/>
  </si>
  <si>
    <t>LID</t>
    <phoneticPr fontId="2" type="noConversion"/>
  </si>
  <si>
    <t>HICON</t>
    <phoneticPr fontId="2" type="noConversion"/>
  </si>
  <si>
    <t>04월 호기별 가동현황</t>
    <phoneticPr fontId="2" type="noConversion"/>
  </si>
  <si>
    <r>
      <t>2018년 04월 02일 일일생산현황</t>
    </r>
    <r>
      <rPr>
        <b/>
        <sz val="14"/>
        <color indexed="8"/>
        <rFont val="굴림체"/>
        <family val="3"/>
        <charset val="129"/>
      </rPr>
      <t>(03일(화) 09시 현재)</t>
    </r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</si>
  <si>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</si>
  <si>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</si>
  <si>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</si>
  <si>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메카텍</t>
    <phoneticPr fontId="2" type="noConversion"/>
  </si>
  <si>
    <t>COVER HINGE</t>
    <phoneticPr fontId="2" type="noConversion"/>
  </si>
  <si>
    <t>HICON</t>
    <phoneticPr fontId="2" type="noConversion"/>
  </si>
  <si>
    <t>HRCS-00C13</t>
    <phoneticPr fontId="2" type="noConversion"/>
  </si>
  <si>
    <t>공용LEVER</t>
    <phoneticPr fontId="2" type="noConversion"/>
  </si>
  <si>
    <t>전일 ISSUE 사항(02일)</t>
    <phoneticPr fontId="2" type="noConversion"/>
  </si>
  <si>
    <t>메카텍</t>
    <phoneticPr fontId="2" type="noConversion"/>
  </si>
  <si>
    <t>7</t>
    <phoneticPr fontId="2" type="noConversion"/>
  </si>
  <si>
    <t>COVER HINGE</t>
    <phoneticPr fontId="2" type="noConversion"/>
  </si>
  <si>
    <t>13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</si>
  <si>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</si>
  <si>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</si>
  <si>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</si>
  <si>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AMB1904D-KAA-R2</t>
    <phoneticPr fontId="2" type="noConversion"/>
  </si>
  <si>
    <t>HICON</t>
    <phoneticPr fontId="2" type="noConversion"/>
  </si>
  <si>
    <t>10</t>
    <phoneticPr fontId="2" type="noConversion"/>
  </si>
  <si>
    <t>FLOAT</t>
    <phoneticPr fontId="2" type="noConversion"/>
  </si>
  <si>
    <t>HRCS-00C13</t>
    <phoneticPr fontId="2" type="noConversion"/>
  </si>
  <si>
    <t>당일 진행 사항(03일)</t>
    <phoneticPr fontId="2" type="noConversion"/>
  </si>
  <si>
    <t>SST</t>
    <phoneticPr fontId="2" type="noConversion"/>
  </si>
  <si>
    <t>STOPPER</t>
    <phoneticPr fontId="2" type="noConversion"/>
  </si>
  <si>
    <t>KR6197-D475PA</t>
    <phoneticPr fontId="2" type="noConversion"/>
  </si>
  <si>
    <t>HRCS-03C17</t>
    <phoneticPr fontId="2" type="noConversion"/>
  </si>
  <si>
    <t>8</t>
    <phoneticPr fontId="2" type="noConversion"/>
  </si>
  <si>
    <t>SAMPLE 진행 사항(02일)</t>
    <phoneticPr fontId="2" type="noConversion"/>
  </si>
  <si>
    <t>케미텍</t>
    <phoneticPr fontId="2" type="noConversion"/>
  </si>
  <si>
    <t>Z280</t>
    <phoneticPr fontId="2" type="noConversion"/>
  </si>
  <si>
    <t>Z280-F20</t>
    <phoneticPr fontId="2" type="noConversion"/>
  </si>
  <si>
    <t>E473i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</si>
  <si>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</si>
  <si>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</si>
  <si>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2018년 04월 03일 일일생산현황</t>
    </r>
    <r>
      <rPr>
        <b/>
        <sz val="14"/>
        <color indexed="8"/>
        <rFont val="굴림체"/>
        <family val="3"/>
        <charset val="129"/>
      </rPr>
      <t>(04일(수) 09시 현재)</t>
    </r>
    <phoneticPr fontId="2" type="noConversion"/>
  </si>
  <si>
    <t>KR6182-C624TB</t>
    <phoneticPr fontId="2" type="noConversion"/>
  </si>
  <si>
    <t>SST</t>
    <phoneticPr fontId="2" type="noConversion"/>
  </si>
  <si>
    <t>STOPPER</t>
    <phoneticPr fontId="2" type="noConversion"/>
  </si>
  <si>
    <t>KR6197-D475PA</t>
    <phoneticPr fontId="2" type="noConversion"/>
  </si>
  <si>
    <t>SF2255</t>
    <phoneticPr fontId="2" type="noConversion"/>
  </si>
  <si>
    <t>HICON</t>
    <phoneticPr fontId="2" type="noConversion"/>
  </si>
  <si>
    <t>PLUNGER 2</t>
    <phoneticPr fontId="2" type="noConversion"/>
  </si>
  <si>
    <t>HRCS-03C17</t>
    <phoneticPr fontId="2" type="noConversion"/>
  </si>
  <si>
    <t>COVER</t>
    <phoneticPr fontId="2" type="noConversion"/>
  </si>
  <si>
    <t>K-JR01920-B414AZB</t>
    <phoneticPr fontId="2" type="noConversion"/>
  </si>
  <si>
    <t>K-JR01920-C01AWA</t>
    <phoneticPr fontId="2" type="noConversion"/>
  </si>
  <si>
    <t>SGF2030</t>
    <phoneticPr fontId="2" type="noConversion"/>
  </si>
  <si>
    <t>PLUNGER/BASE/BOTTOM</t>
    <phoneticPr fontId="2" type="noConversion"/>
  </si>
  <si>
    <t>HL100-08A11/12/15</t>
    <phoneticPr fontId="2" type="noConversion"/>
  </si>
  <si>
    <t>SGF2041</t>
    <phoneticPr fontId="2" type="noConversion"/>
  </si>
  <si>
    <t>3*1</t>
    <phoneticPr fontId="2" type="noConversion"/>
  </si>
  <si>
    <t>전일 ISSUE 사항(03일)</t>
    <phoneticPr fontId="2" type="noConversion"/>
  </si>
  <si>
    <t>SST</t>
    <phoneticPr fontId="2" type="noConversion"/>
  </si>
  <si>
    <t>1</t>
    <phoneticPr fontId="2" type="noConversion"/>
  </si>
  <si>
    <t>COVER</t>
    <phoneticPr fontId="2" type="noConversion"/>
  </si>
  <si>
    <t>7</t>
    <phoneticPr fontId="2" type="noConversion"/>
  </si>
  <si>
    <t>발주분양산-&gt;BURR수리후양산</t>
    <phoneticPr fontId="2" type="noConversion"/>
  </si>
  <si>
    <t>HICON</t>
    <phoneticPr fontId="2" type="noConversion"/>
  </si>
  <si>
    <t>8</t>
    <phoneticPr fontId="2" type="noConversion"/>
  </si>
  <si>
    <t>PLUNGER</t>
    <phoneticPr fontId="2" type="noConversion"/>
  </si>
  <si>
    <t>11</t>
    <phoneticPr fontId="2" type="noConversion"/>
  </si>
  <si>
    <t>12</t>
    <phoneticPr fontId="2" type="noConversion"/>
  </si>
  <si>
    <t>ADAPTER</t>
    <phoneticPr fontId="2" type="noConversion"/>
  </si>
  <si>
    <t>KR6152-GVA134QA</t>
    <phoneticPr fontId="2" type="noConversion"/>
  </si>
  <si>
    <t>13</t>
    <phoneticPr fontId="2" type="noConversion"/>
  </si>
  <si>
    <t>3종</t>
    <phoneticPr fontId="2" type="noConversion"/>
  </si>
  <si>
    <t>HL100-08A11/12/15</t>
    <phoneticPr fontId="2" type="noConversion"/>
  </si>
  <si>
    <t>당일 진행 사항(04일)</t>
    <phoneticPr fontId="2" type="noConversion"/>
  </si>
  <si>
    <t>4</t>
    <phoneticPr fontId="2" type="noConversion"/>
  </si>
  <si>
    <t>K-JR01920-H432AZA</t>
    <phoneticPr fontId="2" type="noConversion"/>
  </si>
  <si>
    <t>KR6182-A426WA</t>
    <phoneticPr fontId="2" type="noConversion"/>
  </si>
  <si>
    <t>SLIDER</t>
    <phoneticPr fontId="2" type="noConversion"/>
  </si>
  <si>
    <t>14</t>
    <phoneticPr fontId="2" type="noConversion"/>
  </si>
  <si>
    <t>BASE</t>
    <phoneticPr fontId="2" type="noConversion"/>
  </si>
  <si>
    <t>KR6182-B624CB</t>
    <phoneticPr fontId="2" type="noConversion"/>
  </si>
  <si>
    <t>BASE</t>
    <phoneticPr fontId="2" type="noConversion"/>
  </si>
  <si>
    <t>SAMPLE 진행 사항(03일)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</si>
  <si>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</si>
  <si>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</si>
  <si>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2018년 04월 04일 일일생산현황</t>
    </r>
    <r>
      <rPr>
        <b/>
        <sz val="14"/>
        <color indexed="8"/>
        <rFont val="굴림체"/>
        <family val="3"/>
        <charset val="129"/>
      </rPr>
      <t>(05일(목) 09시 현재)</t>
    </r>
    <phoneticPr fontId="2" type="noConversion"/>
  </si>
  <si>
    <t>STOPPER</t>
    <phoneticPr fontId="2" type="noConversion"/>
  </si>
  <si>
    <t>K-JR01920-H432AZA</t>
    <phoneticPr fontId="2" type="noConversion"/>
  </si>
  <si>
    <t>SGP2020R</t>
    <phoneticPr fontId="2" type="noConversion"/>
  </si>
  <si>
    <t>LID</t>
    <phoneticPr fontId="2" type="noConversion"/>
  </si>
  <si>
    <t>013-125-019</t>
    <phoneticPr fontId="2" type="noConversion"/>
  </si>
  <si>
    <t>SGF2030</t>
    <phoneticPr fontId="2" type="noConversion"/>
  </si>
  <si>
    <t>BASE</t>
    <phoneticPr fontId="2" type="noConversion"/>
  </si>
  <si>
    <t>010-125-526</t>
    <phoneticPr fontId="2" type="noConversion"/>
  </si>
  <si>
    <t>K-JR01920-B414AZB</t>
    <phoneticPr fontId="2" type="noConversion"/>
  </si>
  <si>
    <t>SLIDER</t>
    <phoneticPr fontId="2" type="noConversion"/>
  </si>
  <si>
    <t>KR6182-A426WA</t>
    <phoneticPr fontId="2" type="noConversion"/>
  </si>
  <si>
    <t>KR6182-B624CB</t>
    <phoneticPr fontId="2" type="noConversion"/>
  </si>
  <si>
    <t>전일 ISSUE 사항(04일)</t>
    <phoneticPr fontId="2" type="noConversion"/>
  </si>
  <si>
    <t>8</t>
    <phoneticPr fontId="2" type="noConversion"/>
  </si>
  <si>
    <t>치수확인후양산</t>
    <phoneticPr fontId="2" type="noConversion"/>
  </si>
  <si>
    <t>8</t>
    <phoneticPr fontId="2" type="noConversion"/>
  </si>
  <si>
    <t>K-JR01920-B414AZB</t>
    <phoneticPr fontId="2" type="noConversion"/>
  </si>
  <si>
    <t>SST</t>
    <phoneticPr fontId="2" type="noConversion"/>
  </si>
  <si>
    <t>14</t>
    <phoneticPr fontId="2" type="noConversion"/>
  </si>
  <si>
    <t>발주분양산-&gt;BURR정지</t>
    <phoneticPr fontId="2" type="noConversion"/>
  </si>
  <si>
    <t>4</t>
    <phoneticPr fontId="2" type="noConversion"/>
  </si>
  <si>
    <t>STOPPER</t>
    <phoneticPr fontId="2" type="noConversion"/>
  </si>
  <si>
    <t>KR6182-A426WA</t>
    <phoneticPr fontId="2" type="noConversion"/>
  </si>
  <si>
    <t>발주분양산-&gt;BURR수리후양산</t>
    <phoneticPr fontId="2" type="noConversion"/>
  </si>
  <si>
    <t>5</t>
    <phoneticPr fontId="2" type="noConversion"/>
  </si>
  <si>
    <t>당일 진행 사항(05일)</t>
    <phoneticPr fontId="2" type="noConversion"/>
  </si>
  <si>
    <t>수리후양산</t>
    <phoneticPr fontId="2" type="noConversion"/>
  </si>
  <si>
    <t>016-125-315</t>
    <phoneticPr fontId="2" type="noConversion"/>
  </si>
  <si>
    <t>014-125-017</t>
    <phoneticPr fontId="2" type="noConversion"/>
  </si>
  <si>
    <t>017-125-221</t>
    <phoneticPr fontId="2" type="noConversion"/>
  </si>
  <si>
    <t>016-125-314</t>
    <phoneticPr fontId="2" type="noConversion"/>
  </si>
  <si>
    <t>발주분양산</t>
    <phoneticPr fontId="2" type="noConversion"/>
  </si>
  <si>
    <t>3</t>
    <phoneticPr fontId="2" type="noConversion"/>
  </si>
  <si>
    <t>4LEAD</t>
    <phoneticPr fontId="2" type="noConversion"/>
  </si>
  <si>
    <t>009-019-004</t>
    <phoneticPr fontId="2" type="noConversion"/>
  </si>
  <si>
    <t>수리후양산</t>
    <phoneticPr fontId="2" type="noConversion"/>
  </si>
  <si>
    <t>009-019-004</t>
    <phoneticPr fontId="2" type="noConversion"/>
  </si>
  <si>
    <t>코아파손정지</t>
    <phoneticPr fontId="2" type="noConversion"/>
  </si>
  <si>
    <t>SAMPLE 진행 사항(04일)</t>
    <phoneticPr fontId="2" type="noConversion"/>
  </si>
  <si>
    <t>SST</t>
    <phoneticPr fontId="2" type="noConversion"/>
  </si>
  <si>
    <t>수정</t>
    <phoneticPr fontId="2" type="noConversion"/>
  </si>
  <si>
    <t>HICON</t>
    <phoneticPr fontId="2" type="noConversion"/>
  </si>
  <si>
    <t>SLIDER</t>
    <phoneticPr fontId="2" type="noConversion"/>
  </si>
  <si>
    <t>HDB08N-S2</t>
    <phoneticPr fontId="2" type="noConversion"/>
  </si>
  <si>
    <t>SGF2030 N/P</t>
    <phoneticPr fontId="2" type="noConversion"/>
  </si>
  <si>
    <t>HICON</t>
    <phoneticPr fontId="2" type="noConversion"/>
  </si>
  <si>
    <t>COVER</t>
    <phoneticPr fontId="2" type="noConversion"/>
  </si>
  <si>
    <t>HSB08N-C3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</si>
  <si>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</si>
  <si>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</si>
  <si>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2018년 04월 05일 일일생산현황</t>
    </r>
    <r>
      <rPr>
        <b/>
        <sz val="14"/>
        <color indexed="8"/>
        <rFont val="굴림체"/>
        <family val="3"/>
        <charset val="129"/>
      </rPr>
      <t>(06일(금) 09시 현재)</t>
    </r>
    <phoneticPr fontId="2" type="noConversion"/>
  </si>
  <si>
    <t>KR6197AC841TA</t>
    <phoneticPr fontId="2" type="noConversion"/>
  </si>
  <si>
    <t>GUIDE</t>
    <phoneticPr fontId="2" type="noConversion"/>
  </si>
  <si>
    <t>017-125-221</t>
    <phoneticPr fontId="2" type="noConversion"/>
  </si>
  <si>
    <t>LATCH</t>
    <phoneticPr fontId="2" type="noConversion"/>
  </si>
  <si>
    <t>014-125-017</t>
    <phoneticPr fontId="2" type="noConversion"/>
  </si>
  <si>
    <t>CLAMPER</t>
    <phoneticPr fontId="2" type="noConversion"/>
  </si>
  <si>
    <t>016-125-315</t>
    <phoneticPr fontId="2" type="noConversion"/>
  </si>
  <si>
    <t>전일 ISSUE 사항(05일)</t>
    <phoneticPr fontId="2" type="noConversion"/>
  </si>
  <si>
    <t>수리후양산</t>
    <phoneticPr fontId="2" type="noConversion"/>
  </si>
  <si>
    <t>수리후양산-&gt;뜯김수리-&gt;설비이상이동 8호기</t>
    <phoneticPr fontId="2" type="noConversion"/>
  </si>
  <si>
    <t>코아파손정지</t>
    <phoneticPr fontId="2" type="noConversion"/>
  </si>
  <si>
    <t>5</t>
    <phoneticPr fontId="2" type="noConversion"/>
  </si>
  <si>
    <t>GUIDER</t>
    <phoneticPr fontId="2" type="noConversion"/>
  </si>
  <si>
    <t>017-125-221</t>
    <phoneticPr fontId="2" type="noConversion"/>
  </si>
  <si>
    <t>발주분양산-&gt;에젝타수리</t>
    <phoneticPr fontId="2" type="noConversion"/>
  </si>
  <si>
    <t>1</t>
    <phoneticPr fontId="2" type="noConversion"/>
  </si>
  <si>
    <t>COVER</t>
    <phoneticPr fontId="2" type="noConversion"/>
  </si>
  <si>
    <t>11</t>
    <phoneticPr fontId="2" type="noConversion"/>
  </si>
  <si>
    <t>014-125-017</t>
    <phoneticPr fontId="2" type="noConversion"/>
  </si>
  <si>
    <t>SST</t>
    <phoneticPr fontId="2" type="noConversion"/>
  </si>
  <si>
    <t>당일 진행 사항(06일)</t>
    <phoneticPr fontId="2" type="noConversion"/>
  </si>
  <si>
    <t>016-125-314</t>
    <phoneticPr fontId="2" type="noConversion"/>
  </si>
  <si>
    <t>KR6197-D475PA</t>
    <phoneticPr fontId="2" type="noConversion"/>
  </si>
  <si>
    <t>STOPPER</t>
    <phoneticPr fontId="2" type="noConversion"/>
  </si>
  <si>
    <t>K-JR01920-A414AWA</t>
    <phoneticPr fontId="2" type="noConversion"/>
  </si>
  <si>
    <t>13</t>
    <phoneticPr fontId="2" type="noConversion"/>
  </si>
  <si>
    <t>FLOAT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</si>
  <si>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</si>
  <si>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</si>
  <si>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</si>
  <si>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2018년 04월 06일(주간) 일일생산현황</t>
    </r>
    <r>
      <rPr>
        <b/>
        <sz val="14"/>
        <color indexed="8"/>
        <rFont val="굴림체"/>
        <family val="3"/>
        <charset val="129"/>
      </rPr>
      <t>(07일(토) 09시 현재)</t>
    </r>
    <phoneticPr fontId="2" type="noConversion"/>
  </si>
  <si>
    <t>CORE BLOCK</t>
    <phoneticPr fontId="2" type="noConversion"/>
  </si>
  <si>
    <t>016-125-314</t>
    <phoneticPr fontId="2" type="noConversion"/>
  </si>
  <si>
    <t>FLOATING</t>
    <phoneticPr fontId="2" type="noConversion"/>
  </si>
  <si>
    <t>K-JR01920-A414AWA</t>
    <phoneticPr fontId="2" type="noConversion"/>
  </si>
  <si>
    <t>전일 ISSUE 사항(06일)</t>
    <phoneticPr fontId="2" type="noConversion"/>
  </si>
  <si>
    <t>5</t>
    <phoneticPr fontId="2" type="noConversion"/>
  </si>
  <si>
    <t>발주분양산</t>
    <phoneticPr fontId="2" type="noConversion"/>
  </si>
  <si>
    <t>14</t>
    <phoneticPr fontId="2" type="noConversion"/>
  </si>
  <si>
    <t>수리후양산</t>
    <phoneticPr fontId="2" type="noConversion"/>
  </si>
  <si>
    <t>11</t>
    <phoneticPr fontId="2" type="noConversion"/>
  </si>
  <si>
    <t>STOPPER</t>
    <phoneticPr fontId="2" type="noConversion"/>
  </si>
  <si>
    <t>KR6197-D475PA</t>
    <phoneticPr fontId="2" type="noConversion"/>
  </si>
  <si>
    <t>13</t>
    <phoneticPr fontId="2" type="noConversion"/>
  </si>
  <si>
    <t>FLOAT</t>
    <phoneticPr fontId="2" type="noConversion"/>
  </si>
  <si>
    <t>발주분양산</t>
    <phoneticPr fontId="2" type="noConversion"/>
  </si>
  <si>
    <t>당일 진행 사항(09일)</t>
    <phoneticPr fontId="2" type="noConversion"/>
  </si>
  <si>
    <t>HICON</t>
    <phoneticPr fontId="2" type="noConversion"/>
  </si>
  <si>
    <t>3</t>
    <phoneticPr fontId="2" type="noConversion"/>
  </si>
  <si>
    <t>HRCS-00C11B</t>
    <phoneticPr fontId="2" type="noConversion"/>
  </si>
  <si>
    <t>TOP</t>
    <phoneticPr fontId="2" type="noConversion"/>
  </si>
  <si>
    <t>38P</t>
    <phoneticPr fontId="2" type="noConversion"/>
  </si>
  <si>
    <t>MCS</t>
    <phoneticPr fontId="2" type="noConversion"/>
  </si>
  <si>
    <t>8</t>
    <phoneticPr fontId="2" type="noConversion"/>
  </si>
  <si>
    <t>SAMPLE 진행 사항(06일)</t>
    <phoneticPr fontId="2" type="noConversion"/>
  </si>
  <si>
    <t>AYE</t>
    <phoneticPr fontId="2" type="noConversion"/>
  </si>
  <si>
    <t>SLIDER</t>
    <phoneticPr fontId="2" type="noConversion"/>
  </si>
  <si>
    <t>NP628-1056-001#IN-A</t>
    <phoneticPr fontId="2" type="noConversion"/>
  </si>
  <si>
    <t>SGF2033</t>
    <phoneticPr fontId="2" type="noConversion"/>
  </si>
  <si>
    <t>수정</t>
    <phoneticPr fontId="2" type="noConversion"/>
  </si>
  <si>
    <t>SST</t>
    <phoneticPr fontId="2" type="noConversion"/>
  </si>
  <si>
    <t>STOPPER/HOLDER</t>
    <phoneticPr fontId="2" type="noConversion"/>
  </si>
  <si>
    <t>JR01860-D01/H01AZB</t>
    <phoneticPr fontId="2" type="noConversion"/>
  </si>
  <si>
    <t>SGP2020R</t>
    <phoneticPr fontId="2" type="noConversion"/>
  </si>
  <si>
    <t>신작</t>
    <phoneticPr fontId="2" type="noConversion"/>
  </si>
  <si>
    <t>각 50</t>
    <phoneticPr fontId="2" type="noConversion"/>
  </si>
  <si>
    <t>LEAD GUIDE</t>
    <phoneticPr fontId="2" type="noConversion"/>
  </si>
  <si>
    <t>AMB0459A-KAA-R1</t>
    <phoneticPr fontId="2" type="noConversion"/>
  </si>
  <si>
    <t>F/ADAPTER</t>
    <phoneticPr fontId="2" type="noConversion"/>
  </si>
  <si>
    <t>AMB20C5A-KAA-R1</t>
    <phoneticPr fontId="2" type="noConversion"/>
  </si>
  <si>
    <t>SF2255 I/V</t>
    <phoneticPr fontId="2" type="noConversion"/>
  </si>
  <si>
    <t>COVER</t>
    <phoneticPr fontId="2" type="noConversion"/>
  </si>
  <si>
    <t>HSB08N-C3</t>
    <phoneticPr fontId="2" type="noConversion"/>
  </si>
  <si>
    <t>JD4901</t>
    <phoneticPr fontId="2" type="noConversion"/>
  </si>
  <si>
    <t>요청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</si>
  <si>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</si>
  <si>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</si>
  <si>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2018년 04월 09일 일일생산현황</t>
    </r>
    <r>
      <rPr>
        <b/>
        <sz val="14"/>
        <color indexed="8"/>
        <rFont val="굴림체"/>
        <family val="3"/>
        <charset val="129"/>
      </rPr>
      <t>(10일(화) 09시 현재)</t>
    </r>
    <phoneticPr fontId="2" type="noConversion"/>
  </si>
  <si>
    <t>HICON</t>
    <phoneticPr fontId="2" type="noConversion"/>
  </si>
  <si>
    <t>LID</t>
    <phoneticPr fontId="2" type="noConversion"/>
  </si>
  <si>
    <t>HRCS-03C15</t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</si>
  <si>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</si>
  <si>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</si>
  <si>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</si>
  <si>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전일 ISSUE 사항(09일)</t>
    <phoneticPr fontId="2" type="noConversion"/>
  </si>
  <si>
    <t>HICON</t>
    <phoneticPr fontId="2" type="noConversion"/>
  </si>
  <si>
    <t>3</t>
    <phoneticPr fontId="2" type="noConversion"/>
  </si>
  <si>
    <t>LID</t>
    <phoneticPr fontId="2" type="noConversion"/>
  </si>
  <si>
    <t>MCS</t>
    <phoneticPr fontId="2" type="noConversion"/>
  </si>
  <si>
    <t>8</t>
    <phoneticPr fontId="2" type="noConversion"/>
  </si>
  <si>
    <t>AM0164A-A</t>
    <phoneticPr fontId="2" type="noConversion"/>
  </si>
  <si>
    <t>발주분양산</t>
    <phoneticPr fontId="2" type="noConversion"/>
  </si>
  <si>
    <t>당일 진행 사항(10일)</t>
    <phoneticPr fontId="2" type="noConversion"/>
  </si>
  <si>
    <t>BG255-001A1</t>
    <phoneticPr fontId="2" type="noConversion"/>
  </si>
  <si>
    <t>14</t>
    <phoneticPr fontId="2" type="noConversion"/>
  </si>
  <si>
    <t>BASE</t>
    <phoneticPr fontId="2" type="noConversion"/>
  </si>
  <si>
    <t>SST</t>
    <phoneticPr fontId="2" type="noConversion"/>
  </si>
  <si>
    <t>13</t>
    <phoneticPr fontId="2" type="noConversion"/>
  </si>
  <si>
    <t>009-068-014</t>
    <phoneticPr fontId="2" type="noConversion"/>
  </si>
  <si>
    <t>8LEAD</t>
    <phoneticPr fontId="2" type="noConversion"/>
  </si>
  <si>
    <t>SAMPLE 진행 사항(09일)</t>
    <phoneticPr fontId="2" type="noConversion"/>
  </si>
  <si>
    <t>ACTUATOR</t>
    <phoneticPr fontId="2" type="noConversion"/>
  </si>
  <si>
    <t>AMB1901M-JAA-R1</t>
    <phoneticPr fontId="2" type="noConversion"/>
  </si>
  <si>
    <t>SGF2050</t>
    <phoneticPr fontId="2" type="noConversion"/>
  </si>
  <si>
    <t>수정</t>
    <phoneticPr fontId="2" type="noConversion"/>
  </si>
  <si>
    <t>오조립</t>
    <phoneticPr fontId="2" type="noConversion"/>
  </si>
  <si>
    <t>AYE</t>
    <phoneticPr fontId="2" type="noConversion"/>
  </si>
  <si>
    <t>NP595-362-011#IN-B</t>
    <phoneticPr fontId="2" type="noConversion"/>
  </si>
  <si>
    <t>SGP2030R</t>
    <phoneticPr fontId="2" type="noConversion"/>
  </si>
  <si>
    <t>신작</t>
    <phoneticPr fontId="2" type="noConversion"/>
  </si>
  <si>
    <t>NP595-362-011#LB</t>
    <phoneticPr fontId="2" type="noConversion"/>
  </si>
  <si>
    <t>SGP2030R N/P</t>
    <phoneticPr fontId="2" type="noConversion"/>
  </si>
  <si>
    <t>SPACER 1,2</t>
    <phoneticPr fontId="2" type="noConversion"/>
  </si>
  <si>
    <t>AMB39F7/8A-KAA-R1</t>
    <phoneticPr fontId="2" type="noConversion"/>
  </si>
  <si>
    <t>S475</t>
    <phoneticPr fontId="2" type="noConversion"/>
  </si>
  <si>
    <t>신작</t>
    <phoneticPr fontId="2" type="noConversion"/>
  </si>
  <si>
    <t>각 50</t>
    <phoneticPr fontId="2" type="noConversion"/>
  </si>
  <si>
    <t>뜯김 2회진행</t>
    <phoneticPr fontId="2" type="noConversion"/>
  </si>
  <si>
    <t>AYE</t>
    <phoneticPr fontId="2" type="noConversion"/>
  </si>
  <si>
    <t>SEPARATOR</t>
    <phoneticPr fontId="2" type="noConversion"/>
  </si>
  <si>
    <t>NP595-362-011#SP</t>
    <phoneticPr fontId="2" type="noConversion"/>
  </si>
  <si>
    <t>SGF2033</t>
    <phoneticPr fontId="2" type="noConversion"/>
  </si>
  <si>
    <t>성형안됨</t>
    <phoneticPr fontId="2" type="noConversion"/>
  </si>
  <si>
    <t>SPACER A/B</t>
    <phoneticPr fontId="2" type="noConversion"/>
  </si>
  <si>
    <t>NP595-362-011#SP-A/B</t>
    <phoneticPr fontId="2" type="noConversion"/>
  </si>
  <si>
    <t>작업안됨(에젝타,뜯김)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</si>
  <si>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</si>
  <si>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</si>
  <si>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2018년 04월 10일 일일생산현황</t>
    </r>
    <r>
      <rPr>
        <b/>
        <sz val="14"/>
        <color indexed="8"/>
        <rFont val="굴림체"/>
        <family val="3"/>
        <charset val="129"/>
      </rPr>
      <t>(11일(수) 09시 현재)</t>
    </r>
    <phoneticPr fontId="2" type="noConversion"/>
  </si>
  <si>
    <t>TOP</t>
    <phoneticPr fontId="2" type="noConversion"/>
  </si>
  <si>
    <t>HRCS-00C11B</t>
    <phoneticPr fontId="2" type="noConversion"/>
  </si>
  <si>
    <t>8LEAD</t>
    <phoneticPr fontId="2" type="noConversion"/>
  </si>
  <si>
    <t>009-068-014</t>
    <phoneticPr fontId="2" type="noConversion"/>
  </si>
  <si>
    <t>HICON</t>
    <phoneticPr fontId="2" type="noConversion"/>
  </si>
  <si>
    <t>BG255-001A1</t>
    <phoneticPr fontId="2" type="noConversion"/>
  </si>
  <si>
    <t>전일 ISSUE 사항(10일)</t>
    <phoneticPr fontId="2" type="noConversion"/>
  </si>
  <si>
    <t>HICON</t>
    <phoneticPr fontId="2" type="noConversion"/>
  </si>
  <si>
    <t>14</t>
    <phoneticPr fontId="2" type="noConversion"/>
  </si>
  <si>
    <t>BASE</t>
    <phoneticPr fontId="2" type="noConversion"/>
  </si>
  <si>
    <t>BG255-001A1</t>
    <phoneticPr fontId="2" type="noConversion"/>
  </si>
  <si>
    <t>SST</t>
    <phoneticPr fontId="2" type="noConversion"/>
  </si>
  <si>
    <t>13</t>
    <phoneticPr fontId="2" type="noConversion"/>
  </si>
  <si>
    <t>8LEAD</t>
    <phoneticPr fontId="2" type="noConversion"/>
  </si>
  <si>
    <t>당일 진행 사항(11일)</t>
    <phoneticPr fontId="2" type="noConversion"/>
  </si>
  <si>
    <t>AMB0152A-KAA-R1</t>
    <phoneticPr fontId="2" type="noConversion"/>
  </si>
  <si>
    <t>4</t>
    <phoneticPr fontId="2" type="noConversion"/>
  </si>
  <si>
    <t>K-JR01920-C01AWA</t>
    <phoneticPr fontId="2" type="noConversion"/>
  </si>
  <si>
    <t>COVER</t>
    <phoneticPr fontId="2" type="noConversion"/>
  </si>
  <si>
    <t>MIDDLE GUIDE</t>
    <phoneticPr fontId="2" type="noConversion"/>
  </si>
  <si>
    <t>GTS</t>
    <phoneticPr fontId="2" type="noConversion"/>
  </si>
  <si>
    <t>SAMPLE 진행 사항(10일)</t>
    <phoneticPr fontId="2" type="noConversion"/>
  </si>
  <si>
    <t>오조립 2회진행</t>
    <phoneticPr fontId="2" type="noConversion"/>
  </si>
  <si>
    <t>MCS</t>
    <phoneticPr fontId="2" type="noConversion"/>
  </si>
  <si>
    <t>6</t>
    <phoneticPr fontId="2" type="noConversion"/>
  </si>
  <si>
    <t>STOPPER</t>
    <phoneticPr fontId="2" type="noConversion"/>
  </si>
  <si>
    <t>AMB0450A-KAA-R1</t>
    <phoneticPr fontId="2" type="noConversion"/>
  </si>
  <si>
    <t>수정</t>
    <phoneticPr fontId="2" type="noConversion"/>
  </si>
  <si>
    <t>AMB07P2A-KAA-R1</t>
    <phoneticPr fontId="2" type="noConversion"/>
  </si>
  <si>
    <t>GTS</t>
    <phoneticPr fontId="2" type="noConversion"/>
  </si>
  <si>
    <t>MIDDLE GUIDE</t>
    <phoneticPr fontId="2" type="noConversion"/>
  </si>
  <si>
    <t>SGF2041 N/P</t>
    <phoneticPr fontId="2" type="noConversion"/>
  </si>
  <si>
    <t>옵션</t>
    <phoneticPr fontId="2" type="noConversion"/>
  </si>
  <si>
    <t>F/ADAPTER</t>
    <phoneticPr fontId="2" type="noConversion"/>
  </si>
  <si>
    <t>AMB20C5A-KAA-R1</t>
    <phoneticPr fontId="2" type="noConversion"/>
  </si>
  <si>
    <t>SF2255 I/V</t>
    <phoneticPr fontId="2" type="noConversion"/>
  </si>
  <si>
    <t>뜯김 4회진행</t>
    <phoneticPr fontId="2" type="noConversion"/>
  </si>
  <si>
    <t>AYE</t>
    <phoneticPr fontId="2" type="noConversion"/>
  </si>
  <si>
    <t>SPACER A/B</t>
    <phoneticPr fontId="2" type="noConversion"/>
  </si>
  <si>
    <t>NP595-362-011#SP-A/B</t>
    <phoneticPr fontId="2" type="noConversion"/>
  </si>
  <si>
    <t>하측박힘</t>
    <phoneticPr fontId="2" type="noConversion"/>
  </si>
  <si>
    <t>ADAPTER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</si>
  <si>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</si>
  <si>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</si>
  <si>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2018년 04월 11일 일일생산현황</t>
    </r>
    <r>
      <rPr>
        <b/>
        <sz val="14"/>
        <color indexed="8"/>
        <rFont val="굴림체"/>
        <family val="3"/>
        <charset val="129"/>
      </rPr>
      <t>(12일(목) 09시 현재)</t>
    </r>
    <phoneticPr fontId="2" type="noConversion"/>
  </si>
  <si>
    <t>STOPPER</t>
    <phoneticPr fontId="2" type="noConversion"/>
  </si>
  <si>
    <t>AAM1209A-KAA/B-R2</t>
    <phoneticPr fontId="2" type="noConversion"/>
  </si>
  <si>
    <t>AMB0152A-KAA-R1</t>
    <phoneticPr fontId="2" type="noConversion"/>
  </si>
  <si>
    <t>SGF2030</t>
    <phoneticPr fontId="2" type="noConversion"/>
  </si>
  <si>
    <t>GTS</t>
    <phoneticPr fontId="2" type="noConversion"/>
  </si>
  <si>
    <t>MIDDLE GUIDE</t>
    <phoneticPr fontId="2" type="noConversion"/>
  </si>
  <si>
    <t>SGF2041 N/P</t>
    <phoneticPr fontId="2" type="noConversion"/>
  </si>
  <si>
    <t>K-JR01920-A414AWA</t>
    <phoneticPr fontId="2" type="noConversion"/>
  </si>
  <si>
    <t>SGF2030</t>
    <phoneticPr fontId="2" type="noConversion"/>
  </si>
  <si>
    <t>BASE</t>
    <phoneticPr fontId="2" type="noConversion"/>
  </si>
  <si>
    <t>K-JR01920-B414AZB</t>
    <phoneticPr fontId="2" type="noConversion"/>
  </si>
  <si>
    <t>K-JR01920-C01AWA</t>
    <phoneticPr fontId="2" type="noConversion"/>
  </si>
  <si>
    <t>전일 ISSUE 사항(11일)</t>
    <phoneticPr fontId="2" type="noConversion"/>
  </si>
  <si>
    <t>MCS</t>
    <phoneticPr fontId="2" type="noConversion"/>
  </si>
  <si>
    <t>STOPPER</t>
    <phoneticPr fontId="2" type="noConversion"/>
  </si>
  <si>
    <t>4</t>
    <phoneticPr fontId="2" type="noConversion"/>
  </si>
  <si>
    <t>SST</t>
    <phoneticPr fontId="2" type="noConversion"/>
  </si>
  <si>
    <t>7</t>
    <phoneticPr fontId="2" type="noConversion"/>
  </si>
  <si>
    <t>FLOAT</t>
    <phoneticPr fontId="2" type="noConversion"/>
  </si>
  <si>
    <t>K-JR01920-A414AWA</t>
    <phoneticPr fontId="2" type="noConversion"/>
  </si>
  <si>
    <t>K-JR01920-B414AZB</t>
    <phoneticPr fontId="2" type="noConversion"/>
  </si>
  <si>
    <t>K-JR01920-C01AWA</t>
    <phoneticPr fontId="2" type="noConversion"/>
  </si>
  <si>
    <t>COVER</t>
    <phoneticPr fontId="2" type="noConversion"/>
  </si>
  <si>
    <t>13</t>
    <phoneticPr fontId="2" type="noConversion"/>
  </si>
  <si>
    <t>HICON</t>
    <phoneticPr fontId="2" type="noConversion"/>
  </si>
  <si>
    <t>14</t>
    <phoneticPr fontId="2" type="noConversion"/>
  </si>
  <si>
    <t>BG255-001A1</t>
    <phoneticPr fontId="2" type="noConversion"/>
  </si>
  <si>
    <t>밀핀파손정지</t>
    <phoneticPr fontId="2" type="noConversion"/>
  </si>
  <si>
    <t>당일 진행 사항(12일)</t>
    <phoneticPr fontId="2" type="noConversion"/>
  </si>
  <si>
    <t>9</t>
    <phoneticPr fontId="2" type="noConversion"/>
  </si>
  <si>
    <t>AMM0821A-KAA-R3</t>
    <phoneticPr fontId="2" type="noConversion"/>
  </si>
  <si>
    <t>AMM0853A-KAA-R1</t>
    <phoneticPr fontId="2" type="noConversion"/>
  </si>
  <si>
    <t>AMB07J1A-KAA-R1</t>
    <phoneticPr fontId="2" type="noConversion"/>
  </si>
  <si>
    <t>10</t>
    <phoneticPr fontId="2" type="noConversion"/>
  </si>
  <si>
    <t>ADAPTER</t>
    <phoneticPr fontId="2" type="noConversion"/>
  </si>
  <si>
    <t>수리후양산</t>
    <phoneticPr fontId="2" type="noConversion"/>
  </si>
  <si>
    <t>SAMPLE 진행 사항(11일)</t>
    <phoneticPr fontId="2" type="noConversion"/>
  </si>
  <si>
    <t>에이디엔티</t>
    <phoneticPr fontId="2" type="noConversion"/>
  </si>
  <si>
    <t>PUSHER</t>
    <phoneticPr fontId="2" type="noConversion"/>
  </si>
  <si>
    <t>수정</t>
    <phoneticPr fontId="2" type="noConversion"/>
  </si>
  <si>
    <t>수축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</si>
  <si>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</si>
  <si>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</si>
  <si>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2018년 04월 12일 일일생산현황</t>
    </r>
    <r>
      <rPr>
        <b/>
        <sz val="14"/>
        <color indexed="8"/>
        <rFont val="굴림체"/>
        <family val="3"/>
        <charset val="129"/>
      </rPr>
      <t>(13일(금) 09시 현재)</t>
    </r>
    <phoneticPr fontId="2" type="noConversion"/>
  </si>
  <si>
    <t>AMM0821A-KAA-R3</t>
    <phoneticPr fontId="2" type="noConversion"/>
  </si>
  <si>
    <t>MCS</t>
    <phoneticPr fontId="2" type="noConversion"/>
  </si>
  <si>
    <t>ADAPTER</t>
    <phoneticPr fontId="2" type="noConversion"/>
  </si>
  <si>
    <t>AMB07J1A-KAA-R1</t>
    <phoneticPr fontId="2" type="noConversion"/>
  </si>
  <si>
    <t>전일 ISSUE 사항(12일)</t>
    <phoneticPr fontId="2" type="noConversion"/>
  </si>
  <si>
    <t>9</t>
    <phoneticPr fontId="2" type="noConversion"/>
  </si>
  <si>
    <t>AMM0821A-KAA-R3</t>
    <phoneticPr fontId="2" type="noConversion"/>
  </si>
  <si>
    <t>AMM0853A-KAA-R1</t>
    <phoneticPr fontId="2" type="noConversion"/>
  </si>
  <si>
    <t>발주분양산-&gt;뜯김정지</t>
    <phoneticPr fontId="2" type="noConversion"/>
  </si>
  <si>
    <t>수리후양산</t>
    <phoneticPr fontId="2" type="noConversion"/>
  </si>
  <si>
    <t>10</t>
    <phoneticPr fontId="2" type="noConversion"/>
  </si>
  <si>
    <t>ADAPTER</t>
    <phoneticPr fontId="2" type="noConversion"/>
  </si>
  <si>
    <t>당일 진행 사항(13일)</t>
    <phoneticPr fontId="2" type="noConversion"/>
  </si>
  <si>
    <t>HICON</t>
    <phoneticPr fontId="2" type="noConversion"/>
  </si>
  <si>
    <t>1</t>
    <phoneticPr fontId="2" type="noConversion"/>
  </si>
  <si>
    <t>LEAD GUIDE</t>
    <phoneticPr fontId="2" type="noConversion"/>
  </si>
  <si>
    <t>HSA65-M005B1</t>
    <phoneticPr fontId="2" type="noConversion"/>
  </si>
  <si>
    <t>11</t>
    <phoneticPr fontId="2" type="noConversion"/>
  </si>
  <si>
    <t>STOPPER</t>
    <phoneticPr fontId="2" type="noConversion"/>
  </si>
  <si>
    <t>HSA65-M004B1</t>
    <phoneticPr fontId="2" type="noConversion"/>
  </si>
  <si>
    <t>12</t>
    <phoneticPr fontId="2" type="noConversion"/>
  </si>
  <si>
    <t>COVER</t>
    <phoneticPr fontId="2" type="noConversion"/>
  </si>
  <si>
    <t>HSA65-M003B1</t>
    <phoneticPr fontId="2" type="noConversion"/>
  </si>
  <si>
    <t>HSA65-M001B1</t>
    <phoneticPr fontId="2" type="noConversion"/>
  </si>
  <si>
    <t>6</t>
    <phoneticPr fontId="2" type="noConversion"/>
  </si>
  <si>
    <t>SLIDER</t>
    <phoneticPr fontId="2" type="noConversion"/>
  </si>
  <si>
    <t>HSA65-M002B1-13A</t>
    <phoneticPr fontId="2" type="noConversion"/>
  </si>
  <si>
    <t>SST</t>
    <phoneticPr fontId="2" type="noConversion"/>
  </si>
  <si>
    <t>7</t>
    <phoneticPr fontId="2" type="noConversion"/>
  </si>
  <si>
    <t>STOPPER</t>
    <phoneticPr fontId="2" type="noConversion"/>
  </si>
  <si>
    <t>K-JR01920-H432AZA</t>
    <phoneticPr fontId="2" type="noConversion"/>
  </si>
  <si>
    <t>MCS</t>
    <phoneticPr fontId="2" type="noConversion"/>
  </si>
  <si>
    <t>BASE</t>
    <phoneticPr fontId="2" type="noConversion"/>
  </si>
  <si>
    <t>수리후양산</t>
    <phoneticPr fontId="2" type="noConversion"/>
  </si>
  <si>
    <t>SAMPLE 진행 사항(12일)</t>
    <phoneticPr fontId="2" type="noConversion"/>
  </si>
  <si>
    <t>KR6422-B589CA</t>
    <phoneticPr fontId="2" type="noConversion"/>
  </si>
  <si>
    <t>수정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</si>
  <si>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</si>
  <si>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</si>
  <si>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2018년 04월 13일 일일생산현황</t>
    </r>
    <r>
      <rPr>
        <b/>
        <sz val="14"/>
        <color indexed="8"/>
        <rFont val="굴림체"/>
        <family val="3"/>
        <charset val="129"/>
      </rPr>
      <t>(14일(토) 09시 현재)</t>
    </r>
    <phoneticPr fontId="2" type="noConversion"/>
  </si>
  <si>
    <t>HICON</t>
    <phoneticPr fontId="2" type="noConversion"/>
  </si>
  <si>
    <t>LEAD GUIDE</t>
    <phoneticPr fontId="2" type="noConversion"/>
  </si>
  <si>
    <t>HSA65-M005B1</t>
    <phoneticPr fontId="2" type="noConversion"/>
  </si>
  <si>
    <t>SGF2033</t>
    <phoneticPr fontId="2" type="noConversion"/>
  </si>
  <si>
    <t>SLIDER</t>
    <phoneticPr fontId="2" type="noConversion"/>
  </si>
  <si>
    <t>HSA65-M002B1-13A</t>
    <phoneticPr fontId="2" type="noConversion"/>
  </si>
  <si>
    <t>SGF2030 N/P</t>
    <phoneticPr fontId="2" type="noConversion"/>
  </si>
  <si>
    <t>K-JR01920-H432AZA</t>
    <phoneticPr fontId="2" type="noConversion"/>
  </si>
  <si>
    <t>STOPPER</t>
    <phoneticPr fontId="2" type="noConversion"/>
  </si>
  <si>
    <t>AMM0853A-KAA-R1</t>
    <phoneticPr fontId="2" type="noConversion"/>
  </si>
  <si>
    <t>PA9T</t>
    <phoneticPr fontId="2" type="noConversion"/>
  </si>
  <si>
    <t>HSA65-M004B1</t>
    <phoneticPr fontId="2" type="noConversion"/>
  </si>
  <si>
    <t>HSA65-M003B1</t>
    <phoneticPr fontId="2" type="noConversion"/>
  </si>
  <si>
    <t>TOP/BOTTOM</t>
    <phoneticPr fontId="2" type="noConversion"/>
  </si>
  <si>
    <t>HL100-08A11/12</t>
    <phoneticPr fontId="2" type="noConversion"/>
  </si>
  <si>
    <t>SGF2041</t>
    <phoneticPr fontId="2" type="noConversion"/>
  </si>
  <si>
    <t>2*1</t>
    <phoneticPr fontId="2" type="noConversion"/>
  </si>
  <si>
    <t>HSA65-M001B1</t>
    <phoneticPr fontId="2" type="noConversion"/>
  </si>
  <si>
    <t>전일 ISSUE 사항(13일)</t>
    <phoneticPr fontId="2" type="noConversion"/>
  </si>
  <si>
    <t>수리후양산-&gt;뜯김정지</t>
    <phoneticPr fontId="2" type="noConversion"/>
  </si>
  <si>
    <t>미성형정지</t>
    <phoneticPr fontId="2" type="noConversion"/>
  </si>
  <si>
    <t>HICON</t>
    <phoneticPr fontId="2" type="noConversion"/>
  </si>
  <si>
    <t>1</t>
    <phoneticPr fontId="2" type="noConversion"/>
  </si>
  <si>
    <t>LEAD GUIDE</t>
    <phoneticPr fontId="2" type="noConversion"/>
  </si>
  <si>
    <t>발주분양산</t>
    <phoneticPr fontId="2" type="noConversion"/>
  </si>
  <si>
    <t>6</t>
    <phoneticPr fontId="2" type="noConversion"/>
  </si>
  <si>
    <t>SLIDER</t>
    <phoneticPr fontId="2" type="noConversion"/>
  </si>
  <si>
    <t>HSA65-M002B1-13A</t>
    <phoneticPr fontId="2" type="noConversion"/>
  </si>
  <si>
    <t>11</t>
    <phoneticPr fontId="2" type="noConversion"/>
  </si>
  <si>
    <t>STOPPER</t>
    <phoneticPr fontId="2" type="noConversion"/>
  </si>
  <si>
    <t>12</t>
    <phoneticPr fontId="2" type="noConversion"/>
  </si>
  <si>
    <t>14</t>
    <phoneticPr fontId="2" type="noConversion"/>
  </si>
  <si>
    <t>BASE</t>
    <phoneticPr fontId="2" type="noConversion"/>
  </si>
  <si>
    <t>COVER</t>
    <phoneticPr fontId="2" type="noConversion"/>
  </si>
  <si>
    <t>SST</t>
    <phoneticPr fontId="2" type="noConversion"/>
  </si>
  <si>
    <t>7</t>
    <phoneticPr fontId="2" type="noConversion"/>
  </si>
  <si>
    <t>당일 진행 사항(16일)</t>
    <phoneticPr fontId="2" type="noConversion"/>
  </si>
  <si>
    <t>MCS</t>
    <phoneticPr fontId="2" type="noConversion"/>
  </si>
  <si>
    <t>10</t>
    <phoneticPr fontId="2" type="noConversion"/>
  </si>
  <si>
    <t>ADAPTER</t>
    <phoneticPr fontId="2" type="noConversion"/>
  </si>
  <si>
    <t>AMB07J1A-KAA-R1</t>
    <phoneticPr fontId="2" type="noConversion"/>
  </si>
  <si>
    <t>세척후양산</t>
    <phoneticPr fontId="2" type="noConversion"/>
  </si>
  <si>
    <t>에이디엔티</t>
    <phoneticPr fontId="2" type="noConversion"/>
  </si>
  <si>
    <t>3</t>
    <phoneticPr fontId="2" type="noConversion"/>
  </si>
  <si>
    <t>PUSHER</t>
    <phoneticPr fontId="2" type="noConversion"/>
  </si>
  <si>
    <t>승인후양산</t>
    <phoneticPr fontId="2" type="noConversion"/>
  </si>
  <si>
    <t>AMM0853A-KAA-R1</t>
    <phoneticPr fontId="2" type="noConversion"/>
  </si>
  <si>
    <t>9</t>
    <phoneticPr fontId="2" type="noConversion"/>
  </si>
  <si>
    <t>BASE</t>
    <phoneticPr fontId="2" type="noConversion"/>
  </si>
  <si>
    <t>수리후양산</t>
    <phoneticPr fontId="2" type="noConversion"/>
  </si>
  <si>
    <t>SAMPLE 진행 사항(13일)</t>
    <phoneticPr fontId="2" type="noConversion"/>
  </si>
  <si>
    <t>AYE</t>
    <phoneticPr fontId="2" type="noConversion"/>
  </si>
  <si>
    <t>NP628-1056-001#IN-B</t>
    <phoneticPr fontId="2" type="noConversion"/>
  </si>
  <si>
    <t>수정</t>
    <phoneticPr fontId="2" type="noConversion"/>
  </si>
  <si>
    <t>뜯김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</si>
  <si>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</si>
  <si>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</si>
  <si>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2018년 04월 16일 일일생산현황</t>
    </r>
    <r>
      <rPr>
        <b/>
        <sz val="14"/>
        <color indexed="8"/>
        <rFont val="굴림체"/>
        <family val="3"/>
        <charset val="129"/>
      </rPr>
      <t>(17일(화) 09시 현재)</t>
    </r>
    <phoneticPr fontId="2" type="noConversion"/>
  </si>
  <si>
    <t>전일 ISSUE 사항(16일)</t>
    <phoneticPr fontId="2" type="noConversion"/>
  </si>
  <si>
    <t>HICON</t>
    <phoneticPr fontId="2" type="noConversion"/>
  </si>
  <si>
    <t>14</t>
    <phoneticPr fontId="2" type="noConversion"/>
  </si>
  <si>
    <t>BASE</t>
    <phoneticPr fontId="2" type="noConversion"/>
  </si>
  <si>
    <t>HSA65-M001B1</t>
    <phoneticPr fontId="2" type="noConversion"/>
  </si>
  <si>
    <t>AMM0853A-KAA-R1</t>
    <phoneticPr fontId="2" type="noConversion"/>
  </si>
  <si>
    <t>MCS</t>
    <phoneticPr fontId="2" type="noConversion"/>
  </si>
  <si>
    <t>9</t>
    <phoneticPr fontId="2" type="noConversion"/>
  </si>
  <si>
    <t>뜯김2회정지</t>
    <phoneticPr fontId="2" type="noConversion"/>
  </si>
  <si>
    <t>코아파손수리후양산-&gt;1CAV파손</t>
    <phoneticPr fontId="2" type="noConversion"/>
  </si>
  <si>
    <t>당일 진행 사항(17일)</t>
    <phoneticPr fontId="2" type="noConversion"/>
  </si>
  <si>
    <t>14</t>
    <phoneticPr fontId="2" type="noConversion"/>
  </si>
  <si>
    <t>BASE</t>
    <phoneticPr fontId="2" type="noConversion"/>
  </si>
  <si>
    <t>HSA65-M001B1</t>
    <phoneticPr fontId="2" type="noConversion"/>
  </si>
  <si>
    <t>수리후양산</t>
    <phoneticPr fontId="2" type="noConversion"/>
  </si>
  <si>
    <t>12</t>
    <phoneticPr fontId="2" type="noConversion"/>
  </si>
  <si>
    <t>SAM</t>
    <phoneticPr fontId="2" type="noConversion"/>
  </si>
  <si>
    <t>AM0610C-J</t>
    <phoneticPr fontId="2" type="noConversion"/>
  </si>
  <si>
    <t>발주분양산</t>
    <phoneticPr fontId="2" type="noConversion"/>
  </si>
  <si>
    <t>SAMPLE 진행 사항(16일)</t>
    <phoneticPr fontId="2" type="noConversion"/>
  </si>
  <si>
    <t>ADAPTER</t>
    <phoneticPr fontId="2" type="noConversion"/>
  </si>
  <si>
    <t>NP595-362-011#LB</t>
    <phoneticPr fontId="2" type="noConversion"/>
  </si>
  <si>
    <t>SGP2030R N/P</t>
    <phoneticPr fontId="2" type="noConversion"/>
  </si>
  <si>
    <t>SPACER A/B</t>
    <phoneticPr fontId="2" type="noConversion"/>
  </si>
  <si>
    <t>NP595-362-011#SP-A/B</t>
    <phoneticPr fontId="2" type="noConversion"/>
  </si>
  <si>
    <t>SGF2033</t>
    <phoneticPr fontId="2" type="noConversion"/>
  </si>
  <si>
    <t>NP595-362-011#IN-B</t>
    <phoneticPr fontId="2" type="noConversion"/>
  </si>
  <si>
    <t>SGP2030R</t>
    <phoneticPr fontId="2" type="noConversion"/>
  </si>
  <si>
    <t>HICON</t>
    <phoneticPr fontId="2" type="noConversion"/>
  </si>
  <si>
    <t>PUSHER 1/2</t>
    <phoneticPr fontId="2" type="noConversion"/>
  </si>
  <si>
    <t>HRCS-DS-05A/06A</t>
    <phoneticPr fontId="2" type="noConversion"/>
  </si>
  <si>
    <t>SGF2041</t>
    <phoneticPr fontId="2" type="noConversion"/>
  </si>
  <si>
    <t>SEPARATOR</t>
    <phoneticPr fontId="2" type="noConversion"/>
  </si>
  <si>
    <t>NP595-362-011#SP</t>
    <phoneticPr fontId="2" type="noConversion"/>
  </si>
  <si>
    <t>뜯김2회진행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</si>
  <si>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</si>
  <si>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</si>
  <si>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2018년 04월 17일 일일생산현황</t>
    </r>
    <r>
      <rPr>
        <b/>
        <sz val="14"/>
        <color indexed="8"/>
        <rFont val="굴림체"/>
        <family val="3"/>
        <charset val="129"/>
      </rPr>
      <t>(18일(수) 09시 현재)</t>
    </r>
    <phoneticPr fontId="2" type="noConversion"/>
  </si>
  <si>
    <t>에이디엔티</t>
    <phoneticPr fontId="2" type="noConversion"/>
  </si>
  <si>
    <t>PUSHER</t>
    <phoneticPr fontId="2" type="noConversion"/>
  </si>
  <si>
    <t>AMB0201D-JAA-R1</t>
    <phoneticPr fontId="2" type="noConversion"/>
  </si>
  <si>
    <t>SF2255</t>
    <phoneticPr fontId="2" type="noConversion"/>
  </si>
  <si>
    <t>GTS</t>
    <phoneticPr fontId="2" type="noConversion"/>
  </si>
  <si>
    <t>MIDDLE</t>
    <phoneticPr fontId="2" type="noConversion"/>
  </si>
  <si>
    <t>GTS-003-1</t>
    <phoneticPr fontId="2" type="noConversion"/>
  </si>
  <si>
    <t>SGF2041 N/P</t>
    <phoneticPr fontId="2" type="noConversion"/>
  </si>
  <si>
    <t>SAM</t>
    <phoneticPr fontId="2" type="noConversion"/>
  </si>
  <si>
    <t>AM0610C-J</t>
    <phoneticPr fontId="2" type="noConversion"/>
  </si>
  <si>
    <t>M2 CONN</t>
    <phoneticPr fontId="2" type="noConversion"/>
  </si>
  <si>
    <t>AMS08155A-KAA-R1</t>
    <phoneticPr fontId="2" type="noConversion"/>
  </si>
  <si>
    <t>SF2255</t>
    <phoneticPr fontId="2" type="noConversion"/>
  </si>
  <si>
    <t>전일 ISSUE 사항(17일)</t>
    <phoneticPr fontId="2" type="noConversion"/>
  </si>
  <si>
    <t>수리후양산</t>
    <phoneticPr fontId="2" type="noConversion"/>
  </si>
  <si>
    <t>코아파손수리후양산</t>
    <phoneticPr fontId="2" type="noConversion"/>
  </si>
  <si>
    <t>10</t>
    <phoneticPr fontId="2" type="noConversion"/>
  </si>
  <si>
    <t>MIDDLE</t>
    <phoneticPr fontId="2" type="noConversion"/>
  </si>
  <si>
    <t>발주분양산</t>
    <phoneticPr fontId="2" type="noConversion"/>
  </si>
  <si>
    <t>MCS</t>
    <phoneticPr fontId="2" type="noConversion"/>
  </si>
  <si>
    <t>12</t>
    <phoneticPr fontId="2" type="noConversion"/>
  </si>
  <si>
    <t>SAM</t>
    <phoneticPr fontId="2" type="noConversion"/>
  </si>
  <si>
    <t>7</t>
    <phoneticPr fontId="2" type="noConversion"/>
  </si>
  <si>
    <t>STOPPER</t>
    <phoneticPr fontId="2" type="noConversion"/>
  </si>
  <si>
    <t>13</t>
    <phoneticPr fontId="2" type="noConversion"/>
  </si>
  <si>
    <t>M2 CONN</t>
    <phoneticPr fontId="2" type="noConversion"/>
  </si>
  <si>
    <t>수리후양산</t>
    <phoneticPr fontId="2" type="noConversion"/>
  </si>
  <si>
    <t>당일 진행 사항(18일)</t>
    <phoneticPr fontId="2" type="noConversion"/>
  </si>
  <si>
    <t>SST</t>
    <phoneticPr fontId="2" type="noConversion"/>
  </si>
  <si>
    <t>4</t>
    <phoneticPr fontId="2" type="noConversion"/>
  </si>
  <si>
    <t>SHAFT</t>
    <phoneticPr fontId="2" type="noConversion"/>
  </si>
  <si>
    <t>KR6408-01PCA</t>
    <phoneticPr fontId="2" type="noConversion"/>
  </si>
  <si>
    <t>발주분양산</t>
    <phoneticPr fontId="2" type="noConversion"/>
  </si>
  <si>
    <t>AMM0822A-KAB-R1</t>
    <phoneticPr fontId="2" type="noConversion"/>
  </si>
  <si>
    <t>SAMPLE 진행 사항(17일)</t>
    <phoneticPr fontId="2" type="noConversion"/>
  </si>
  <si>
    <t>뜯김2회진행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</si>
  <si>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</si>
  <si>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</si>
  <si>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2018년 04월 18일 일일생산현황</t>
    </r>
    <r>
      <rPr>
        <b/>
        <sz val="14"/>
        <color indexed="8"/>
        <rFont val="굴림체"/>
        <family val="3"/>
        <charset val="129"/>
      </rPr>
      <t>(19일(목) 09시 현재)</t>
    </r>
    <phoneticPr fontId="2" type="noConversion"/>
  </si>
  <si>
    <t>SST</t>
    <phoneticPr fontId="2" type="noConversion"/>
  </si>
  <si>
    <t>SHAFT</t>
    <phoneticPr fontId="2" type="noConversion"/>
  </si>
  <si>
    <t>KR6408-01PCA</t>
    <phoneticPr fontId="2" type="noConversion"/>
  </si>
  <si>
    <t>SF2255</t>
    <phoneticPr fontId="2" type="noConversion"/>
  </si>
  <si>
    <t>AMM0822A-KAB-R1</t>
    <phoneticPr fontId="2" type="noConversion"/>
  </si>
  <si>
    <t>메카텍</t>
    <phoneticPr fontId="2" type="noConversion"/>
  </si>
  <si>
    <t>BASE HINGE</t>
    <phoneticPr fontId="2" type="noConversion"/>
  </si>
  <si>
    <t>전일 ISSUE 사항(18일)</t>
    <phoneticPr fontId="2" type="noConversion"/>
  </si>
  <si>
    <t>메카텍</t>
    <phoneticPr fontId="2" type="noConversion"/>
  </si>
  <si>
    <t>13</t>
    <phoneticPr fontId="2" type="noConversion"/>
  </si>
  <si>
    <t>발주분양산</t>
    <phoneticPr fontId="2" type="noConversion"/>
  </si>
  <si>
    <t>고객사요청정지</t>
    <phoneticPr fontId="2" type="noConversion"/>
  </si>
  <si>
    <t>SST</t>
    <phoneticPr fontId="2" type="noConversion"/>
  </si>
  <si>
    <t>4</t>
    <phoneticPr fontId="2" type="noConversion"/>
  </si>
  <si>
    <t>SHAFT</t>
    <phoneticPr fontId="2" type="noConversion"/>
  </si>
  <si>
    <t>당일 진행 사항(19일)</t>
    <phoneticPr fontId="2" type="noConversion"/>
  </si>
  <si>
    <t>OKINS</t>
    <phoneticPr fontId="2" type="noConversion"/>
  </si>
  <si>
    <t>11</t>
    <phoneticPr fontId="2" type="noConversion"/>
  </si>
  <si>
    <t>BASE/UNDER</t>
    <phoneticPr fontId="2" type="noConversion"/>
  </si>
  <si>
    <t>25SSD-127-T6-BB/UA</t>
    <phoneticPr fontId="2" type="noConversion"/>
  </si>
  <si>
    <t>발주분양산</t>
    <phoneticPr fontId="2" type="noConversion"/>
  </si>
  <si>
    <t>HSA65-M003B1(CD)</t>
    <phoneticPr fontId="2" type="noConversion"/>
  </si>
  <si>
    <t>HICON</t>
    <phoneticPr fontId="2" type="noConversion"/>
  </si>
  <si>
    <t>12</t>
    <phoneticPr fontId="2" type="noConversion"/>
  </si>
  <si>
    <t>COVER</t>
    <phoneticPr fontId="2" type="noConversion"/>
  </si>
  <si>
    <t>SAMPLE 진행 사항(18일)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</si>
  <si>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</si>
  <si>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</si>
  <si>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2018년 04월 19일 일일생산현황</t>
    </r>
    <r>
      <rPr>
        <b/>
        <sz val="14"/>
        <color indexed="8"/>
        <rFont val="굴림체"/>
        <family val="3"/>
        <charset val="129"/>
      </rPr>
      <t>(20일(금) 09시 현재)</t>
    </r>
    <phoneticPr fontId="2" type="noConversion"/>
  </si>
  <si>
    <t>AM0148B-K-R2</t>
    <phoneticPr fontId="2" type="noConversion"/>
  </si>
  <si>
    <t>F/ADAPTER</t>
    <phoneticPr fontId="2" type="noConversion"/>
  </si>
  <si>
    <t>AMB2071A-KAA-R2</t>
    <phoneticPr fontId="2" type="noConversion"/>
  </si>
  <si>
    <t>OKINS</t>
    <phoneticPr fontId="2" type="noConversion"/>
  </si>
  <si>
    <t>BASE/UNDER</t>
    <phoneticPr fontId="2" type="noConversion"/>
  </si>
  <si>
    <t>25SSD-127-T6-BB/UA</t>
    <phoneticPr fontId="2" type="noConversion"/>
  </si>
  <si>
    <t>2*1</t>
    <phoneticPr fontId="2" type="noConversion"/>
  </si>
  <si>
    <t>전일 ISSUE 사항(19일)</t>
    <phoneticPr fontId="2" type="noConversion"/>
  </si>
  <si>
    <t>MCS</t>
    <phoneticPr fontId="2" type="noConversion"/>
  </si>
  <si>
    <t>8</t>
    <phoneticPr fontId="2" type="noConversion"/>
  </si>
  <si>
    <t>10</t>
    <phoneticPr fontId="2" type="noConversion"/>
  </si>
  <si>
    <t>F/ADAPTER</t>
    <phoneticPr fontId="2" type="noConversion"/>
  </si>
  <si>
    <t>OKINS</t>
    <phoneticPr fontId="2" type="noConversion"/>
  </si>
  <si>
    <t>11</t>
    <phoneticPr fontId="2" type="noConversion"/>
  </si>
  <si>
    <t>HICON</t>
    <phoneticPr fontId="2" type="noConversion"/>
  </si>
  <si>
    <t>12</t>
    <phoneticPr fontId="2" type="noConversion"/>
  </si>
  <si>
    <t>HSA65-M003B1</t>
    <phoneticPr fontId="2" type="noConversion"/>
  </si>
  <si>
    <t>당일 진행 사항(23일)</t>
    <phoneticPr fontId="2" type="noConversion"/>
  </si>
  <si>
    <t>HICON</t>
    <phoneticPr fontId="2" type="noConversion"/>
  </si>
  <si>
    <t>1</t>
    <phoneticPr fontId="2" type="noConversion"/>
  </si>
  <si>
    <t>LEAD GUIDE</t>
    <phoneticPr fontId="2" type="noConversion"/>
  </si>
  <si>
    <t>HSB05-M005B1</t>
    <phoneticPr fontId="2" type="noConversion"/>
  </si>
  <si>
    <t>3</t>
    <phoneticPr fontId="2" type="noConversion"/>
  </si>
  <si>
    <t>STOPPER</t>
    <phoneticPr fontId="2" type="noConversion"/>
  </si>
  <si>
    <t>HSB05-M004B1</t>
    <phoneticPr fontId="2" type="noConversion"/>
  </si>
  <si>
    <t>KR6197-06KA</t>
    <phoneticPr fontId="2" type="noConversion"/>
  </si>
  <si>
    <t>SST</t>
    <phoneticPr fontId="2" type="noConversion"/>
  </si>
  <si>
    <t>4</t>
    <phoneticPr fontId="2" type="noConversion"/>
  </si>
  <si>
    <t>SHAFT</t>
    <phoneticPr fontId="2" type="noConversion"/>
  </si>
  <si>
    <t>AMB1904D-KAA-R2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</si>
  <si>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</si>
  <si>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</si>
  <si>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</si>
  <si>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AM0148E-K-R2</t>
    <phoneticPr fontId="2" type="noConversion"/>
  </si>
  <si>
    <t>11</t>
    <phoneticPr fontId="2" type="noConversion"/>
  </si>
  <si>
    <t>BODY</t>
    <phoneticPr fontId="2" type="noConversion"/>
  </si>
  <si>
    <t>009-019-004</t>
    <phoneticPr fontId="2" type="noConversion"/>
  </si>
  <si>
    <t>13</t>
    <phoneticPr fontId="2" type="noConversion"/>
  </si>
  <si>
    <t>4LEAD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</si>
  <si>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</si>
  <si>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</si>
  <si>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</si>
  <si>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t>하측박힘</t>
    <phoneticPr fontId="2" type="noConversion"/>
  </si>
  <si>
    <r>
      <t>2018년 04월 23일 일일생산현황</t>
    </r>
    <r>
      <rPr>
        <b/>
        <sz val="14"/>
        <color indexed="8"/>
        <rFont val="굴림체"/>
        <family val="3"/>
        <charset val="129"/>
      </rPr>
      <t>(24일(화) 09시 현재)</t>
    </r>
    <phoneticPr fontId="2" type="noConversion"/>
  </si>
  <si>
    <t>HSB05-M005B1</t>
    <phoneticPr fontId="2" type="noConversion"/>
  </si>
  <si>
    <t>7301</t>
    <phoneticPr fontId="2" type="noConversion"/>
  </si>
  <si>
    <t>KR6197-06KA</t>
    <phoneticPr fontId="2" type="noConversion"/>
  </si>
  <si>
    <t>JCL3030</t>
    <phoneticPr fontId="2" type="noConversion"/>
  </si>
  <si>
    <t>ACTUATOR</t>
    <phoneticPr fontId="2" type="noConversion"/>
  </si>
  <si>
    <t>AMB1904D-KAA-R2</t>
    <phoneticPr fontId="2" type="noConversion"/>
  </si>
  <si>
    <t>SGF2050 N/P</t>
    <phoneticPr fontId="2" type="noConversion"/>
  </si>
  <si>
    <t>AM0148E-K-R2</t>
    <phoneticPr fontId="2" type="noConversion"/>
  </si>
  <si>
    <t>4LEAD</t>
    <phoneticPr fontId="2" type="noConversion"/>
  </si>
  <si>
    <t>009-019-004</t>
    <phoneticPr fontId="2" type="noConversion"/>
  </si>
  <si>
    <t>HSB05-M001B1</t>
    <phoneticPr fontId="2" type="noConversion"/>
  </si>
  <si>
    <t>SGF2041</t>
    <phoneticPr fontId="2" type="noConversion"/>
  </si>
  <si>
    <t>전일 ISSUE 사항(23일)</t>
    <phoneticPr fontId="2" type="noConversion"/>
  </si>
  <si>
    <t>HICON</t>
    <phoneticPr fontId="2" type="noConversion"/>
  </si>
  <si>
    <t>1</t>
    <phoneticPr fontId="2" type="noConversion"/>
  </si>
  <si>
    <t>LEAD GUIDE</t>
    <phoneticPr fontId="2" type="noConversion"/>
  </si>
  <si>
    <t>14</t>
    <phoneticPr fontId="2" type="noConversion"/>
  </si>
  <si>
    <t>BASE</t>
    <phoneticPr fontId="2" type="noConversion"/>
  </si>
  <si>
    <t>HSB05-M001B1</t>
    <phoneticPr fontId="2" type="noConversion"/>
  </si>
  <si>
    <t>MCS</t>
    <phoneticPr fontId="2" type="noConversion"/>
  </si>
  <si>
    <t>BASE</t>
    <phoneticPr fontId="2" type="noConversion"/>
  </si>
  <si>
    <t>AM0148E-K-R2</t>
    <phoneticPr fontId="2" type="noConversion"/>
  </si>
  <si>
    <t>SST</t>
    <phoneticPr fontId="2" type="noConversion"/>
  </si>
  <si>
    <t>13</t>
    <phoneticPr fontId="2" type="noConversion"/>
  </si>
  <si>
    <t>4LEAD</t>
    <phoneticPr fontId="2" type="noConversion"/>
  </si>
  <si>
    <t>009-019-004</t>
    <phoneticPr fontId="2" type="noConversion"/>
  </si>
  <si>
    <t>4</t>
    <phoneticPr fontId="2" type="noConversion"/>
  </si>
  <si>
    <t>SHAFT</t>
    <phoneticPr fontId="2" type="noConversion"/>
  </si>
  <si>
    <t>6</t>
    <phoneticPr fontId="2" type="noConversion"/>
  </si>
  <si>
    <t>ACTUATOR</t>
    <phoneticPr fontId="2" type="noConversion"/>
  </si>
  <si>
    <t>발주분양산-&gt;오조립2회진행</t>
    <phoneticPr fontId="2" type="noConversion"/>
  </si>
  <si>
    <t>발주분양산-&gt;런너수리3회진행</t>
    <phoneticPr fontId="2" type="noConversion"/>
  </si>
  <si>
    <t>당일 진행 사항(24일)</t>
    <phoneticPr fontId="2" type="noConversion"/>
  </si>
  <si>
    <t>HSB05-M004B1</t>
    <phoneticPr fontId="2" type="noConversion"/>
  </si>
  <si>
    <t>HICON</t>
    <phoneticPr fontId="2" type="noConversion"/>
  </si>
  <si>
    <t>SLIDER</t>
    <phoneticPr fontId="2" type="noConversion"/>
  </si>
  <si>
    <t>HSA65-M002B1-13A</t>
    <phoneticPr fontId="2" type="noConversion"/>
  </si>
  <si>
    <t>세척후양산</t>
    <phoneticPr fontId="2" type="noConversion"/>
  </si>
  <si>
    <t>SAMPLE 진행 사항(23일)</t>
    <phoneticPr fontId="2" type="noConversion"/>
  </si>
  <si>
    <t>HL072-10M1-1/HL072-10M2</t>
    <phoneticPr fontId="2" type="noConversion"/>
  </si>
  <si>
    <t>SGF2041</t>
    <phoneticPr fontId="2" type="noConversion"/>
  </si>
  <si>
    <t>수정</t>
    <phoneticPr fontId="2" type="noConversion"/>
  </si>
  <si>
    <t>오조립 2회진행</t>
    <phoneticPr fontId="2" type="noConversion"/>
  </si>
  <si>
    <t>BASE/BOTTOM</t>
    <phoneticPr fontId="2" type="noConversion"/>
  </si>
  <si>
    <t>HICON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</si>
  <si>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</si>
  <si>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</si>
  <si>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2018년 04월 24일 일일생산현황</t>
    </r>
    <r>
      <rPr>
        <b/>
        <sz val="14"/>
        <color indexed="8"/>
        <rFont val="굴림체"/>
        <family val="3"/>
        <charset val="129"/>
      </rPr>
      <t>(25일(수) 09시 현재)</t>
    </r>
    <phoneticPr fontId="2" type="noConversion"/>
  </si>
  <si>
    <t>HICON</t>
    <phoneticPr fontId="2" type="noConversion"/>
  </si>
  <si>
    <t>STOPPER</t>
    <phoneticPr fontId="2" type="noConversion"/>
  </si>
  <si>
    <t>HSB05-M004B1</t>
    <phoneticPr fontId="2" type="noConversion"/>
  </si>
  <si>
    <t>전일 ISSUE 사항(24일)</t>
    <phoneticPr fontId="2" type="noConversion"/>
  </si>
  <si>
    <t>3</t>
    <phoneticPr fontId="2" type="noConversion"/>
  </si>
  <si>
    <t>STOPPER</t>
    <phoneticPr fontId="2" type="noConversion"/>
  </si>
  <si>
    <t>HSB05-M004B1</t>
    <phoneticPr fontId="2" type="noConversion"/>
  </si>
  <si>
    <t>6</t>
    <phoneticPr fontId="2" type="noConversion"/>
  </si>
  <si>
    <t>SLIDER</t>
    <phoneticPr fontId="2" type="noConversion"/>
  </si>
  <si>
    <t>HSB05-M002B1-13A</t>
    <phoneticPr fontId="2" type="noConversion"/>
  </si>
  <si>
    <t>세척후양산</t>
    <phoneticPr fontId="2" type="noConversion"/>
  </si>
  <si>
    <t>1</t>
    <phoneticPr fontId="2" type="noConversion"/>
  </si>
  <si>
    <t>LEAD GUIDE</t>
    <phoneticPr fontId="2" type="noConversion"/>
  </si>
  <si>
    <t>HSB05-M005B1</t>
    <phoneticPr fontId="2" type="noConversion"/>
  </si>
  <si>
    <t>게이트수리후양산</t>
    <phoneticPr fontId="2" type="noConversion"/>
  </si>
  <si>
    <t>8</t>
    <phoneticPr fontId="2" type="noConversion"/>
  </si>
  <si>
    <t>BOTTOM</t>
    <phoneticPr fontId="2" type="noConversion"/>
  </si>
  <si>
    <t>HB1208-10M2</t>
    <phoneticPr fontId="2" type="noConversion"/>
  </si>
  <si>
    <t>발주분양산-&gt;치수NG</t>
    <phoneticPr fontId="2" type="noConversion"/>
  </si>
  <si>
    <t>7</t>
    <phoneticPr fontId="2" type="noConversion"/>
  </si>
  <si>
    <t>TOP</t>
    <phoneticPr fontId="2" type="noConversion"/>
  </si>
  <si>
    <t>HB1208-10M1</t>
    <phoneticPr fontId="2" type="noConversion"/>
  </si>
  <si>
    <t>당일 진행 사항(25일)</t>
    <phoneticPr fontId="2" type="noConversion"/>
  </si>
  <si>
    <t>4</t>
    <phoneticPr fontId="2" type="noConversion"/>
  </si>
  <si>
    <t>BOTTOM</t>
    <phoneticPr fontId="2" type="noConversion"/>
  </si>
  <si>
    <t>HB1208-10M2</t>
    <phoneticPr fontId="2" type="noConversion"/>
  </si>
  <si>
    <t>설비이동양산</t>
    <phoneticPr fontId="2" type="noConversion"/>
  </si>
  <si>
    <t>DI</t>
    <phoneticPr fontId="2" type="noConversion"/>
  </si>
  <si>
    <t>2</t>
    <phoneticPr fontId="2" type="noConversion"/>
  </si>
  <si>
    <t>72P</t>
    <phoneticPr fontId="2" type="noConversion"/>
  </si>
  <si>
    <t>발주분양산</t>
    <phoneticPr fontId="2" type="noConversion"/>
  </si>
  <si>
    <t>HB1208-10M1</t>
    <phoneticPr fontId="2" type="noConversion"/>
  </si>
  <si>
    <t>TOP</t>
    <phoneticPr fontId="2" type="noConversion"/>
  </si>
  <si>
    <t>BOTTOM</t>
    <phoneticPr fontId="2" type="noConversion"/>
  </si>
  <si>
    <t>HB1208-10M3</t>
    <phoneticPr fontId="2" type="noConversion"/>
  </si>
  <si>
    <t>FLOAT</t>
    <phoneticPr fontId="2" type="noConversion"/>
  </si>
  <si>
    <t>13</t>
    <phoneticPr fontId="2" type="noConversion"/>
  </si>
  <si>
    <t>KR6197AB841CB</t>
    <phoneticPr fontId="2" type="noConversion"/>
  </si>
  <si>
    <t>SST</t>
    <phoneticPr fontId="2" type="noConversion"/>
  </si>
  <si>
    <t>BASE</t>
    <phoneticPr fontId="2" type="noConversion"/>
  </si>
  <si>
    <t>SAMPLE 진행 사항(24일)</t>
    <phoneticPr fontId="2" type="noConversion"/>
  </si>
  <si>
    <t>NP595-362-011#SP-A/B</t>
    <phoneticPr fontId="2" type="noConversion"/>
  </si>
  <si>
    <t>AYE</t>
    <phoneticPr fontId="2" type="noConversion"/>
  </si>
  <si>
    <t>SGF2033</t>
    <phoneticPr fontId="2" type="noConversion"/>
  </si>
  <si>
    <t>수정</t>
    <phoneticPr fontId="2" type="noConversion"/>
  </si>
  <si>
    <t>하측뜯김 3회 정지</t>
    <phoneticPr fontId="2" type="noConversion"/>
  </si>
  <si>
    <t>KR6197-GK209QA</t>
    <phoneticPr fontId="2" type="noConversion"/>
  </si>
  <si>
    <t>ADAPTER</t>
    <phoneticPr fontId="2" type="noConversion"/>
  </si>
  <si>
    <t>SF2255 I/V</t>
    <phoneticPr fontId="2" type="noConversion"/>
  </si>
  <si>
    <t>수정안됨 2회진행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</si>
  <si>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</si>
  <si>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</si>
  <si>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2018년 04월 25일 일일생산현황</t>
    </r>
    <r>
      <rPr>
        <b/>
        <sz val="14"/>
        <color indexed="8"/>
        <rFont val="굴림체"/>
        <family val="3"/>
        <charset val="129"/>
      </rPr>
      <t>(26일(목) 09시 현재)</t>
    </r>
    <phoneticPr fontId="2" type="noConversion"/>
  </si>
  <si>
    <t>DI</t>
    <phoneticPr fontId="2" type="noConversion"/>
  </si>
  <si>
    <t>72P</t>
    <phoneticPr fontId="2" type="noConversion"/>
  </si>
  <si>
    <t>PA46</t>
    <phoneticPr fontId="2" type="noConversion"/>
  </si>
  <si>
    <t>HB1208-10M1</t>
    <phoneticPr fontId="2" type="noConversion"/>
  </si>
  <si>
    <t>SGF2041</t>
    <phoneticPr fontId="2" type="noConversion"/>
  </si>
  <si>
    <t>BOTTOM</t>
    <phoneticPr fontId="2" type="noConversion"/>
  </si>
  <si>
    <t>HB1208-10M2</t>
    <phoneticPr fontId="2" type="noConversion"/>
  </si>
  <si>
    <t>BASE/LID</t>
    <phoneticPr fontId="2" type="noConversion"/>
  </si>
  <si>
    <t>HRGS-DS-03A/04A</t>
    <phoneticPr fontId="2" type="noConversion"/>
  </si>
  <si>
    <t>KR6197AB841CB</t>
    <phoneticPr fontId="2" type="noConversion"/>
  </si>
  <si>
    <t>SGF2033</t>
    <phoneticPr fontId="2" type="noConversion"/>
  </si>
  <si>
    <t>HRGS-DS-01A</t>
    <phoneticPr fontId="2" type="noConversion"/>
  </si>
  <si>
    <t>PLATE</t>
    <phoneticPr fontId="2" type="noConversion"/>
  </si>
  <si>
    <t>HB1208-10M3</t>
    <phoneticPr fontId="2" type="noConversion"/>
  </si>
  <si>
    <t>전일 ISSUE 사항(25일)</t>
    <phoneticPr fontId="2" type="noConversion"/>
  </si>
  <si>
    <t>발주분양산</t>
    <phoneticPr fontId="2" type="noConversion"/>
  </si>
  <si>
    <t>BASE/LID</t>
    <phoneticPr fontId="2" type="noConversion"/>
  </si>
  <si>
    <t>HRGS-DS-03A/04A</t>
    <phoneticPr fontId="2" type="noConversion"/>
  </si>
  <si>
    <t>SST</t>
    <phoneticPr fontId="2" type="noConversion"/>
  </si>
  <si>
    <t>BASE</t>
    <phoneticPr fontId="2" type="noConversion"/>
  </si>
  <si>
    <t>발주분양산-&gt;코아파손정지</t>
    <phoneticPr fontId="2" type="noConversion"/>
  </si>
  <si>
    <t>DI</t>
    <phoneticPr fontId="2" type="noConversion"/>
  </si>
  <si>
    <t>2</t>
    <phoneticPr fontId="2" type="noConversion"/>
  </si>
  <si>
    <t>72P</t>
    <phoneticPr fontId="2" type="noConversion"/>
  </si>
  <si>
    <t>당일 진행 사항(26일)</t>
    <phoneticPr fontId="2" type="noConversion"/>
  </si>
  <si>
    <t>수리후양산</t>
    <phoneticPr fontId="2" type="noConversion"/>
  </si>
  <si>
    <t>HRGS-DS-05A/06A/02A</t>
    <phoneticPr fontId="2" type="noConversion"/>
  </si>
  <si>
    <t>PUSHER 1/2</t>
    <phoneticPr fontId="2" type="noConversion"/>
  </si>
  <si>
    <t>HL084-10M1/2</t>
    <phoneticPr fontId="2" type="noConversion"/>
  </si>
  <si>
    <t>TOP/BOTTOM</t>
    <phoneticPr fontId="2" type="noConversion"/>
  </si>
  <si>
    <t>12</t>
    <phoneticPr fontId="2" type="noConversion"/>
  </si>
  <si>
    <t>HRGS-DS-01A</t>
    <phoneticPr fontId="2" type="noConversion"/>
  </si>
  <si>
    <t>TOP</t>
    <phoneticPr fontId="2" type="noConversion"/>
  </si>
  <si>
    <t>11</t>
    <phoneticPr fontId="2" type="noConversion"/>
  </si>
  <si>
    <t>HL072-10M5</t>
    <phoneticPr fontId="2" type="noConversion"/>
  </si>
  <si>
    <t>PLANGE</t>
    <phoneticPr fontId="2" type="noConversion"/>
  </si>
  <si>
    <t>MCS</t>
    <phoneticPr fontId="2" type="noConversion"/>
  </si>
  <si>
    <t>13</t>
    <phoneticPr fontId="2" type="noConversion"/>
  </si>
  <si>
    <t>M2 CONN</t>
    <phoneticPr fontId="2" type="noConversion"/>
  </si>
  <si>
    <t>AMS08155A-KAA-R1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</si>
  <si>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</si>
  <si>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</si>
  <si>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상측뜯김</t>
    <phoneticPr fontId="2" type="noConversion"/>
  </si>
  <si>
    <t>설비 점검 내역(25일)</t>
    <phoneticPr fontId="2" type="noConversion"/>
  </si>
  <si>
    <r>
      <t>2018년 04월 26일 일일생산현황</t>
    </r>
    <r>
      <rPr>
        <b/>
        <sz val="14"/>
        <color indexed="8"/>
        <rFont val="굴림체"/>
        <family val="3"/>
        <charset val="129"/>
      </rPr>
      <t>(27일(금) 09시 현재)</t>
    </r>
    <phoneticPr fontId="2" type="noConversion"/>
  </si>
  <si>
    <t>HRGS-DS-02A/05/06A</t>
    <phoneticPr fontId="2" type="noConversion"/>
  </si>
  <si>
    <t>3*1</t>
    <phoneticPr fontId="2" type="noConversion"/>
  </si>
  <si>
    <t>BASE/BOTTOM</t>
    <phoneticPr fontId="2" type="noConversion"/>
  </si>
  <si>
    <t>HL084-10M1/2</t>
    <phoneticPr fontId="2" type="noConversion"/>
  </si>
  <si>
    <t>2*1</t>
    <phoneticPr fontId="2" type="noConversion"/>
  </si>
  <si>
    <t>SST</t>
    <phoneticPr fontId="2" type="noConversion"/>
  </si>
  <si>
    <t>STOPPER</t>
    <phoneticPr fontId="2" type="noConversion"/>
  </si>
  <si>
    <t>KR6197-D475PA</t>
    <phoneticPr fontId="2" type="noConversion"/>
  </si>
  <si>
    <t>SF2255</t>
    <phoneticPr fontId="2" type="noConversion"/>
  </si>
  <si>
    <t>메카텍</t>
    <phoneticPr fontId="2" type="noConversion"/>
  </si>
  <si>
    <t>34P</t>
    <phoneticPr fontId="2" type="noConversion"/>
  </si>
  <si>
    <t>34P BASE/BOTTOM</t>
    <phoneticPr fontId="2" type="noConversion"/>
  </si>
  <si>
    <t>HICON</t>
    <phoneticPr fontId="2" type="noConversion"/>
  </si>
  <si>
    <t>PUSHER</t>
    <phoneticPr fontId="2" type="noConversion"/>
  </si>
  <si>
    <t>HL072-10M5</t>
    <phoneticPr fontId="2" type="noConversion"/>
  </si>
  <si>
    <t>SGF2041</t>
    <phoneticPr fontId="2" type="noConversion"/>
  </si>
  <si>
    <t>M2 CONN</t>
    <phoneticPr fontId="2" type="noConversion"/>
  </si>
  <si>
    <t>AMS08155A-KAA-R1</t>
    <phoneticPr fontId="2" type="noConversion"/>
  </si>
  <si>
    <t>전일 ISSUE 사항(26일)</t>
    <phoneticPr fontId="2" type="noConversion"/>
  </si>
  <si>
    <t>SST</t>
    <phoneticPr fontId="2" type="noConversion"/>
  </si>
  <si>
    <t>7</t>
    <phoneticPr fontId="2" type="noConversion"/>
  </si>
  <si>
    <t>STOPPER</t>
    <phoneticPr fontId="2" type="noConversion"/>
  </si>
  <si>
    <t>MCS</t>
    <phoneticPr fontId="2" type="noConversion"/>
  </si>
  <si>
    <t>13</t>
    <phoneticPr fontId="2" type="noConversion"/>
  </si>
  <si>
    <t>M2 CONN</t>
    <phoneticPr fontId="2" type="noConversion"/>
  </si>
  <si>
    <t>수리후양산</t>
    <phoneticPr fontId="2" type="noConversion"/>
  </si>
  <si>
    <t>4</t>
    <phoneticPr fontId="2" type="noConversion"/>
  </si>
  <si>
    <t>BOTTOM/PU1/2</t>
    <phoneticPr fontId="2" type="noConversion"/>
  </si>
  <si>
    <t>6</t>
    <phoneticPr fontId="2" type="noConversion"/>
  </si>
  <si>
    <t>10</t>
    <phoneticPr fontId="2" type="noConversion"/>
  </si>
  <si>
    <t>2P</t>
    <phoneticPr fontId="2" type="noConversion"/>
  </si>
  <si>
    <t>TOP/BOTTOM</t>
    <phoneticPr fontId="2" type="noConversion"/>
  </si>
  <si>
    <t>발주분양산-&gt;코아파손정지</t>
    <phoneticPr fontId="2" type="noConversion"/>
  </si>
  <si>
    <t>발주분양산</t>
    <phoneticPr fontId="2" type="noConversion"/>
  </si>
  <si>
    <t>DI</t>
    <phoneticPr fontId="2" type="noConversion"/>
  </si>
  <si>
    <t>2</t>
    <phoneticPr fontId="2" type="noConversion"/>
  </si>
  <si>
    <t>72P</t>
    <phoneticPr fontId="2" type="noConversion"/>
  </si>
  <si>
    <t>밀핀BURR정지</t>
    <phoneticPr fontId="2" type="noConversion"/>
  </si>
  <si>
    <t>당일 진행 사항(27일)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</si>
  <si>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</si>
  <si>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</si>
  <si>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</si>
  <si>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AMM0849A-KAA-R1</t>
    <phoneticPr fontId="2" type="noConversion"/>
  </si>
  <si>
    <t>발주분양산</t>
    <phoneticPr fontId="2" type="noConversion"/>
  </si>
  <si>
    <t>HSB05-M005B1</t>
    <phoneticPr fontId="2" type="noConversion"/>
  </si>
  <si>
    <t>HICON</t>
    <phoneticPr fontId="2" type="noConversion"/>
  </si>
  <si>
    <t>1</t>
    <phoneticPr fontId="2" type="noConversion"/>
  </si>
  <si>
    <t>LEAD GUIDE</t>
    <phoneticPr fontId="2" type="noConversion"/>
  </si>
  <si>
    <t>수리후양산</t>
    <phoneticPr fontId="2" type="noConversion"/>
  </si>
  <si>
    <t>SAMPLE 진행 사항(26일)</t>
    <phoneticPr fontId="2" type="noConversion"/>
  </si>
  <si>
    <t>SST</t>
    <phoneticPr fontId="2" type="noConversion"/>
  </si>
  <si>
    <t>ADAPTER</t>
    <phoneticPr fontId="2" type="noConversion"/>
  </si>
  <si>
    <t>KR6197-GK209QA</t>
    <phoneticPr fontId="2" type="noConversion"/>
  </si>
  <si>
    <t>SF2255 I/V</t>
    <phoneticPr fontId="2" type="noConversion"/>
  </si>
  <si>
    <t>수정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</si>
  <si>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</si>
  <si>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</si>
  <si>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2018년 04월 27일 일일생산현황</t>
    </r>
    <r>
      <rPr>
        <b/>
        <sz val="14"/>
        <color indexed="8"/>
        <rFont val="굴림체"/>
        <family val="3"/>
        <charset val="129"/>
      </rPr>
      <t>(28일(토) 09시 현재)</t>
    </r>
    <phoneticPr fontId="2" type="noConversion"/>
  </si>
  <si>
    <t>AMB0227A-KAA-R1</t>
    <phoneticPr fontId="2" type="noConversion"/>
  </si>
  <si>
    <t>AYE</t>
    <phoneticPr fontId="2" type="noConversion"/>
  </si>
  <si>
    <t>SEPARATOR</t>
    <phoneticPr fontId="2" type="noConversion"/>
  </si>
  <si>
    <t>SGF2033</t>
    <phoneticPr fontId="2" type="noConversion"/>
  </si>
  <si>
    <t>PA9T</t>
    <phoneticPr fontId="2" type="noConversion"/>
  </si>
  <si>
    <t>2P BASE/BOTTOM</t>
    <phoneticPr fontId="2" type="noConversion"/>
  </si>
  <si>
    <t>전일 ISSUE 사항(27일)</t>
    <phoneticPr fontId="2" type="noConversion"/>
  </si>
  <si>
    <t>HICON</t>
    <phoneticPr fontId="2" type="noConversion"/>
  </si>
  <si>
    <t>11</t>
    <phoneticPr fontId="2" type="noConversion"/>
  </si>
  <si>
    <t>HSB05-M005B1</t>
    <phoneticPr fontId="2" type="noConversion"/>
  </si>
  <si>
    <t>AMB0227A-KAA-R1</t>
    <phoneticPr fontId="2" type="noConversion"/>
  </si>
  <si>
    <t>DI</t>
    <phoneticPr fontId="2" type="noConversion"/>
  </si>
  <si>
    <t>수리후양산-&gt;1CAV 파손</t>
    <phoneticPr fontId="2" type="noConversion"/>
  </si>
  <si>
    <t>당일 진행 사항(30일)</t>
    <phoneticPr fontId="2" type="noConversion"/>
  </si>
  <si>
    <t>ACTUATOR</t>
    <phoneticPr fontId="2" type="noConversion"/>
  </si>
  <si>
    <t>AMB1919B-KAA-R2</t>
    <phoneticPr fontId="2" type="noConversion"/>
  </si>
  <si>
    <t>13</t>
    <phoneticPr fontId="2" type="noConversion"/>
  </si>
  <si>
    <t>BASE</t>
    <phoneticPr fontId="2" type="noConversion"/>
  </si>
  <si>
    <t>AMB0156A-KAA-R2</t>
    <phoneticPr fontId="2" type="noConversion"/>
  </si>
  <si>
    <t>SAMPLE 진행 사항(27일)</t>
    <phoneticPr fontId="2" type="noConversion"/>
  </si>
  <si>
    <t>SPACER A/B</t>
    <phoneticPr fontId="2" type="noConversion"/>
  </si>
  <si>
    <t>NP595-362-011#SP</t>
    <phoneticPr fontId="2" type="noConversion"/>
  </si>
  <si>
    <t>NP595-362-011#SP-A/B</t>
    <phoneticPr fontId="2" type="noConversion"/>
  </si>
  <si>
    <t>SGF2033</t>
    <phoneticPr fontId="2" type="noConversion"/>
  </si>
  <si>
    <t>NP595-362-011#SP</t>
    <phoneticPr fontId="2" type="noConversion"/>
  </si>
  <si>
    <t>상측뜯김2회정지</t>
    <phoneticPr fontId="2" type="noConversion"/>
  </si>
  <si>
    <t>NP595-362-011#IN-B</t>
    <phoneticPr fontId="2" type="noConversion"/>
  </si>
  <si>
    <t>SGP2030R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</si>
  <si>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</si>
  <si>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</si>
  <si>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2018년 04월 30일 일일생산현황</t>
    </r>
    <r>
      <rPr>
        <b/>
        <sz val="14"/>
        <color indexed="8"/>
        <rFont val="굴림체"/>
        <family val="3"/>
        <charset val="129"/>
      </rPr>
      <t>(01일(화) 09시 현재)</t>
    </r>
    <phoneticPr fontId="2" type="noConversion"/>
  </si>
  <si>
    <t>ACTUATOR</t>
    <phoneticPr fontId="2" type="noConversion"/>
  </si>
  <si>
    <t>AMB1919B-KAA-R2</t>
    <phoneticPr fontId="2" type="noConversion"/>
  </si>
  <si>
    <t>JD4901 N/P</t>
    <phoneticPr fontId="2" type="noConversion"/>
  </si>
  <si>
    <t>AMB0156A-KAA-R2</t>
    <phoneticPr fontId="2" type="noConversion"/>
  </si>
  <si>
    <t>전일 ISSUE 사항(30일)</t>
    <phoneticPr fontId="2" type="noConversion"/>
  </si>
  <si>
    <t>13</t>
    <phoneticPr fontId="2" type="noConversion"/>
  </si>
  <si>
    <t>BASE</t>
    <phoneticPr fontId="2" type="noConversion"/>
  </si>
  <si>
    <t>AMB0156A-KAA-R2</t>
    <phoneticPr fontId="2" type="noConversion"/>
  </si>
  <si>
    <t>MCS</t>
    <phoneticPr fontId="2" type="noConversion"/>
  </si>
  <si>
    <t>6</t>
    <phoneticPr fontId="2" type="noConversion"/>
  </si>
  <si>
    <t>ACTUATOR</t>
    <phoneticPr fontId="2" type="noConversion"/>
  </si>
  <si>
    <t>AMB1919B-KAA-R2</t>
    <phoneticPr fontId="2" type="noConversion"/>
  </si>
  <si>
    <t>수리후양산</t>
    <phoneticPr fontId="2" type="noConversion"/>
  </si>
  <si>
    <t>당일 진행 사항(01일)</t>
    <phoneticPr fontId="2" type="noConversion"/>
  </si>
  <si>
    <t>HICON</t>
    <phoneticPr fontId="2" type="noConversion"/>
  </si>
  <si>
    <t>8</t>
    <phoneticPr fontId="2" type="noConversion"/>
  </si>
  <si>
    <t>HRCS LID PUSHER</t>
    <phoneticPr fontId="2" type="noConversion"/>
  </si>
  <si>
    <t>HRCS-03C18</t>
    <phoneticPr fontId="2" type="noConversion"/>
  </si>
  <si>
    <t>발주분양산</t>
    <phoneticPr fontId="2" type="noConversion"/>
  </si>
  <si>
    <t>HICON</t>
    <phoneticPr fontId="2" type="noConversion"/>
  </si>
  <si>
    <t>13</t>
    <phoneticPr fontId="2" type="noConversion"/>
  </si>
  <si>
    <t>FLOATING</t>
    <phoneticPr fontId="2" type="noConversion"/>
  </si>
  <si>
    <t>HRCS-00C13</t>
    <phoneticPr fontId="2" type="noConversion"/>
  </si>
  <si>
    <t>SAMPLE 진행 사항(30일)</t>
    <phoneticPr fontId="2" type="noConversion"/>
  </si>
  <si>
    <t>금형 수리 내역(30일)</t>
    <phoneticPr fontId="2" type="noConversion"/>
  </si>
  <si>
    <t>설비 점검 내역(30일)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</si>
</sst>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4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04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75168"/>
        <c:axId val="2532661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75168"/>
        <c:axId val="253266176"/>
      </c:lineChart>
      <c:catAx>
        <c:axId val="14637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53266176"/>
        <c:crosses val="autoZero"/>
        <c:auto val="1"/>
        <c:lblAlgn val="ctr"/>
        <c:lblOffset val="100"/>
        <c:noMultiLvlLbl val="0"/>
      </c:catAx>
      <c:valAx>
        <c:axId val="2532661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637516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04</a:t>
            </a:r>
            <a:r>
              <a:rPr lang="ko-KR" altLang="en-US"/>
              <a:t>월 호기별 가동율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0.46507970784790598</c:v>
                </c:pt>
                <c:pt idx="1">
                  <c:v>2.221166534705727E-2</c:v>
                </c:pt>
                <c:pt idx="2">
                  <c:v>0.45940112878048289</c:v>
                </c:pt>
                <c:pt idx="3">
                  <c:v>0.24012504328833001</c:v>
                </c:pt>
                <c:pt idx="4">
                  <c:v>3.0544256120527302E-2</c:v>
                </c:pt>
                <c:pt idx="5">
                  <c:v>0.37964848572773696</c:v>
                </c:pt>
                <c:pt idx="6">
                  <c:v>0.3452931620399145</c:v>
                </c:pt>
                <c:pt idx="7">
                  <c:v>0.33866220686292914</c:v>
                </c:pt>
                <c:pt idx="8">
                  <c:v>3.6095679012345679E-2</c:v>
                </c:pt>
                <c:pt idx="9">
                  <c:v>0.22530328893612878</c:v>
                </c:pt>
                <c:pt idx="10">
                  <c:v>0.57175340270505426</c:v>
                </c:pt>
                <c:pt idx="11">
                  <c:v>0.21103548924361998</c:v>
                </c:pt>
                <c:pt idx="12">
                  <c:v>0.45200630798494179</c:v>
                </c:pt>
                <c:pt idx="13">
                  <c:v>0.49396742711977187</c:v>
                </c:pt>
                <c:pt idx="14">
                  <c:v>5.5406078724464366E-3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78240"/>
        <c:axId val="253269632"/>
      </c:barChart>
      <c:catAx>
        <c:axId val="14637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53269632"/>
        <c:crosses val="autoZero"/>
        <c:auto val="1"/>
        <c:lblAlgn val="ctr"/>
        <c:lblOffset val="100"/>
        <c:noMultiLvlLbl val="0"/>
      </c:catAx>
      <c:valAx>
        <c:axId val="25326963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6378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4918</c:v>
                </c:pt>
                <c:pt idx="4">
                  <c:v>2946</c:v>
                </c:pt>
                <c:pt idx="5">
                  <c:v>4490</c:v>
                </c:pt>
                <c:pt idx="6">
                  <c:v>2641</c:v>
                </c:pt>
                <c:pt idx="9">
                  <c:v>1100</c:v>
                </c:pt>
                <c:pt idx="10">
                  <c:v>4825</c:v>
                </c:pt>
                <c:pt idx="12">
                  <c:v>8512</c:v>
                </c:pt>
                <c:pt idx="14">
                  <c:v>2224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4920</c:v>
                </c:pt>
                <c:pt idx="3">
                  <c:v>80</c:v>
                </c:pt>
                <c:pt idx="4">
                  <c:v>2950</c:v>
                </c:pt>
                <c:pt idx="5">
                  <c:v>4490</c:v>
                </c:pt>
                <c:pt idx="6">
                  <c:v>2650</c:v>
                </c:pt>
                <c:pt idx="7">
                  <c:v>1270</c:v>
                </c:pt>
                <c:pt idx="8">
                  <c:v>2780</c:v>
                </c:pt>
                <c:pt idx="9">
                  <c:v>2780</c:v>
                </c:pt>
                <c:pt idx="10">
                  <c:v>4830</c:v>
                </c:pt>
                <c:pt idx="11">
                  <c:v>416</c:v>
                </c:pt>
                <c:pt idx="12">
                  <c:v>8520</c:v>
                </c:pt>
                <c:pt idx="13">
                  <c:v>2270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80544"/>
        <c:axId val="253271360"/>
      </c:lineChart>
      <c:catAx>
        <c:axId val="1487805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53271360"/>
        <c:crosses val="autoZero"/>
        <c:auto val="1"/>
        <c:lblAlgn val="ctr"/>
        <c:lblOffset val="100"/>
        <c:noMultiLvlLbl val="0"/>
      </c:catAx>
      <c:valAx>
        <c:axId val="2532713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4878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0% 100% 0% 25% 92% 66% 0% 0% 10% 100% 0% 67% 0% 17%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0.99959349593495939</c:v>
                </c:pt>
                <c:pt idx="3">
                  <c:v>0</c:v>
                </c:pt>
                <c:pt idx="4">
                  <c:v>0.24966101694915255</c:v>
                </c:pt>
                <c:pt idx="5">
                  <c:v>0.91666666666666663</c:v>
                </c:pt>
                <c:pt idx="6">
                  <c:v>0.66440251572327047</c:v>
                </c:pt>
                <c:pt idx="7">
                  <c:v>0</c:v>
                </c:pt>
                <c:pt idx="8">
                  <c:v>0</c:v>
                </c:pt>
                <c:pt idx="9">
                  <c:v>9.8920863309352514E-2</c:v>
                </c:pt>
                <c:pt idx="10">
                  <c:v>0.99896480331262938</c:v>
                </c:pt>
                <c:pt idx="11">
                  <c:v>0</c:v>
                </c:pt>
                <c:pt idx="12">
                  <c:v>0.66604068857589982</c:v>
                </c:pt>
                <c:pt idx="13">
                  <c:v>0</c:v>
                </c:pt>
                <c:pt idx="14">
                  <c:v>0.1662182361733931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0.31736455244302159</c:v>
                </c:pt>
                <c:pt idx="1">
                  <c:v>0.31736455244302159</c:v>
                </c:pt>
                <c:pt idx="2">
                  <c:v>0.31736455244302159</c:v>
                </c:pt>
                <c:pt idx="3">
                  <c:v>0.31736455244302159</c:v>
                </c:pt>
                <c:pt idx="4">
                  <c:v>0.31736455244302159</c:v>
                </c:pt>
                <c:pt idx="5">
                  <c:v>0.31736455244302159</c:v>
                </c:pt>
                <c:pt idx="6">
                  <c:v>0.31736455244302159</c:v>
                </c:pt>
                <c:pt idx="7">
                  <c:v>0.31736455244302159</c:v>
                </c:pt>
                <c:pt idx="8">
                  <c:v>0.31736455244302159</c:v>
                </c:pt>
                <c:pt idx="9">
                  <c:v>0.31736455244302159</c:v>
                </c:pt>
                <c:pt idx="10">
                  <c:v>0.31736455244302159</c:v>
                </c:pt>
                <c:pt idx="11">
                  <c:v>0.31736455244302159</c:v>
                </c:pt>
                <c:pt idx="12">
                  <c:v>0.31736455244302159</c:v>
                </c:pt>
                <c:pt idx="13">
                  <c:v>0.31736455244302159</c:v>
                </c:pt>
                <c:pt idx="14">
                  <c:v>0.31736455244302159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81568"/>
        <c:axId val="296160064"/>
      </c:lineChart>
      <c:catAx>
        <c:axId val="14878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6160064"/>
        <c:crosses val="autoZero"/>
        <c:auto val="1"/>
        <c:lblAlgn val="ctr"/>
        <c:lblOffset val="100"/>
        <c:noMultiLvlLbl val="0"/>
      </c:catAx>
      <c:valAx>
        <c:axId val="296160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48781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'02'!$L$6:$L$20</c:f>
              <c:numCache>
                <c:formatCode>_(* #,##0_);_(* \(#,##0\);_(* "-"_);_(@_)</c:formatCode>
                <c:ptCount val="15"/>
                <c:pt idx="2">
                  <c:v>4918</c:v>
                </c:pt>
                <c:pt idx="4">
                  <c:v>2946</c:v>
                </c:pt>
                <c:pt idx="5">
                  <c:v>4490</c:v>
                </c:pt>
                <c:pt idx="6">
                  <c:v>2641</c:v>
                </c:pt>
                <c:pt idx="9">
                  <c:v>1100</c:v>
                </c:pt>
                <c:pt idx="10">
                  <c:v>4825</c:v>
                </c:pt>
                <c:pt idx="12">
                  <c:v>8512</c:v>
                </c:pt>
                <c:pt idx="14">
                  <c:v>2224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'02'!$J$6:$J$20</c:f>
              <c:numCache>
                <c:formatCode>_(* #,##0_);_(* \(#,##0\);_(* "-"_);_(@_)</c:formatCode>
                <c:ptCount val="15"/>
                <c:pt idx="0">
                  <c:v>680</c:v>
                </c:pt>
                <c:pt idx="1">
                  <c:v>1140</c:v>
                </c:pt>
                <c:pt idx="2">
                  <c:v>4920</c:v>
                </c:pt>
                <c:pt idx="3">
                  <c:v>80</c:v>
                </c:pt>
                <c:pt idx="4">
                  <c:v>2950</c:v>
                </c:pt>
                <c:pt idx="5">
                  <c:v>4490</c:v>
                </c:pt>
                <c:pt idx="6">
                  <c:v>2650</c:v>
                </c:pt>
                <c:pt idx="7">
                  <c:v>1270</c:v>
                </c:pt>
                <c:pt idx="8">
                  <c:v>2780</c:v>
                </c:pt>
                <c:pt idx="9">
                  <c:v>2780</c:v>
                </c:pt>
                <c:pt idx="10">
                  <c:v>4830</c:v>
                </c:pt>
                <c:pt idx="11">
                  <c:v>416</c:v>
                </c:pt>
                <c:pt idx="12">
                  <c:v>8520</c:v>
                </c:pt>
                <c:pt idx="13">
                  <c:v>2270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82592"/>
        <c:axId val="296162368"/>
      </c:lineChart>
      <c:catAx>
        <c:axId val="1487825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96162368"/>
        <c:crosses val="autoZero"/>
        <c:auto val="1"/>
        <c:lblAlgn val="ctr"/>
        <c:lblOffset val="100"/>
        <c:noMultiLvlLbl val="0"/>
      </c:catAx>
      <c:valAx>
        <c:axId val="2961623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48782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'02'!$AD$6:$AD$20</c:f>
              <c:strCache>
                <c:ptCount val="1"/>
                <c:pt idx="0">
                  <c:v>0% 0% 100% 0% 25% 92% 66% 0% 0% 10% 100% 0% 67% 0% 17%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0.99959349593495939</c:v>
                </c:pt>
                <c:pt idx="3">
                  <c:v>0</c:v>
                </c:pt>
                <c:pt idx="4">
                  <c:v>0.24966101694915255</c:v>
                </c:pt>
                <c:pt idx="5">
                  <c:v>0.91666666666666663</c:v>
                </c:pt>
                <c:pt idx="6">
                  <c:v>0.66440251572327047</c:v>
                </c:pt>
                <c:pt idx="7">
                  <c:v>0</c:v>
                </c:pt>
                <c:pt idx="8">
                  <c:v>0</c:v>
                </c:pt>
                <c:pt idx="9">
                  <c:v>9.8920863309352514E-2</c:v>
                </c:pt>
                <c:pt idx="10">
                  <c:v>0.99896480331262938</c:v>
                </c:pt>
                <c:pt idx="11">
                  <c:v>0</c:v>
                </c:pt>
                <c:pt idx="12">
                  <c:v>0.66604068857589982</c:v>
                </c:pt>
                <c:pt idx="13">
                  <c:v>0</c:v>
                </c:pt>
                <c:pt idx="14">
                  <c:v>0.1662182361733931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'02'!$D$6:$D$20</c:f>
              <c:strCache>
                <c:ptCount val="14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7">
                  <c:v>ADAPTER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ADAPTER</c:v>
                </c:pt>
                <c:pt idx="13">
                  <c:v>BASE</c:v>
                </c:pt>
              </c:strCache>
            </c:strRef>
          </c:cat>
          <c:val>
            <c:numRef>
              <c:f>'02'!$AE$6:$AE$20</c:f>
              <c:numCache>
                <c:formatCode>0%</c:formatCode>
                <c:ptCount val="15"/>
                <c:pt idx="0">
                  <c:v>0.31736455244302159</c:v>
                </c:pt>
                <c:pt idx="1">
                  <c:v>0.31736455244302159</c:v>
                </c:pt>
                <c:pt idx="2">
                  <c:v>0.31736455244302159</c:v>
                </c:pt>
                <c:pt idx="3">
                  <c:v>0.31736455244302159</c:v>
                </c:pt>
                <c:pt idx="4">
                  <c:v>0.31736455244302159</c:v>
                </c:pt>
                <c:pt idx="5">
                  <c:v>0.31736455244302159</c:v>
                </c:pt>
                <c:pt idx="6">
                  <c:v>0.31736455244302159</c:v>
                </c:pt>
                <c:pt idx="7">
                  <c:v>0.31736455244302159</c:v>
                </c:pt>
                <c:pt idx="8">
                  <c:v>0.31736455244302159</c:v>
                </c:pt>
                <c:pt idx="9">
                  <c:v>0.31736455244302159</c:v>
                </c:pt>
                <c:pt idx="10">
                  <c:v>0.31736455244302159</c:v>
                </c:pt>
                <c:pt idx="11">
                  <c:v>0.31736455244302159</c:v>
                </c:pt>
                <c:pt idx="12">
                  <c:v>0.31736455244302159</c:v>
                </c:pt>
                <c:pt idx="13">
                  <c:v>0.31736455244302159</c:v>
                </c:pt>
                <c:pt idx="14">
                  <c:v>0.31736455244302159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40448"/>
        <c:axId val="296164096"/>
      </c:lineChart>
      <c:catAx>
        <c:axId val="14884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96164096"/>
        <c:crosses val="autoZero"/>
        <c:auto val="1"/>
        <c:lblAlgn val="ctr"/>
        <c:lblOffset val="100"/>
        <c:noMultiLvlLbl val="0"/>
      </c:catAx>
      <c:valAx>
        <c:axId val="2961640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4884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840960"/>
        <c:axId val="6538620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840960"/>
        <c:axId val="653862016"/>
      </c:lineChart>
      <c:catAx>
        <c:axId val="148840960"/>
        <c:scaling>
          <c:orientation val="minMax"/>
        </c:scaling>
        <c:delete val="0"/>
        <c:axPos val="b"/>
        <c:majorTickMark val="out"/>
        <c:minorTickMark val="none"/>
        <c:tickLblPos val="nextTo"/>
        <c:crossAx val="653862016"/>
        <c:crosses val="autoZero"/>
        <c:auto val="1"/>
        <c:lblAlgn val="ctr"/>
        <c:lblOffset val="100"/>
        <c:noMultiLvlLbl val="0"/>
      </c:catAx>
      <c:valAx>
        <c:axId val="6538620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88409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0">
                  <c:v>1949</c:v>
                </c:pt>
                <c:pt idx="2">
                  <c:v>4887</c:v>
                </c:pt>
                <c:pt idx="5">
                  <c:v>5182</c:v>
                </c:pt>
                <c:pt idx="6">
                  <c:v>4234</c:v>
                </c:pt>
                <c:pt idx="7">
                  <c:v>2159</c:v>
                </c:pt>
                <c:pt idx="10">
                  <c:v>1440</c:v>
                </c:pt>
                <c:pt idx="11">
                  <c:v>3141</c:v>
                </c:pt>
                <c:pt idx="12">
                  <c:v>1674</c:v>
                </c:pt>
                <c:pt idx="13">
                  <c:v>1054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1950</c:v>
                </c:pt>
                <c:pt idx="1">
                  <c:v>1140</c:v>
                </c:pt>
                <c:pt idx="2">
                  <c:v>4890</c:v>
                </c:pt>
                <c:pt idx="3">
                  <c:v>80</c:v>
                </c:pt>
                <c:pt idx="4">
                  <c:v>2950</c:v>
                </c:pt>
                <c:pt idx="5">
                  <c:v>5182</c:v>
                </c:pt>
                <c:pt idx="6">
                  <c:v>4240</c:v>
                </c:pt>
                <c:pt idx="7">
                  <c:v>2160</c:v>
                </c:pt>
                <c:pt idx="8">
                  <c:v>2780</c:v>
                </c:pt>
                <c:pt idx="9">
                  <c:v>2780</c:v>
                </c:pt>
                <c:pt idx="10">
                  <c:v>1440</c:v>
                </c:pt>
                <c:pt idx="11">
                  <c:v>3150</c:v>
                </c:pt>
                <c:pt idx="12">
                  <c:v>1680</c:v>
                </c:pt>
                <c:pt idx="13">
                  <c:v>1060</c:v>
                </c:pt>
                <c:pt idx="14">
                  <c:v>2270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06176"/>
        <c:axId val="653866624"/>
      </c:lineChart>
      <c:catAx>
        <c:axId val="1491061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3866624"/>
        <c:crosses val="autoZero"/>
        <c:auto val="1"/>
        <c:lblAlgn val="ctr"/>
        <c:lblOffset val="100"/>
        <c:noMultiLvlLbl val="0"/>
      </c:catAx>
      <c:valAx>
        <c:axId val="6538666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49106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50% 0% 100% 0% 0% 100% 87% 54% 0% 0% 29% 66% 37% 33%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0.49974358974358973</c:v>
                </c:pt>
                <c:pt idx="1">
                  <c:v>0</c:v>
                </c:pt>
                <c:pt idx="2">
                  <c:v>0.99938650306748467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0.87376179245283025</c:v>
                </c:pt>
                <c:pt idx="7">
                  <c:v>0.54141589506172838</c:v>
                </c:pt>
                <c:pt idx="8">
                  <c:v>0</c:v>
                </c:pt>
                <c:pt idx="9">
                  <c:v>0</c:v>
                </c:pt>
                <c:pt idx="10">
                  <c:v>0.29166666666666669</c:v>
                </c:pt>
                <c:pt idx="11">
                  <c:v>0.66476190476190467</c:v>
                </c:pt>
                <c:pt idx="12">
                  <c:v>0.37366071428571429</c:v>
                </c:pt>
                <c:pt idx="13">
                  <c:v>0.33144654088050313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0.37172290712802813</c:v>
                </c:pt>
                <c:pt idx="1">
                  <c:v>0.37172290712802813</c:v>
                </c:pt>
                <c:pt idx="2">
                  <c:v>0.37172290712802813</c:v>
                </c:pt>
                <c:pt idx="3">
                  <c:v>0.37172290712802813</c:v>
                </c:pt>
                <c:pt idx="4">
                  <c:v>0.37172290712802813</c:v>
                </c:pt>
                <c:pt idx="5">
                  <c:v>0.37172290712802813</c:v>
                </c:pt>
                <c:pt idx="6">
                  <c:v>0.37172290712802813</c:v>
                </c:pt>
                <c:pt idx="7">
                  <c:v>0.37172290712802813</c:v>
                </c:pt>
                <c:pt idx="8">
                  <c:v>0.37172290712802813</c:v>
                </c:pt>
                <c:pt idx="9">
                  <c:v>0.37172290712802813</c:v>
                </c:pt>
                <c:pt idx="10">
                  <c:v>0.37172290712802813</c:v>
                </c:pt>
                <c:pt idx="11">
                  <c:v>0.37172290712802813</c:v>
                </c:pt>
                <c:pt idx="12">
                  <c:v>0.37172290712802813</c:v>
                </c:pt>
                <c:pt idx="13">
                  <c:v>0.37172290712802813</c:v>
                </c:pt>
                <c:pt idx="14">
                  <c:v>0.37172290712802813</c:v>
                </c:pt>
                <c:pt idx="15">
                  <c:v>0.37172290712802813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08224"/>
        <c:axId val="653868352"/>
      </c:lineChart>
      <c:catAx>
        <c:axId val="14910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3868352"/>
        <c:crosses val="autoZero"/>
        <c:auto val="1"/>
        <c:lblAlgn val="ctr"/>
        <c:lblOffset val="100"/>
        <c:noMultiLvlLbl val="0"/>
      </c:catAx>
      <c:valAx>
        <c:axId val="6538683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4910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0">
                  <c:v>1949</c:v>
                </c:pt>
                <c:pt idx="2">
                  <c:v>4887</c:v>
                </c:pt>
                <c:pt idx="5">
                  <c:v>5182</c:v>
                </c:pt>
                <c:pt idx="6">
                  <c:v>4234</c:v>
                </c:pt>
                <c:pt idx="7">
                  <c:v>2159</c:v>
                </c:pt>
                <c:pt idx="10">
                  <c:v>1440</c:v>
                </c:pt>
                <c:pt idx="11">
                  <c:v>3141</c:v>
                </c:pt>
                <c:pt idx="12">
                  <c:v>1674</c:v>
                </c:pt>
                <c:pt idx="13">
                  <c:v>1054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1950</c:v>
                </c:pt>
                <c:pt idx="1">
                  <c:v>1140</c:v>
                </c:pt>
                <c:pt idx="2">
                  <c:v>4890</c:v>
                </c:pt>
                <c:pt idx="3">
                  <c:v>80</c:v>
                </c:pt>
                <c:pt idx="4">
                  <c:v>2950</c:v>
                </c:pt>
                <c:pt idx="5">
                  <c:v>5182</c:v>
                </c:pt>
                <c:pt idx="6">
                  <c:v>4240</c:v>
                </c:pt>
                <c:pt idx="7">
                  <c:v>2160</c:v>
                </c:pt>
                <c:pt idx="8">
                  <c:v>2780</c:v>
                </c:pt>
                <c:pt idx="9">
                  <c:v>2780</c:v>
                </c:pt>
                <c:pt idx="10">
                  <c:v>1440</c:v>
                </c:pt>
                <c:pt idx="11">
                  <c:v>3150</c:v>
                </c:pt>
                <c:pt idx="12">
                  <c:v>1680</c:v>
                </c:pt>
                <c:pt idx="13">
                  <c:v>1060</c:v>
                </c:pt>
                <c:pt idx="14">
                  <c:v>2270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08736"/>
        <c:axId val="437331648"/>
      </c:lineChart>
      <c:catAx>
        <c:axId val="1491087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437331648"/>
        <c:crosses val="autoZero"/>
        <c:auto val="1"/>
        <c:lblAlgn val="ctr"/>
        <c:lblOffset val="100"/>
        <c:noMultiLvlLbl val="0"/>
      </c:catAx>
      <c:valAx>
        <c:axId val="4373316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4910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"/>
                <c:pt idx="0">
                  <c:v>50% 0% 100% 0% 0% 100% 87% 54% 0% 0% 29% 66% 37% 33%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0.49974358974358973</c:v>
                </c:pt>
                <c:pt idx="1">
                  <c:v>0</c:v>
                </c:pt>
                <c:pt idx="2">
                  <c:v>0.99938650306748467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0.87376179245283025</c:v>
                </c:pt>
                <c:pt idx="7">
                  <c:v>0.54141589506172838</c:v>
                </c:pt>
                <c:pt idx="8">
                  <c:v>0</c:v>
                </c:pt>
                <c:pt idx="9">
                  <c:v>0</c:v>
                </c:pt>
                <c:pt idx="10">
                  <c:v>0.29166666666666669</c:v>
                </c:pt>
                <c:pt idx="11">
                  <c:v>0.66476190476190467</c:v>
                </c:pt>
                <c:pt idx="12">
                  <c:v>0.37366071428571429</c:v>
                </c:pt>
                <c:pt idx="13">
                  <c:v>0.33144654088050313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SEPARATOR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PLUNGER 2</c:v>
                </c:pt>
                <c:pt idx="8">
                  <c:v>BASE</c:v>
                </c:pt>
                <c:pt idx="9">
                  <c:v>FLOATING</c:v>
                </c:pt>
                <c:pt idx="10">
                  <c:v>BODY</c:v>
                </c:pt>
                <c:pt idx="11">
                  <c:v>COVER</c:v>
                </c:pt>
                <c:pt idx="12">
                  <c:v>ADAPTER</c:v>
                </c:pt>
                <c:pt idx="13">
                  <c:v>PLUNGER/BASE/BOTTOM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0.37172290712802813</c:v>
                </c:pt>
                <c:pt idx="1">
                  <c:v>0.37172290712802813</c:v>
                </c:pt>
                <c:pt idx="2">
                  <c:v>0.37172290712802813</c:v>
                </c:pt>
                <c:pt idx="3">
                  <c:v>0.37172290712802813</c:v>
                </c:pt>
                <c:pt idx="4">
                  <c:v>0.37172290712802813</c:v>
                </c:pt>
                <c:pt idx="5">
                  <c:v>0.37172290712802813</c:v>
                </c:pt>
                <c:pt idx="6">
                  <c:v>0.37172290712802813</c:v>
                </c:pt>
                <c:pt idx="7">
                  <c:v>0.37172290712802813</c:v>
                </c:pt>
                <c:pt idx="8">
                  <c:v>0.37172290712802813</c:v>
                </c:pt>
                <c:pt idx="9">
                  <c:v>0.37172290712802813</c:v>
                </c:pt>
                <c:pt idx="10">
                  <c:v>0.37172290712802813</c:v>
                </c:pt>
                <c:pt idx="11">
                  <c:v>0.37172290712802813</c:v>
                </c:pt>
                <c:pt idx="12">
                  <c:v>0.37172290712802813</c:v>
                </c:pt>
                <c:pt idx="13">
                  <c:v>0.37172290712802813</c:v>
                </c:pt>
                <c:pt idx="14">
                  <c:v>0.37172290712802813</c:v>
                </c:pt>
                <c:pt idx="15">
                  <c:v>0.37172290712802813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110272"/>
        <c:axId val="437333376"/>
      </c:lineChart>
      <c:catAx>
        <c:axId val="14911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437333376"/>
        <c:crosses val="autoZero"/>
        <c:auto val="1"/>
        <c:lblAlgn val="ctr"/>
        <c:lblOffset val="100"/>
        <c:noMultiLvlLbl val="0"/>
      </c:catAx>
      <c:valAx>
        <c:axId val="4373333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4911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29984"/>
        <c:axId val="4373356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29984"/>
        <c:axId val="437335680"/>
      </c:lineChart>
      <c:catAx>
        <c:axId val="149929984"/>
        <c:scaling>
          <c:orientation val="minMax"/>
        </c:scaling>
        <c:delete val="0"/>
        <c:axPos val="b"/>
        <c:majorTickMark val="out"/>
        <c:minorTickMark val="none"/>
        <c:tickLblPos val="nextTo"/>
        <c:crossAx val="437335680"/>
        <c:crosses val="autoZero"/>
        <c:auto val="1"/>
        <c:lblAlgn val="ctr"/>
        <c:lblOffset val="100"/>
        <c:noMultiLvlLbl val="0"/>
      </c:catAx>
      <c:valAx>
        <c:axId val="4373356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99299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4409</c:v>
                </c:pt>
                <c:pt idx="2">
                  <c:v>1829</c:v>
                </c:pt>
                <c:pt idx="3">
                  <c:v>5257</c:v>
                </c:pt>
                <c:pt idx="4">
                  <c:v>252</c:v>
                </c:pt>
                <c:pt idx="5">
                  <c:v>2328</c:v>
                </c:pt>
                <c:pt idx="6">
                  <c:v>5649</c:v>
                </c:pt>
                <c:pt idx="7">
                  <c:v>200</c:v>
                </c:pt>
                <c:pt idx="8">
                  <c:v>3716</c:v>
                </c:pt>
                <c:pt idx="11">
                  <c:v>4985</c:v>
                </c:pt>
                <c:pt idx="13">
                  <c:v>2928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4410</c:v>
                </c:pt>
                <c:pt idx="1">
                  <c:v>1140</c:v>
                </c:pt>
                <c:pt idx="2">
                  <c:v>1830</c:v>
                </c:pt>
                <c:pt idx="3">
                  <c:v>5260</c:v>
                </c:pt>
                <c:pt idx="4">
                  <c:v>252</c:v>
                </c:pt>
                <c:pt idx="5">
                  <c:v>2330</c:v>
                </c:pt>
                <c:pt idx="6">
                  <c:v>5650</c:v>
                </c:pt>
                <c:pt idx="7">
                  <c:v>200</c:v>
                </c:pt>
                <c:pt idx="8">
                  <c:v>3720</c:v>
                </c:pt>
                <c:pt idx="9">
                  <c:v>2780</c:v>
                </c:pt>
                <c:pt idx="10">
                  <c:v>2780</c:v>
                </c:pt>
                <c:pt idx="11">
                  <c:v>4990</c:v>
                </c:pt>
                <c:pt idx="12">
                  <c:v>1680</c:v>
                </c:pt>
                <c:pt idx="13">
                  <c:v>2930</c:v>
                </c:pt>
                <c:pt idx="14">
                  <c:v>2270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05280"/>
        <c:axId val="616866368"/>
      </c:lineChart>
      <c:catAx>
        <c:axId val="1743052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6866368"/>
        <c:crosses val="autoZero"/>
        <c:auto val="1"/>
        <c:lblAlgn val="ctr"/>
        <c:lblOffset val="100"/>
        <c:noMultiLvlLbl val="0"/>
      </c:catAx>
      <c:valAx>
        <c:axId val="6168663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74305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100% 0% 37% 100% 17% 58% 100% 17% 79% 0% 0% 100% 0% 75%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0.99977324263038547</c:v>
                </c:pt>
                <c:pt idx="1">
                  <c:v>0</c:v>
                </c:pt>
                <c:pt idx="2">
                  <c:v>0.37479508196721312</c:v>
                </c:pt>
                <c:pt idx="3">
                  <c:v>0.99942965779467685</c:v>
                </c:pt>
                <c:pt idx="4">
                  <c:v>0.16666666666666666</c:v>
                </c:pt>
                <c:pt idx="5">
                  <c:v>0.58283261802575115</c:v>
                </c:pt>
                <c:pt idx="6">
                  <c:v>0.99982300884955755</c:v>
                </c:pt>
                <c:pt idx="7">
                  <c:v>0.16666666666666666</c:v>
                </c:pt>
                <c:pt idx="8">
                  <c:v>0.79081541218637985</c:v>
                </c:pt>
                <c:pt idx="9">
                  <c:v>0</c:v>
                </c:pt>
                <c:pt idx="10">
                  <c:v>0</c:v>
                </c:pt>
                <c:pt idx="11">
                  <c:v>0.99899799599198402</c:v>
                </c:pt>
                <c:pt idx="12">
                  <c:v>0</c:v>
                </c:pt>
                <c:pt idx="13">
                  <c:v>0.74948805460750856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0.45528589369245259</c:v>
                </c:pt>
                <c:pt idx="1">
                  <c:v>0.45528589369245259</c:v>
                </c:pt>
                <c:pt idx="2">
                  <c:v>0.45528589369245259</c:v>
                </c:pt>
                <c:pt idx="3">
                  <c:v>0.45528589369245259</c:v>
                </c:pt>
                <c:pt idx="4">
                  <c:v>0.45528589369245259</c:v>
                </c:pt>
                <c:pt idx="5">
                  <c:v>0.45528589369245259</c:v>
                </c:pt>
                <c:pt idx="6">
                  <c:v>0.45528589369245259</c:v>
                </c:pt>
                <c:pt idx="7">
                  <c:v>0.45528589369245259</c:v>
                </c:pt>
                <c:pt idx="8">
                  <c:v>0.45528589369245259</c:v>
                </c:pt>
                <c:pt idx="9">
                  <c:v>0.45528589369245259</c:v>
                </c:pt>
                <c:pt idx="10">
                  <c:v>0.45528589369245259</c:v>
                </c:pt>
                <c:pt idx="11">
                  <c:v>0.45528589369245259</c:v>
                </c:pt>
                <c:pt idx="12">
                  <c:v>0.45528589369245259</c:v>
                </c:pt>
                <c:pt idx="13">
                  <c:v>0.45528589369245259</c:v>
                </c:pt>
                <c:pt idx="14">
                  <c:v>0.45528589369245259</c:v>
                </c:pt>
                <c:pt idx="15">
                  <c:v>0.45528589369245259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06816"/>
        <c:axId val="616868096"/>
      </c:lineChart>
      <c:catAx>
        <c:axId val="17430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6868096"/>
        <c:crosses val="autoZero"/>
        <c:auto val="1"/>
        <c:lblAlgn val="ctr"/>
        <c:lblOffset val="100"/>
        <c:noMultiLvlLbl val="0"/>
      </c:catAx>
      <c:valAx>
        <c:axId val="6168680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74306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4409</c:v>
                </c:pt>
                <c:pt idx="2">
                  <c:v>1829</c:v>
                </c:pt>
                <c:pt idx="3">
                  <c:v>5257</c:v>
                </c:pt>
                <c:pt idx="4">
                  <c:v>252</c:v>
                </c:pt>
                <c:pt idx="5">
                  <c:v>2328</c:v>
                </c:pt>
                <c:pt idx="6">
                  <c:v>5649</c:v>
                </c:pt>
                <c:pt idx="7">
                  <c:v>200</c:v>
                </c:pt>
                <c:pt idx="8">
                  <c:v>3716</c:v>
                </c:pt>
                <c:pt idx="11">
                  <c:v>4985</c:v>
                </c:pt>
                <c:pt idx="13">
                  <c:v>2928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4410</c:v>
                </c:pt>
                <c:pt idx="1">
                  <c:v>1140</c:v>
                </c:pt>
                <c:pt idx="2">
                  <c:v>1830</c:v>
                </c:pt>
                <c:pt idx="3">
                  <c:v>5260</c:v>
                </c:pt>
                <c:pt idx="4">
                  <c:v>252</c:v>
                </c:pt>
                <c:pt idx="5">
                  <c:v>2330</c:v>
                </c:pt>
                <c:pt idx="6">
                  <c:v>5650</c:v>
                </c:pt>
                <c:pt idx="7">
                  <c:v>200</c:v>
                </c:pt>
                <c:pt idx="8">
                  <c:v>3720</c:v>
                </c:pt>
                <c:pt idx="9">
                  <c:v>2780</c:v>
                </c:pt>
                <c:pt idx="10">
                  <c:v>2780</c:v>
                </c:pt>
                <c:pt idx="11">
                  <c:v>4990</c:v>
                </c:pt>
                <c:pt idx="12">
                  <c:v>1680</c:v>
                </c:pt>
                <c:pt idx="13">
                  <c:v>2930</c:v>
                </c:pt>
                <c:pt idx="14">
                  <c:v>2270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308864"/>
        <c:axId val="616870400"/>
      </c:lineChart>
      <c:catAx>
        <c:axId val="1743088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16870400"/>
        <c:crosses val="autoZero"/>
        <c:auto val="1"/>
        <c:lblAlgn val="ctr"/>
        <c:lblOffset val="100"/>
        <c:noMultiLvlLbl val="0"/>
      </c:catAx>
      <c:valAx>
        <c:axId val="6168704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74308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100% 0% 37% 100% 17% 58% 100% 17% 79% 0% 0% 100% 0% 75%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0.99977324263038547</c:v>
                </c:pt>
                <c:pt idx="1">
                  <c:v>0</c:v>
                </c:pt>
                <c:pt idx="2">
                  <c:v>0.37479508196721312</c:v>
                </c:pt>
                <c:pt idx="3">
                  <c:v>0.99942965779467685</c:v>
                </c:pt>
                <c:pt idx="4">
                  <c:v>0.16666666666666666</c:v>
                </c:pt>
                <c:pt idx="5">
                  <c:v>0.58283261802575115</c:v>
                </c:pt>
                <c:pt idx="6">
                  <c:v>0.99982300884955755</c:v>
                </c:pt>
                <c:pt idx="7">
                  <c:v>0.16666666666666666</c:v>
                </c:pt>
                <c:pt idx="8">
                  <c:v>0.79081541218637985</c:v>
                </c:pt>
                <c:pt idx="9">
                  <c:v>0</c:v>
                </c:pt>
                <c:pt idx="10">
                  <c:v>0</c:v>
                </c:pt>
                <c:pt idx="11">
                  <c:v>0.99899799599198402</c:v>
                </c:pt>
                <c:pt idx="12">
                  <c:v>0</c:v>
                </c:pt>
                <c:pt idx="13">
                  <c:v>0.74948805460750856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LID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FLOATING</c:v>
                </c:pt>
                <c:pt idx="11">
                  <c:v>COVER</c:v>
                </c:pt>
                <c:pt idx="12">
                  <c:v>ADAPTER</c:v>
                </c:pt>
                <c:pt idx="13">
                  <c:v>SLIDER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0.45528589369245259</c:v>
                </c:pt>
                <c:pt idx="1">
                  <c:v>0.45528589369245259</c:v>
                </c:pt>
                <c:pt idx="2">
                  <c:v>0.45528589369245259</c:v>
                </c:pt>
                <c:pt idx="3">
                  <c:v>0.45528589369245259</c:v>
                </c:pt>
                <c:pt idx="4">
                  <c:v>0.45528589369245259</c:v>
                </c:pt>
                <c:pt idx="5">
                  <c:v>0.45528589369245259</c:v>
                </c:pt>
                <c:pt idx="6">
                  <c:v>0.45528589369245259</c:v>
                </c:pt>
                <c:pt idx="7">
                  <c:v>0.45528589369245259</c:v>
                </c:pt>
                <c:pt idx="8">
                  <c:v>0.45528589369245259</c:v>
                </c:pt>
                <c:pt idx="9">
                  <c:v>0.45528589369245259</c:v>
                </c:pt>
                <c:pt idx="10">
                  <c:v>0.45528589369245259</c:v>
                </c:pt>
                <c:pt idx="11">
                  <c:v>0.45528589369245259</c:v>
                </c:pt>
                <c:pt idx="12">
                  <c:v>0.45528589369245259</c:v>
                </c:pt>
                <c:pt idx="13">
                  <c:v>0.45528589369245259</c:v>
                </c:pt>
                <c:pt idx="14">
                  <c:v>0.45528589369245259</c:v>
                </c:pt>
                <c:pt idx="15">
                  <c:v>0.45528589369245259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85344"/>
        <c:axId val="616872128"/>
      </c:lineChart>
      <c:catAx>
        <c:axId val="19218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16872128"/>
        <c:crosses val="autoZero"/>
        <c:auto val="1"/>
        <c:lblAlgn val="ctr"/>
        <c:lblOffset val="100"/>
        <c:noMultiLvlLbl val="0"/>
      </c:catAx>
      <c:valAx>
        <c:axId val="616872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92185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930496"/>
        <c:axId val="6954849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30496"/>
        <c:axId val="695484992"/>
      </c:lineChart>
      <c:catAx>
        <c:axId val="14993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695484992"/>
        <c:crosses val="autoZero"/>
        <c:auto val="1"/>
        <c:lblAlgn val="ctr"/>
        <c:lblOffset val="100"/>
        <c:noMultiLvlLbl val="0"/>
      </c:catAx>
      <c:valAx>
        <c:axId val="695484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99304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'05'!$L$6:$L$23</c:f>
              <c:numCache>
                <c:formatCode>_(* #,##0_);_(* \(#,##0\);_(* "-"_);_(@_)</c:formatCode>
                <c:ptCount val="18"/>
                <c:pt idx="0">
                  <c:v>4245</c:v>
                </c:pt>
                <c:pt idx="2">
                  <c:v>3681</c:v>
                </c:pt>
                <c:pt idx="3">
                  <c:v>3282</c:v>
                </c:pt>
                <c:pt idx="4">
                  <c:v>244</c:v>
                </c:pt>
                <c:pt idx="5">
                  <c:v>231</c:v>
                </c:pt>
                <c:pt idx="7">
                  <c:v>725</c:v>
                </c:pt>
                <c:pt idx="8">
                  <c:v>901</c:v>
                </c:pt>
                <c:pt idx="9">
                  <c:v>3862</c:v>
                </c:pt>
                <c:pt idx="12">
                  <c:v>1775</c:v>
                </c:pt>
                <c:pt idx="13">
                  <c:v>230</c:v>
                </c:pt>
                <c:pt idx="15">
                  <c:v>5533</c:v>
                </c:pt>
                <c:pt idx="16">
                  <c:v>429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'05'!$J$6:$J$23</c:f>
              <c:numCache>
                <c:formatCode>_(* #,##0_);_(* \(#,##0\);_(* "-"_);_(@_)</c:formatCode>
                <c:ptCount val="18"/>
                <c:pt idx="0">
                  <c:v>4245</c:v>
                </c:pt>
                <c:pt idx="1">
                  <c:v>1140</c:v>
                </c:pt>
                <c:pt idx="2">
                  <c:v>3681</c:v>
                </c:pt>
                <c:pt idx="3">
                  <c:v>3290</c:v>
                </c:pt>
                <c:pt idx="4">
                  <c:v>244</c:v>
                </c:pt>
                <c:pt idx="5">
                  <c:v>231</c:v>
                </c:pt>
                <c:pt idx="6">
                  <c:v>2330</c:v>
                </c:pt>
                <c:pt idx="7">
                  <c:v>725</c:v>
                </c:pt>
                <c:pt idx="8">
                  <c:v>901</c:v>
                </c:pt>
                <c:pt idx="9">
                  <c:v>3870</c:v>
                </c:pt>
                <c:pt idx="10">
                  <c:v>2780</c:v>
                </c:pt>
                <c:pt idx="11">
                  <c:v>2780</c:v>
                </c:pt>
                <c:pt idx="12">
                  <c:v>1780</c:v>
                </c:pt>
                <c:pt idx="13">
                  <c:v>230</c:v>
                </c:pt>
                <c:pt idx="14">
                  <c:v>1680</c:v>
                </c:pt>
                <c:pt idx="15">
                  <c:v>5540</c:v>
                </c:pt>
                <c:pt idx="16">
                  <c:v>430</c:v>
                </c:pt>
                <c:pt idx="17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512512"/>
        <c:axId val="695487872"/>
      </c:lineChart>
      <c:catAx>
        <c:axId val="1925125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95487872"/>
        <c:crosses val="autoZero"/>
        <c:auto val="1"/>
        <c:lblAlgn val="ctr"/>
        <c:lblOffset val="100"/>
        <c:noMultiLvlLbl val="0"/>
      </c:catAx>
      <c:valAx>
        <c:axId val="6954878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92512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'05'!$AD$6:$AD$23</c:f>
              <c:strCache>
                <c:ptCount val="1"/>
                <c:pt idx="0">
                  <c:v>96% 0% 79% 62% 17% 17% 0% 21% 25% 75% 0% 0% 33% 17% 0% 100% 17%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'05'!$AD$6:$AD$23</c:f>
              <c:numCache>
                <c:formatCode>0%</c:formatCode>
                <c:ptCount val="18"/>
                <c:pt idx="0">
                  <c:v>0.95833333333333337</c:v>
                </c:pt>
                <c:pt idx="1">
                  <c:v>0</c:v>
                </c:pt>
                <c:pt idx="2">
                  <c:v>0.79166666666666663</c:v>
                </c:pt>
                <c:pt idx="3">
                  <c:v>0.62348024316109429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</c:v>
                </c:pt>
                <c:pt idx="7">
                  <c:v>0.20833333333333334</c:v>
                </c:pt>
                <c:pt idx="8">
                  <c:v>0.25</c:v>
                </c:pt>
                <c:pt idx="9">
                  <c:v>0.74844961240310082</c:v>
                </c:pt>
                <c:pt idx="10">
                  <c:v>0</c:v>
                </c:pt>
                <c:pt idx="11">
                  <c:v>0</c:v>
                </c:pt>
                <c:pt idx="12">
                  <c:v>0.33239700374531833</c:v>
                </c:pt>
                <c:pt idx="13">
                  <c:v>0.16666666666666666</c:v>
                </c:pt>
                <c:pt idx="14">
                  <c:v>0</c:v>
                </c:pt>
                <c:pt idx="15">
                  <c:v>0.9987364620938628</c:v>
                </c:pt>
                <c:pt idx="16">
                  <c:v>0.16627906976744183</c:v>
                </c:pt>
                <c:pt idx="17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'05'!$AE$6:$AE$23</c:f>
              <c:numCache>
                <c:formatCode>0%</c:formatCode>
                <c:ptCount val="18"/>
                <c:pt idx="0">
                  <c:v>0.37184504830027676</c:v>
                </c:pt>
                <c:pt idx="1">
                  <c:v>0.37184504830027676</c:v>
                </c:pt>
                <c:pt idx="2">
                  <c:v>0.37184504830027676</c:v>
                </c:pt>
                <c:pt idx="3">
                  <c:v>0.37184504830027676</c:v>
                </c:pt>
                <c:pt idx="4">
                  <c:v>0.37184504830027676</c:v>
                </c:pt>
                <c:pt idx="5">
                  <c:v>0.37184504830027676</c:v>
                </c:pt>
                <c:pt idx="6">
                  <c:v>0.37184504830027676</c:v>
                </c:pt>
                <c:pt idx="7">
                  <c:v>0.37184504830027676</c:v>
                </c:pt>
                <c:pt idx="8">
                  <c:v>0.37184504830027676</c:v>
                </c:pt>
                <c:pt idx="9">
                  <c:v>0.37184504830027676</c:v>
                </c:pt>
                <c:pt idx="10">
                  <c:v>0.37184504830027676</c:v>
                </c:pt>
                <c:pt idx="11">
                  <c:v>0.37184504830027676</c:v>
                </c:pt>
                <c:pt idx="12">
                  <c:v>0.37184504830027676</c:v>
                </c:pt>
                <c:pt idx="13">
                  <c:v>0.37184504830027676</c:v>
                </c:pt>
                <c:pt idx="14">
                  <c:v>0.37184504830027676</c:v>
                </c:pt>
                <c:pt idx="15">
                  <c:v>0.37184504830027676</c:v>
                </c:pt>
                <c:pt idx="16">
                  <c:v>0.37184504830027676</c:v>
                </c:pt>
                <c:pt idx="17">
                  <c:v>0.37184504830027676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514560"/>
        <c:axId val="695489600"/>
      </c:lineChart>
      <c:catAx>
        <c:axId val="19251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95489600"/>
        <c:crosses val="autoZero"/>
        <c:auto val="1"/>
        <c:lblAlgn val="ctr"/>
        <c:lblOffset val="100"/>
        <c:noMultiLvlLbl val="0"/>
      </c:catAx>
      <c:valAx>
        <c:axId val="6954896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92514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'05'!$L$6:$L$23</c:f>
              <c:numCache>
                <c:formatCode>_(* #,##0_);_(* \(#,##0\);_(* "-"_);_(@_)</c:formatCode>
                <c:ptCount val="18"/>
                <c:pt idx="0">
                  <c:v>4245</c:v>
                </c:pt>
                <c:pt idx="2">
                  <c:v>3681</c:v>
                </c:pt>
                <c:pt idx="3">
                  <c:v>3282</c:v>
                </c:pt>
                <c:pt idx="4">
                  <c:v>244</c:v>
                </c:pt>
                <c:pt idx="5">
                  <c:v>231</c:v>
                </c:pt>
                <c:pt idx="7">
                  <c:v>725</c:v>
                </c:pt>
                <c:pt idx="8">
                  <c:v>901</c:v>
                </c:pt>
                <c:pt idx="9">
                  <c:v>3862</c:v>
                </c:pt>
                <c:pt idx="12">
                  <c:v>1775</c:v>
                </c:pt>
                <c:pt idx="13">
                  <c:v>230</c:v>
                </c:pt>
                <c:pt idx="15">
                  <c:v>5533</c:v>
                </c:pt>
                <c:pt idx="16">
                  <c:v>429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'05'!$J$6:$J$23</c:f>
              <c:numCache>
                <c:formatCode>_(* #,##0_);_(* \(#,##0\);_(* "-"_);_(@_)</c:formatCode>
                <c:ptCount val="18"/>
                <c:pt idx="0">
                  <c:v>4245</c:v>
                </c:pt>
                <c:pt idx="1">
                  <c:v>1140</c:v>
                </c:pt>
                <c:pt idx="2">
                  <c:v>3681</c:v>
                </c:pt>
                <c:pt idx="3">
                  <c:v>3290</c:v>
                </c:pt>
                <c:pt idx="4">
                  <c:v>244</c:v>
                </c:pt>
                <c:pt idx="5">
                  <c:v>231</c:v>
                </c:pt>
                <c:pt idx="6">
                  <c:v>2330</c:v>
                </c:pt>
                <c:pt idx="7">
                  <c:v>725</c:v>
                </c:pt>
                <c:pt idx="8">
                  <c:v>901</c:v>
                </c:pt>
                <c:pt idx="9">
                  <c:v>3870</c:v>
                </c:pt>
                <c:pt idx="10">
                  <c:v>2780</c:v>
                </c:pt>
                <c:pt idx="11">
                  <c:v>2780</c:v>
                </c:pt>
                <c:pt idx="12">
                  <c:v>1780</c:v>
                </c:pt>
                <c:pt idx="13">
                  <c:v>230</c:v>
                </c:pt>
                <c:pt idx="14">
                  <c:v>1680</c:v>
                </c:pt>
                <c:pt idx="15">
                  <c:v>5540</c:v>
                </c:pt>
                <c:pt idx="16">
                  <c:v>430</c:v>
                </c:pt>
                <c:pt idx="17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515072"/>
        <c:axId val="695491904"/>
      </c:lineChart>
      <c:catAx>
        <c:axId val="192515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95491904"/>
        <c:crosses val="autoZero"/>
        <c:auto val="1"/>
        <c:lblAlgn val="ctr"/>
        <c:lblOffset val="100"/>
        <c:noMultiLvlLbl val="0"/>
      </c:catAx>
      <c:valAx>
        <c:axId val="695491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9251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'05'!$AD$6:$AD$23</c:f>
              <c:strCache>
                <c:ptCount val="1"/>
                <c:pt idx="0">
                  <c:v>96% 0% 79% 62% 17% 17% 0% 21% 25% 75% 0% 0% 33% 17% 0% 100% 17%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'05'!$AD$6:$AD$23</c:f>
              <c:numCache>
                <c:formatCode>0%</c:formatCode>
                <c:ptCount val="18"/>
                <c:pt idx="0">
                  <c:v>0.95833333333333337</c:v>
                </c:pt>
                <c:pt idx="1">
                  <c:v>0</c:v>
                </c:pt>
                <c:pt idx="2">
                  <c:v>0.79166666666666663</c:v>
                </c:pt>
                <c:pt idx="3">
                  <c:v>0.62348024316109429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</c:v>
                </c:pt>
                <c:pt idx="7">
                  <c:v>0.20833333333333334</c:v>
                </c:pt>
                <c:pt idx="8">
                  <c:v>0.25</c:v>
                </c:pt>
                <c:pt idx="9">
                  <c:v>0.74844961240310082</c:v>
                </c:pt>
                <c:pt idx="10">
                  <c:v>0</c:v>
                </c:pt>
                <c:pt idx="11">
                  <c:v>0</c:v>
                </c:pt>
                <c:pt idx="12">
                  <c:v>0.33239700374531833</c:v>
                </c:pt>
                <c:pt idx="13">
                  <c:v>0.16666666666666666</c:v>
                </c:pt>
                <c:pt idx="14">
                  <c:v>0</c:v>
                </c:pt>
                <c:pt idx="15">
                  <c:v>0.9987364620938628</c:v>
                </c:pt>
                <c:pt idx="16">
                  <c:v>0.16627906976744183</c:v>
                </c:pt>
                <c:pt idx="17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'05'!$D$6:$D$23</c:f>
              <c:strCache>
                <c:ptCount val="17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GUIDE</c:v>
                </c:pt>
                <c:pt idx="5">
                  <c:v>CLAMPER</c:v>
                </c:pt>
                <c:pt idx="6">
                  <c:v>ACTUATOR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LATCH</c:v>
                </c:pt>
                <c:pt idx="14">
                  <c:v>ADAPTER</c:v>
                </c:pt>
                <c:pt idx="15">
                  <c:v>SLIDER</c:v>
                </c:pt>
                <c:pt idx="16">
                  <c:v>BASE</c:v>
                </c:pt>
              </c:strCache>
            </c:strRef>
          </c:cat>
          <c:val>
            <c:numRef>
              <c:f>'05'!$AE$6:$AE$23</c:f>
              <c:numCache>
                <c:formatCode>0%</c:formatCode>
                <c:ptCount val="18"/>
                <c:pt idx="0">
                  <c:v>0.37184504830027676</c:v>
                </c:pt>
                <c:pt idx="1">
                  <c:v>0.37184504830027676</c:v>
                </c:pt>
                <c:pt idx="2">
                  <c:v>0.37184504830027676</c:v>
                </c:pt>
                <c:pt idx="3">
                  <c:v>0.37184504830027676</c:v>
                </c:pt>
                <c:pt idx="4">
                  <c:v>0.37184504830027676</c:v>
                </c:pt>
                <c:pt idx="5">
                  <c:v>0.37184504830027676</c:v>
                </c:pt>
                <c:pt idx="6">
                  <c:v>0.37184504830027676</c:v>
                </c:pt>
                <c:pt idx="7">
                  <c:v>0.37184504830027676</c:v>
                </c:pt>
                <c:pt idx="8">
                  <c:v>0.37184504830027676</c:v>
                </c:pt>
                <c:pt idx="9">
                  <c:v>0.37184504830027676</c:v>
                </c:pt>
                <c:pt idx="10">
                  <c:v>0.37184504830027676</c:v>
                </c:pt>
                <c:pt idx="11">
                  <c:v>0.37184504830027676</c:v>
                </c:pt>
                <c:pt idx="12">
                  <c:v>0.37184504830027676</c:v>
                </c:pt>
                <c:pt idx="13">
                  <c:v>0.37184504830027676</c:v>
                </c:pt>
                <c:pt idx="14">
                  <c:v>0.37184504830027676</c:v>
                </c:pt>
                <c:pt idx="15">
                  <c:v>0.37184504830027676</c:v>
                </c:pt>
                <c:pt idx="16">
                  <c:v>0.37184504830027676</c:v>
                </c:pt>
                <c:pt idx="17">
                  <c:v>0.37184504830027676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398848"/>
        <c:axId val="707052672"/>
      </c:lineChart>
      <c:catAx>
        <c:axId val="61639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707052672"/>
        <c:crosses val="autoZero"/>
        <c:auto val="1"/>
        <c:lblAlgn val="ctr"/>
        <c:lblOffset val="100"/>
        <c:noMultiLvlLbl val="0"/>
      </c:catAx>
      <c:valAx>
        <c:axId val="7070526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61639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399360"/>
        <c:axId val="7070549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399360"/>
        <c:axId val="707054976"/>
      </c:lineChart>
      <c:catAx>
        <c:axId val="61639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707054976"/>
        <c:crosses val="autoZero"/>
        <c:auto val="1"/>
        <c:lblAlgn val="ctr"/>
        <c:lblOffset val="100"/>
        <c:noMultiLvlLbl val="0"/>
      </c:catAx>
      <c:valAx>
        <c:axId val="7070549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6163993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2684</c:v>
                </c:pt>
                <c:pt idx="2">
                  <c:v>2821</c:v>
                </c:pt>
                <c:pt idx="4">
                  <c:v>560</c:v>
                </c:pt>
                <c:pt idx="10">
                  <c:v>2714</c:v>
                </c:pt>
                <c:pt idx="12">
                  <c:v>1048</c:v>
                </c:pt>
                <c:pt idx="13">
                  <c:v>1802</c:v>
                </c:pt>
                <c:pt idx="14">
                  <c:v>1993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2690</c:v>
                </c:pt>
                <c:pt idx="1">
                  <c:v>1140</c:v>
                </c:pt>
                <c:pt idx="2">
                  <c:v>2821</c:v>
                </c:pt>
                <c:pt idx="3">
                  <c:v>3290</c:v>
                </c:pt>
                <c:pt idx="4">
                  <c:v>560</c:v>
                </c:pt>
                <c:pt idx="5">
                  <c:v>2330</c:v>
                </c:pt>
                <c:pt idx="6">
                  <c:v>725</c:v>
                </c:pt>
                <c:pt idx="7">
                  <c:v>901</c:v>
                </c:pt>
                <c:pt idx="8">
                  <c:v>2780</c:v>
                </c:pt>
                <c:pt idx="9">
                  <c:v>2780</c:v>
                </c:pt>
                <c:pt idx="10">
                  <c:v>2714</c:v>
                </c:pt>
                <c:pt idx="11">
                  <c:v>1680</c:v>
                </c:pt>
                <c:pt idx="12">
                  <c:v>1050</c:v>
                </c:pt>
                <c:pt idx="13">
                  <c:v>1810</c:v>
                </c:pt>
                <c:pt idx="14">
                  <c:v>2000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005056"/>
        <c:axId val="707057856"/>
      </c:lineChart>
      <c:catAx>
        <c:axId val="7050050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707057856"/>
        <c:crosses val="autoZero"/>
        <c:auto val="1"/>
        <c:lblAlgn val="ctr"/>
        <c:lblOffset val="100"/>
        <c:noMultiLvlLbl val="0"/>
      </c:catAx>
      <c:valAx>
        <c:axId val="7070578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500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"/>
                <c:pt idx="0">
                  <c:v>50% 0% 50% 0% 17% 0% 0% 0% 0% 0% 50% 0% 17% 33%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0.49888475836431229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0.16634920634920636</c:v>
                </c:pt>
                <c:pt idx="13">
                  <c:v>0.3318600368324125</c:v>
                </c:pt>
                <c:pt idx="14">
                  <c:v>0.49825000000000003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0.17746737788083988</c:v>
                </c:pt>
                <c:pt idx="1">
                  <c:v>0.17746737788083988</c:v>
                </c:pt>
                <c:pt idx="2">
                  <c:v>0.17746737788083988</c:v>
                </c:pt>
                <c:pt idx="3">
                  <c:v>0.17746737788083988</c:v>
                </c:pt>
                <c:pt idx="4">
                  <c:v>0.17746737788083988</c:v>
                </c:pt>
                <c:pt idx="5">
                  <c:v>0.17746737788083988</c:v>
                </c:pt>
                <c:pt idx="6">
                  <c:v>0.17746737788083988</c:v>
                </c:pt>
                <c:pt idx="7">
                  <c:v>0.17746737788083988</c:v>
                </c:pt>
                <c:pt idx="8">
                  <c:v>0.17746737788083988</c:v>
                </c:pt>
                <c:pt idx="9">
                  <c:v>0.17746737788083988</c:v>
                </c:pt>
                <c:pt idx="10">
                  <c:v>0.17746737788083988</c:v>
                </c:pt>
                <c:pt idx="11">
                  <c:v>0.17746737788083988</c:v>
                </c:pt>
                <c:pt idx="12">
                  <c:v>0.17746737788083988</c:v>
                </c:pt>
                <c:pt idx="13">
                  <c:v>0.17746737788083988</c:v>
                </c:pt>
                <c:pt idx="14">
                  <c:v>0.17746737788083988</c:v>
                </c:pt>
                <c:pt idx="15">
                  <c:v>0.17746737788083988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006080"/>
        <c:axId val="6037504"/>
      </c:lineChart>
      <c:catAx>
        <c:axId val="70500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37504"/>
        <c:crosses val="autoZero"/>
        <c:auto val="1"/>
        <c:lblAlgn val="ctr"/>
        <c:lblOffset val="100"/>
        <c:noMultiLvlLbl val="0"/>
      </c:catAx>
      <c:valAx>
        <c:axId val="60375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5006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'06'!$L$6:$L$21</c:f>
              <c:numCache>
                <c:formatCode>_(* #,##0_);_(* \(#,##0\);_(* "-"_);_(@_)</c:formatCode>
                <c:ptCount val="16"/>
                <c:pt idx="0">
                  <c:v>2684</c:v>
                </c:pt>
                <c:pt idx="2">
                  <c:v>2821</c:v>
                </c:pt>
                <c:pt idx="4">
                  <c:v>560</c:v>
                </c:pt>
                <c:pt idx="10">
                  <c:v>2714</c:v>
                </c:pt>
                <c:pt idx="12">
                  <c:v>1048</c:v>
                </c:pt>
                <c:pt idx="13">
                  <c:v>1802</c:v>
                </c:pt>
                <c:pt idx="14">
                  <c:v>1993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'06'!$J$6:$J$21</c:f>
              <c:numCache>
                <c:formatCode>_(* #,##0_);_(* \(#,##0\);_(* "-"_);_(@_)</c:formatCode>
                <c:ptCount val="16"/>
                <c:pt idx="0">
                  <c:v>2690</c:v>
                </c:pt>
                <c:pt idx="1">
                  <c:v>1140</c:v>
                </c:pt>
                <c:pt idx="2">
                  <c:v>2821</c:v>
                </c:pt>
                <c:pt idx="3">
                  <c:v>3290</c:v>
                </c:pt>
                <c:pt idx="4">
                  <c:v>560</c:v>
                </c:pt>
                <c:pt idx="5">
                  <c:v>2330</c:v>
                </c:pt>
                <c:pt idx="6">
                  <c:v>725</c:v>
                </c:pt>
                <c:pt idx="7">
                  <c:v>901</c:v>
                </c:pt>
                <c:pt idx="8">
                  <c:v>2780</c:v>
                </c:pt>
                <c:pt idx="9">
                  <c:v>2780</c:v>
                </c:pt>
                <c:pt idx="10">
                  <c:v>2714</c:v>
                </c:pt>
                <c:pt idx="11">
                  <c:v>1680</c:v>
                </c:pt>
                <c:pt idx="12">
                  <c:v>1050</c:v>
                </c:pt>
                <c:pt idx="13">
                  <c:v>1810</c:v>
                </c:pt>
                <c:pt idx="14">
                  <c:v>2000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007104"/>
        <c:axId val="6039808"/>
      </c:lineChart>
      <c:catAx>
        <c:axId val="7050071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039808"/>
        <c:crosses val="autoZero"/>
        <c:auto val="1"/>
        <c:lblAlgn val="ctr"/>
        <c:lblOffset val="100"/>
        <c:noMultiLvlLbl val="0"/>
      </c:catAx>
      <c:valAx>
        <c:axId val="60398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50071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'06'!$AD$6:$AD$21</c:f>
              <c:strCache>
                <c:ptCount val="1"/>
                <c:pt idx="0">
                  <c:v>50% 0% 50% 0% 17% 0% 0% 0% 0% 0% 50% 0% 17% 33% 50%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'06'!$AD$6:$AD$21</c:f>
              <c:numCache>
                <c:formatCode>0%</c:formatCode>
                <c:ptCount val="16"/>
                <c:pt idx="0">
                  <c:v>0.49888475836431229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0.16634920634920636</c:v>
                </c:pt>
                <c:pt idx="13">
                  <c:v>0.3318600368324125</c:v>
                </c:pt>
                <c:pt idx="14">
                  <c:v>0.49825000000000003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'06'!$D$6:$D$21</c:f>
              <c:strCache>
                <c:ptCount val="15"/>
                <c:pt idx="0">
                  <c:v>COVER</c:v>
                </c:pt>
                <c:pt idx="2">
                  <c:v>4LEAD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</c:strCache>
            </c:strRef>
          </c:cat>
          <c:val>
            <c:numRef>
              <c:f>'06'!$AE$6:$AE$21</c:f>
              <c:numCache>
                <c:formatCode>0%</c:formatCode>
                <c:ptCount val="16"/>
                <c:pt idx="0">
                  <c:v>0.17746737788083988</c:v>
                </c:pt>
                <c:pt idx="1">
                  <c:v>0.17746737788083988</c:v>
                </c:pt>
                <c:pt idx="2">
                  <c:v>0.17746737788083988</c:v>
                </c:pt>
                <c:pt idx="3">
                  <c:v>0.17746737788083988</c:v>
                </c:pt>
                <c:pt idx="4">
                  <c:v>0.17746737788083988</c:v>
                </c:pt>
                <c:pt idx="5">
                  <c:v>0.17746737788083988</c:v>
                </c:pt>
                <c:pt idx="6">
                  <c:v>0.17746737788083988</c:v>
                </c:pt>
                <c:pt idx="7">
                  <c:v>0.17746737788083988</c:v>
                </c:pt>
                <c:pt idx="8">
                  <c:v>0.17746737788083988</c:v>
                </c:pt>
                <c:pt idx="9">
                  <c:v>0.17746737788083988</c:v>
                </c:pt>
                <c:pt idx="10">
                  <c:v>0.17746737788083988</c:v>
                </c:pt>
                <c:pt idx="11">
                  <c:v>0.17746737788083988</c:v>
                </c:pt>
                <c:pt idx="12">
                  <c:v>0.17746737788083988</c:v>
                </c:pt>
                <c:pt idx="13">
                  <c:v>0.17746737788083988</c:v>
                </c:pt>
                <c:pt idx="14">
                  <c:v>0.17746737788083988</c:v>
                </c:pt>
                <c:pt idx="15">
                  <c:v>0.17746737788083988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982464"/>
        <c:axId val="6041536"/>
      </c:lineChart>
      <c:catAx>
        <c:axId val="70598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041536"/>
        <c:crosses val="autoZero"/>
        <c:auto val="1"/>
        <c:lblAlgn val="ctr"/>
        <c:lblOffset val="100"/>
        <c:noMultiLvlLbl val="0"/>
      </c:catAx>
      <c:valAx>
        <c:axId val="60415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5982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5982976"/>
        <c:axId val="60438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982976"/>
        <c:axId val="6043840"/>
      </c:lineChart>
      <c:catAx>
        <c:axId val="70598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6043840"/>
        <c:crosses val="autoZero"/>
        <c:auto val="1"/>
        <c:lblAlgn val="ctr"/>
        <c:lblOffset val="100"/>
        <c:noMultiLvlLbl val="0"/>
      </c:catAx>
      <c:valAx>
        <c:axId val="6043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59829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0">
                  <c:v>4869</c:v>
                </c:pt>
                <c:pt idx="2">
                  <c:v>2085</c:v>
                </c:pt>
                <c:pt idx="7">
                  <c:v>5059</c:v>
                </c:pt>
                <c:pt idx="10">
                  <c:v>5502</c:v>
                </c:pt>
                <c:pt idx="12">
                  <c:v>5237</c:v>
                </c:pt>
                <c:pt idx="13">
                  <c:v>4761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4870</c:v>
                </c:pt>
                <c:pt idx="1">
                  <c:v>1140</c:v>
                </c:pt>
                <c:pt idx="2">
                  <c:v>2090</c:v>
                </c:pt>
                <c:pt idx="3">
                  <c:v>3290</c:v>
                </c:pt>
                <c:pt idx="4">
                  <c:v>560</c:v>
                </c:pt>
                <c:pt idx="5">
                  <c:v>2330</c:v>
                </c:pt>
                <c:pt idx="6">
                  <c:v>725</c:v>
                </c:pt>
                <c:pt idx="7">
                  <c:v>5060</c:v>
                </c:pt>
                <c:pt idx="8">
                  <c:v>2780</c:v>
                </c:pt>
                <c:pt idx="9">
                  <c:v>2780</c:v>
                </c:pt>
                <c:pt idx="10">
                  <c:v>5510</c:v>
                </c:pt>
                <c:pt idx="11">
                  <c:v>1680</c:v>
                </c:pt>
                <c:pt idx="12">
                  <c:v>5240</c:v>
                </c:pt>
                <c:pt idx="13">
                  <c:v>4770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350592"/>
        <c:axId val="6546560"/>
      </c:lineChart>
      <c:catAx>
        <c:axId val="7063505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46560"/>
        <c:crosses val="autoZero"/>
        <c:auto val="1"/>
        <c:lblAlgn val="ctr"/>
        <c:lblOffset val="100"/>
        <c:noMultiLvlLbl val="0"/>
      </c:catAx>
      <c:valAx>
        <c:axId val="65465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6350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100% 0% 54% 0% 0% 0% 0% 96%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0.99979466119096505</c:v>
                </c:pt>
                <c:pt idx="1">
                  <c:v>0</c:v>
                </c:pt>
                <c:pt idx="2">
                  <c:v>0.54037081339712922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0.95814393939393938</c:v>
                </c:pt>
                <c:pt idx="8">
                  <c:v>0</c:v>
                </c:pt>
                <c:pt idx="9">
                  <c:v>0</c:v>
                </c:pt>
                <c:pt idx="10">
                  <c:v>0.99854809437386571</c:v>
                </c:pt>
                <c:pt idx="11">
                  <c:v>0</c:v>
                </c:pt>
                <c:pt idx="12">
                  <c:v>0.99942748091603051</c:v>
                </c:pt>
                <c:pt idx="13">
                  <c:v>0.99811320754716981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0.36629321312127328</c:v>
                </c:pt>
                <c:pt idx="1">
                  <c:v>0.36629321312127328</c:v>
                </c:pt>
                <c:pt idx="2">
                  <c:v>0.36629321312127328</c:v>
                </c:pt>
                <c:pt idx="3">
                  <c:v>0.36629321312127328</c:v>
                </c:pt>
                <c:pt idx="4">
                  <c:v>0.36629321312127328</c:v>
                </c:pt>
                <c:pt idx="5">
                  <c:v>0.36629321312127328</c:v>
                </c:pt>
                <c:pt idx="6">
                  <c:v>0.36629321312127328</c:v>
                </c:pt>
                <c:pt idx="7">
                  <c:v>0.36629321312127328</c:v>
                </c:pt>
                <c:pt idx="8">
                  <c:v>0.36629321312127328</c:v>
                </c:pt>
                <c:pt idx="9">
                  <c:v>0.36629321312127328</c:v>
                </c:pt>
                <c:pt idx="10">
                  <c:v>0.36629321312127328</c:v>
                </c:pt>
                <c:pt idx="11">
                  <c:v>0.36629321312127328</c:v>
                </c:pt>
                <c:pt idx="12">
                  <c:v>0.36629321312127328</c:v>
                </c:pt>
                <c:pt idx="13">
                  <c:v>0.36629321312127328</c:v>
                </c:pt>
                <c:pt idx="14">
                  <c:v>0.36629321312127328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352640"/>
        <c:axId val="6548288"/>
      </c:lineChart>
      <c:catAx>
        <c:axId val="70635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48288"/>
        <c:crosses val="autoZero"/>
        <c:auto val="1"/>
        <c:lblAlgn val="ctr"/>
        <c:lblOffset val="100"/>
        <c:noMultiLvlLbl val="0"/>
      </c:catAx>
      <c:valAx>
        <c:axId val="6548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6352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'09'!$L$6:$L$20</c:f>
              <c:numCache>
                <c:formatCode>_(* #,##0_);_(* \(#,##0\);_(* "-"_);_(@_)</c:formatCode>
                <c:ptCount val="15"/>
                <c:pt idx="0">
                  <c:v>4869</c:v>
                </c:pt>
                <c:pt idx="2">
                  <c:v>2085</c:v>
                </c:pt>
                <c:pt idx="7">
                  <c:v>5059</c:v>
                </c:pt>
                <c:pt idx="10">
                  <c:v>5502</c:v>
                </c:pt>
                <c:pt idx="12">
                  <c:v>5237</c:v>
                </c:pt>
                <c:pt idx="13">
                  <c:v>4761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'09'!$J$6:$J$20</c:f>
              <c:numCache>
                <c:formatCode>_(* #,##0_);_(* \(#,##0\);_(* "-"_);_(@_)</c:formatCode>
                <c:ptCount val="15"/>
                <c:pt idx="0">
                  <c:v>4870</c:v>
                </c:pt>
                <c:pt idx="1">
                  <c:v>1140</c:v>
                </c:pt>
                <c:pt idx="2">
                  <c:v>2090</c:v>
                </c:pt>
                <c:pt idx="3">
                  <c:v>3290</c:v>
                </c:pt>
                <c:pt idx="4">
                  <c:v>560</c:v>
                </c:pt>
                <c:pt idx="5">
                  <c:v>2330</c:v>
                </c:pt>
                <c:pt idx="6">
                  <c:v>725</c:v>
                </c:pt>
                <c:pt idx="7">
                  <c:v>5060</c:v>
                </c:pt>
                <c:pt idx="8">
                  <c:v>2780</c:v>
                </c:pt>
                <c:pt idx="9">
                  <c:v>2780</c:v>
                </c:pt>
                <c:pt idx="10">
                  <c:v>5510</c:v>
                </c:pt>
                <c:pt idx="11">
                  <c:v>1680</c:v>
                </c:pt>
                <c:pt idx="12">
                  <c:v>5240</c:v>
                </c:pt>
                <c:pt idx="13">
                  <c:v>4770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353152"/>
        <c:axId val="6550592"/>
      </c:lineChart>
      <c:catAx>
        <c:axId val="7063531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6550592"/>
        <c:crosses val="autoZero"/>
        <c:auto val="1"/>
        <c:lblAlgn val="ctr"/>
        <c:lblOffset val="100"/>
        <c:noMultiLvlLbl val="0"/>
      </c:catAx>
      <c:valAx>
        <c:axId val="65505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706353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'09'!$AD$6:$AD$20</c:f>
              <c:strCache>
                <c:ptCount val="1"/>
                <c:pt idx="0">
                  <c:v>100% 0% 54% 0% 0% 0% 0% 96%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'09'!$AD$6:$AD$20</c:f>
              <c:numCache>
                <c:formatCode>0%</c:formatCode>
                <c:ptCount val="15"/>
                <c:pt idx="0">
                  <c:v>0.99979466119096505</c:v>
                </c:pt>
                <c:pt idx="1">
                  <c:v>0</c:v>
                </c:pt>
                <c:pt idx="2">
                  <c:v>0.54037081339712922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0.95814393939393938</c:v>
                </c:pt>
                <c:pt idx="8">
                  <c:v>0</c:v>
                </c:pt>
                <c:pt idx="9">
                  <c:v>0</c:v>
                </c:pt>
                <c:pt idx="10">
                  <c:v>0.99854809437386571</c:v>
                </c:pt>
                <c:pt idx="11">
                  <c:v>0</c:v>
                </c:pt>
                <c:pt idx="12">
                  <c:v>0.99942748091603051</c:v>
                </c:pt>
                <c:pt idx="13">
                  <c:v>0.99811320754716981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'09'!$D$6:$D$20</c:f>
              <c:strCache>
                <c:ptCount val="14"/>
                <c:pt idx="0">
                  <c:v>COVER</c:v>
                </c:pt>
                <c:pt idx="2">
                  <c:v>LID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FLOATING</c:v>
                </c:pt>
                <c:pt idx="13">
                  <c:v>BASE</c:v>
                </c:pt>
              </c:strCache>
            </c:strRef>
          </c:cat>
          <c:val>
            <c:numRef>
              <c:f>'09'!$AE$6:$AE$20</c:f>
              <c:numCache>
                <c:formatCode>0%</c:formatCode>
                <c:ptCount val="15"/>
                <c:pt idx="0">
                  <c:v>0.36629321312127328</c:v>
                </c:pt>
                <c:pt idx="1">
                  <c:v>0.36629321312127328</c:v>
                </c:pt>
                <c:pt idx="2">
                  <c:v>0.36629321312127328</c:v>
                </c:pt>
                <c:pt idx="3">
                  <c:v>0.36629321312127328</c:v>
                </c:pt>
                <c:pt idx="4">
                  <c:v>0.36629321312127328</c:v>
                </c:pt>
                <c:pt idx="5">
                  <c:v>0.36629321312127328</c:v>
                </c:pt>
                <c:pt idx="6">
                  <c:v>0.36629321312127328</c:v>
                </c:pt>
                <c:pt idx="7">
                  <c:v>0.36629321312127328</c:v>
                </c:pt>
                <c:pt idx="8">
                  <c:v>0.36629321312127328</c:v>
                </c:pt>
                <c:pt idx="9">
                  <c:v>0.36629321312127328</c:v>
                </c:pt>
                <c:pt idx="10">
                  <c:v>0.36629321312127328</c:v>
                </c:pt>
                <c:pt idx="11">
                  <c:v>0.36629321312127328</c:v>
                </c:pt>
                <c:pt idx="12">
                  <c:v>0.36629321312127328</c:v>
                </c:pt>
                <c:pt idx="13">
                  <c:v>0.36629321312127328</c:v>
                </c:pt>
                <c:pt idx="14">
                  <c:v>0.36629321312127328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354688"/>
        <c:axId val="6552320"/>
      </c:lineChart>
      <c:catAx>
        <c:axId val="7063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6552320"/>
        <c:crosses val="autoZero"/>
        <c:auto val="1"/>
        <c:lblAlgn val="ctr"/>
        <c:lblOffset val="100"/>
        <c:noMultiLvlLbl val="0"/>
      </c:catAx>
      <c:valAx>
        <c:axId val="65523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706354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6916352"/>
        <c:axId val="14858764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916352"/>
        <c:axId val="148587648"/>
      </c:lineChart>
      <c:catAx>
        <c:axId val="70691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48587648"/>
        <c:crosses val="autoZero"/>
        <c:auto val="1"/>
        <c:lblAlgn val="ctr"/>
        <c:lblOffset val="100"/>
        <c:noMultiLvlLbl val="0"/>
      </c:catAx>
      <c:valAx>
        <c:axId val="1485876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069163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4369</c:v>
                </c:pt>
                <c:pt idx="2">
                  <c:v>2117</c:v>
                </c:pt>
                <c:pt idx="7">
                  <c:v>1431</c:v>
                </c:pt>
                <c:pt idx="10">
                  <c:v>5335</c:v>
                </c:pt>
                <c:pt idx="12">
                  <c:v>5100</c:v>
                </c:pt>
                <c:pt idx="13">
                  <c:v>4480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1140</c:v>
                </c:pt>
                <c:pt idx="2">
                  <c:v>2120</c:v>
                </c:pt>
                <c:pt idx="3">
                  <c:v>3290</c:v>
                </c:pt>
                <c:pt idx="4">
                  <c:v>560</c:v>
                </c:pt>
                <c:pt idx="5">
                  <c:v>2330</c:v>
                </c:pt>
                <c:pt idx="6">
                  <c:v>725</c:v>
                </c:pt>
                <c:pt idx="7">
                  <c:v>1440</c:v>
                </c:pt>
                <c:pt idx="8">
                  <c:v>2780</c:v>
                </c:pt>
                <c:pt idx="9">
                  <c:v>2780</c:v>
                </c:pt>
                <c:pt idx="10">
                  <c:v>5340</c:v>
                </c:pt>
                <c:pt idx="11">
                  <c:v>1680</c:v>
                </c:pt>
                <c:pt idx="12">
                  <c:v>5100</c:v>
                </c:pt>
                <c:pt idx="13">
                  <c:v>4480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97856"/>
        <c:axId val="148591680"/>
      </c:lineChart>
      <c:catAx>
        <c:axId val="1926978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48591680"/>
        <c:crosses val="autoZero"/>
        <c:auto val="1"/>
        <c:lblAlgn val="ctr"/>
        <c:lblOffset val="100"/>
        <c:noMultiLvlLbl val="0"/>
      </c:catAx>
      <c:valAx>
        <c:axId val="1485916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9269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100% 0% 54% 0% 0% 0% 0% 25% 0% 0% 100% 0% 75%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0.99977116704805491</c:v>
                </c:pt>
                <c:pt idx="1">
                  <c:v>0</c:v>
                </c:pt>
                <c:pt idx="2">
                  <c:v>0.54090015723270435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0.24843750000000001</c:v>
                </c:pt>
                <c:pt idx="8">
                  <c:v>0</c:v>
                </c:pt>
                <c:pt idx="9">
                  <c:v>0</c:v>
                </c:pt>
                <c:pt idx="10">
                  <c:v>0.99906367041198507</c:v>
                </c:pt>
                <c:pt idx="11">
                  <c:v>0</c:v>
                </c:pt>
                <c:pt idx="12">
                  <c:v>0.75</c:v>
                </c:pt>
                <c:pt idx="13">
                  <c:v>0.95833333333333337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0.29976705520173852</c:v>
                </c:pt>
                <c:pt idx="1">
                  <c:v>0.29976705520173852</c:v>
                </c:pt>
                <c:pt idx="2">
                  <c:v>0.29976705520173852</c:v>
                </c:pt>
                <c:pt idx="3">
                  <c:v>0.29976705520173852</c:v>
                </c:pt>
                <c:pt idx="4">
                  <c:v>0.29976705520173852</c:v>
                </c:pt>
                <c:pt idx="5">
                  <c:v>0.29976705520173852</c:v>
                </c:pt>
                <c:pt idx="6">
                  <c:v>0.29976705520173852</c:v>
                </c:pt>
                <c:pt idx="7">
                  <c:v>0.29976705520173852</c:v>
                </c:pt>
                <c:pt idx="8">
                  <c:v>0.29976705520173852</c:v>
                </c:pt>
                <c:pt idx="9">
                  <c:v>0.29976705520173852</c:v>
                </c:pt>
                <c:pt idx="10">
                  <c:v>0.29976705520173852</c:v>
                </c:pt>
                <c:pt idx="11">
                  <c:v>0.29976705520173852</c:v>
                </c:pt>
                <c:pt idx="12">
                  <c:v>0.29976705520173852</c:v>
                </c:pt>
                <c:pt idx="13">
                  <c:v>0.29976705520173852</c:v>
                </c:pt>
                <c:pt idx="14">
                  <c:v>0.29976705520173852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84384"/>
        <c:axId val="148593408"/>
      </c:lineChart>
      <c:catAx>
        <c:axId val="14798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48593408"/>
        <c:crosses val="autoZero"/>
        <c:auto val="1"/>
        <c:lblAlgn val="ctr"/>
        <c:lblOffset val="100"/>
        <c:noMultiLvlLbl val="0"/>
      </c:catAx>
      <c:valAx>
        <c:axId val="148593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47984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0">
                  <c:v>4369</c:v>
                </c:pt>
                <c:pt idx="2">
                  <c:v>2117</c:v>
                </c:pt>
                <c:pt idx="7">
                  <c:v>1431</c:v>
                </c:pt>
                <c:pt idx="10">
                  <c:v>5335</c:v>
                </c:pt>
                <c:pt idx="12">
                  <c:v>5100</c:v>
                </c:pt>
                <c:pt idx="13">
                  <c:v>4480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4370</c:v>
                </c:pt>
                <c:pt idx="1">
                  <c:v>1140</c:v>
                </c:pt>
                <c:pt idx="2">
                  <c:v>2120</c:v>
                </c:pt>
                <c:pt idx="3">
                  <c:v>3290</c:v>
                </c:pt>
                <c:pt idx="4">
                  <c:v>560</c:v>
                </c:pt>
                <c:pt idx="5">
                  <c:v>2330</c:v>
                </c:pt>
                <c:pt idx="6">
                  <c:v>725</c:v>
                </c:pt>
                <c:pt idx="7">
                  <c:v>1440</c:v>
                </c:pt>
                <c:pt idx="8">
                  <c:v>2780</c:v>
                </c:pt>
                <c:pt idx="9">
                  <c:v>2780</c:v>
                </c:pt>
                <c:pt idx="10">
                  <c:v>5340</c:v>
                </c:pt>
                <c:pt idx="11">
                  <c:v>1680</c:v>
                </c:pt>
                <c:pt idx="12">
                  <c:v>5100</c:v>
                </c:pt>
                <c:pt idx="13">
                  <c:v>4480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84896"/>
        <c:axId val="253494400"/>
      </c:lineChart>
      <c:catAx>
        <c:axId val="1479848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53494400"/>
        <c:crosses val="autoZero"/>
        <c:auto val="1"/>
        <c:lblAlgn val="ctr"/>
        <c:lblOffset val="100"/>
        <c:noMultiLvlLbl val="0"/>
      </c:catAx>
      <c:valAx>
        <c:axId val="2534944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47984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100% 0% 54% 0% 0% 0% 0% 25% 0% 0% 100% 0% 75%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0.99977116704805491</c:v>
                </c:pt>
                <c:pt idx="1">
                  <c:v>0</c:v>
                </c:pt>
                <c:pt idx="2">
                  <c:v>0.54090015723270435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0.24843750000000001</c:v>
                </c:pt>
                <c:pt idx="8">
                  <c:v>0</c:v>
                </c:pt>
                <c:pt idx="9">
                  <c:v>0</c:v>
                </c:pt>
                <c:pt idx="10">
                  <c:v>0.99906367041198507</c:v>
                </c:pt>
                <c:pt idx="11">
                  <c:v>0</c:v>
                </c:pt>
                <c:pt idx="12">
                  <c:v>0.75</c:v>
                </c:pt>
                <c:pt idx="13">
                  <c:v>0.95833333333333337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4"/>
                <c:pt idx="0">
                  <c:v>COVER</c:v>
                </c:pt>
                <c:pt idx="2">
                  <c:v>TOP</c:v>
                </c:pt>
                <c:pt idx="3">
                  <c:v>STOPPER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38P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BASE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0.29976705520173852</c:v>
                </c:pt>
                <c:pt idx="1">
                  <c:v>0.29976705520173852</c:v>
                </c:pt>
                <c:pt idx="2">
                  <c:v>0.29976705520173852</c:v>
                </c:pt>
                <c:pt idx="3">
                  <c:v>0.29976705520173852</c:v>
                </c:pt>
                <c:pt idx="4">
                  <c:v>0.29976705520173852</c:v>
                </c:pt>
                <c:pt idx="5">
                  <c:v>0.29976705520173852</c:v>
                </c:pt>
                <c:pt idx="6">
                  <c:v>0.29976705520173852</c:v>
                </c:pt>
                <c:pt idx="7">
                  <c:v>0.29976705520173852</c:v>
                </c:pt>
                <c:pt idx="8">
                  <c:v>0.29976705520173852</c:v>
                </c:pt>
                <c:pt idx="9">
                  <c:v>0.29976705520173852</c:v>
                </c:pt>
                <c:pt idx="10">
                  <c:v>0.29976705520173852</c:v>
                </c:pt>
                <c:pt idx="11">
                  <c:v>0.29976705520173852</c:v>
                </c:pt>
                <c:pt idx="12">
                  <c:v>0.29976705520173852</c:v>
                </c:pt>
                <c:pt idx="13">
                  <c:v>0.29976705520173852</c:v>
                </c:pt>
                <c:pt idx="14">
                  <c:v>0.29976705520173852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99392"/>
        <c:axId val="253496128"/>
      </c:lineChart>
      <c:catAx>
        <c:axId val="19269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53496128"/>
        <c:crosses val="autoZero"/>
        <c:auto val="1"/>
        <c:lblAlgn val="ctr"/>
        <c:lblOffset val="100"/>
        <c:noMultiLvlLbl val="0"/>
      </c:catAx>
      <c:valAx>
        <c:axId val="253496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92699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86432"/>
        <c:axId val="2534984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86432"/>
        <c:axId val="253498432"/>
      </c:lineChart>
      <c:catAx>
        <c:axId val="14798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53498432"/>
        <c:crosses val="autoZero"/>
        <c:auto val="1"/>
        <c:lblAlgn val="ctr"/>
        <c:lblOffset val="100"/>
        <c:noMultiLvlLbl val="0"/>
      </c:catAx>
      <c:valAx>
        <c:axId val="2534984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798643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2615</c:v>
                </c:pt>
                <c:pt idx="2">
                  <c:v>1124</c:v>
                </c:pt>
                <c:pt idx="3">
                  <c:v>1281</c:v>
                </c:pt>
                <c:pt idx="5">
                  <c:v>662</c:v>
                </c:pt>
                <c:pt idx="6">
                  <c:v>2892</c:v>
                </c:pt>
                <c:pt idx="7">
                  <c:v>2757</c:v>
                </c:pt>
                <c:pt idx="10">
                  <c:v>5585</c:v>
                </c:pt>
                <c:pt idx="12">
                  <c:v>1500</c:v>
                </c:pt>
                <c:pt idx="13">
                  <c:v>2884</c:v>
                </c:pt>
                <c:pt idx="14">
                  <c:v>3402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2615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662</c:v>
                </c:pt>
                <c:pt idx="6">
                  <c:v>2900</c:v>
                </c:pt>
                <c:pt idx="7">
                  <c:v>2757</c:v>
                </c:pt>
                <c:pt idx="8">
                  <c:v>2780</c:v>
                </c:pt>
                <c:pt idx="9">
                  <c:v>2780</c:v>
                </c:pt>
                <c:pt idx="10">
                  <c:v>5585</c:v>
                </c:pt>
                <c:pt idx="11">
                  <c:v>1680</c:v>
                </c:pt>
                <c:pt idx="12">
                  <c:v>5100</c:v>
                </c:pt>
                <c:pt idx="13">
                  <c:v>2890</c:v>
                </c:pt>
                <c:pt idx="14">
                  <c:v>3410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236352"/>
        <c:axId val="147849216"/>
      </c:lineChart>
      <c:catAx>
        <c:axId val="1952363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47849216"/>
        <c:crosses val="autoZero"/>
        <c:auto val="1"/>
        <c:lblAlgn val="ctr"/>
        <c:lblOffset val="100"/>
        <c:noMultiLvlLbl val="0"/>
      </c:catAx>
      <c:valAx>
        <c:axId val="1478492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95236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"/>
                <c:pt idx="0">
                  <c:v>54% 0% 38% 42% 0% 17% 62% 58% 0% 0% 100% 0% 6% 75% 71%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</c:v>
                </c:pt>
                <c:pt idx="2">
                  <c:v>0.375</c:v>
                </c:pt>
                <c:pt idx="3">
                  <c:v>0.41666666666666669</c:v>
                </c:pt>
                <c:pt idx="4">
                  <c:v>0</c:v>
                </c:pt>
                <c:pt idx="5">
                  <c:v>0.16666666666666666</c:v>
                </c:pt>
                <c:pt idx="6">
                  <c:v>0.62327586206896557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6.1274509803921573E-2</c:v>
                </c:pt>
                <c:pt idx="13">
                  <c:v>0.7484429065743945</c:v>
                </c:pt>
                <c:pt idx="14">
                  <c:v>0.70667155425219952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0.34819987773552097</c:v>
                </c:pt>
                <c:pt idx="1">
                  <c:v>0.34819987773552097</c:v>
                </c:pt>
                <c:pt idx="2">
                  <c:v>0.34819987773552097</c:v>
                </c:pt>
                <c:pt idx="3">
                  <c:v>0.34819987773552097</c:v>
                </c:pt>
                <c:pt idx="4">
                  <c:v>0.34819987773552097</c:v>
                </c:pt>
                <c:pt idx="5">
                  <c:v>0.34819987773552097</c:v>
                </c:pt>
                <c:pt idx="6">
                  <c:v>0.34819987773552097</c:v>
                </c:pt>
                <c:pt idx="7">
                  <c:v>0.34819987773552097</c:v>
                </c:pt>
                <c:pt idx="8">
                  <c:v>0.34819987773552097</c:v>
                </c:pt>
                <c:pt idx="9">
                  <c:v>0.34819987773552097</c:v>
                </c:pt>
                <c:pt idx="10">
                  <c:v>0.34819987773552097</c:v>
                </c:pt>
                <c:pt idx="11">
                  <c:v>0.34819987773552097</c:v>
                </c:pt>
                <c:pt idx="12">
                  <c:v>0.34819987773552097</c:v>
                </c:pt>
                <c:pt idx="13">
                  <c:v>0.34819987773552097</c:v>
                </c:pt>
                <c:pt idx="14">
                  <c:v>0.34819987773552097</c:v>
                </c:pt>
                <c:pt idx="15">
                  <c:v>0.34819987773552097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238400"/>
        <c:axId val="147850944"/>
      </c:lineChart>
      <c:catAx>
        <c:axId val="19523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47850944"/>
        <c:crosses val="autoZero"/>
        <c:auto val="1"/>
        <c:lblAlgn val="ctr"/>
        <c:lblOffset val="100"/>
        <c:noMultiLvlLbl val="0"/>
      </c:catAx>
      <c:valAx>
        <c:axId val="1478509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95238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'11'!$L$6:$L$21</c:f>
              <c:numCache>
                <c:formatCode>_(* #,##0_);_(* \(#,##0\);_(* "-"_);_(@_)</c:formatCode>
                <c:ptCount val="16"/>
                <c:pt idx="0">
                  <c:v>2615</c:v>
                </c:pt>
                <c:pt idx="2">
                  <c:v>1124</c:v>
                </c:pt>
                <c:pt idx="3">
                  <c:v>1281</c:v>
                </c:pt>
                <c:pt idx="5">
                  <c:v>662</c:v>
                </c:pt>
                <c:pt idx="6">
                  <c:v>2892</c:v>
                </c:pt>
                <c:pt idx="7">
                  <c:v>2757</c:v>
                </c:pt>
                <c:pt idx="10">
                  <c:v>5585</c:v>
                </c:pt>
                <c:pt idx="12">
                  <c:v>1500</c:v>
                </c:pt>
                <c:pt idx="13">
                  <c:v>2884</c:v>
                </c:pt>
                <c:pt idx="14">
                  <c:v>3402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'11'!$J$6:$J$21</c:f>
              <c:numCache>
                <c:formatCode>_(* #,##0_);_(* \(#,##0\);_(* "-"_);_(@_)</c:formatCode>
                <c:ptCount val="16"/>
                <c:pt idx="0">
                  <c:v>2615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662</c:v>
                </c:pt>
                <c:pt idx="6">
                  <c:v>2900</c:v>
                </c:pt>
                <c:pt idx="7">
                  <c:v>2757</c:v>
                </c:pt>
                <c:pt idx="8">
                  <c:v>2780</c:v>
                </c:pt>
                <c:pt idx="9">
                  <c:v>2780</c:v>
                </c:pt>
                <c:pt idx="10">
                  <c:v>5585</c:v>
                </c:pt>
                <c:pt idx="11">
                  <c:v>1680</c:v>
                </c:pt>
                <c:pt idx="12">
                  <c:v>5100</c:v>
                </c:pt>
                <c:pt idx="13">
                  <c:v>2890</c:v>
                </c:pt>
                <c:pt idx="14">
                  <c:v>3410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8448"/>
        <c:axId val="147853248"/>
      </c:lineChart>
      <c:catAx>
        <c:axId val="1944084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47853248"/>
        <c:crosses val="autoZero"/>
        <c:auto val="1"/>
        <c:lblAlgn val="ctr"/>
        <c:lblOffset val="100"/>
        <c:noMultiLvlLbl val="0"/>
      </c:catAx>
      <c:valAx>
        <c:axId val="1478532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9440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'11'!$AD$6:$AD$21</c:f>
              <c:strCache>
                <c:ptCount val="1"/>
                <c:pt idx="0">
                  <c:v>54% 0% 38% 42% 0% 17% 62% 58% 0% 0% 100% 0% 6% 75% 71%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'11'!$AD$6:$AD$21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</c:v>
                </c:pt>
                <c:pt idx="2">
                  <c:v>0.375</c:v>
                </c:pt>
                <c:pt idx="3">
                  <c:v>0.41666666666666669</c:v>
                </c:pt>
                <c:pt idx="4">
                  <c:v>0</c:v>
                </c:pt>
                <c:pt idx="5">
                  <c:v>0.16666666666666666</c:v>
                </c:pt>
                <c:pt idx="6">
                  <c:v>0.62327586206896557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6.1274509803921573E-2</c:v>
                </c:pt>
                <c:pt idx="13">
                  <c:v>0.7484429065743945</c:v>
                </c:pt>
                <c:pt idx="14">
                  <c:v>0.70667155425219952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'11'!$D$6:$D$21</c:f>
              <c:strCache>
                <c:ptCount val="15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FLOATING</c:v>
                </c:pt>
                <c:pt idx="10">
                  <c:v>STOPPER</c:v>
                </c:pt>
                <c:pt idx="11">
                  <c:v>ADAPTER</c:v>
                </c:pt>
                <c:pt idx="12">
                  <c:v>8LEAD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'11'!$AE$6:$AE$21</c:f>
              <c:numCache>
                <c:formatCode>0%</c:formatCode>
                <c:ptCount val="16"/>
                <c:pt idx="0">
                  <c:v>0.34819987773552097</c:v>
                </c:pt>
                <c:pt idx="1">
                  <c:v>0.34819987773552097</c:v>
                </c:pt>
                <c:pt idx="2">
                  <c:v>0.34819987773552097</c:v>
                </c:pt>
                <c:pt idx="3">
                  <c:v>0.34819987773552097</c:v>
                </c:pt>
                <c:pt idx="4">
                  <c:v>0.34819987773552097</c:v>
                </c:pt>
                <c:pt idx="5">
                  <c:v>0.34819987773552097</c:v>
                </c:pt>
                <c:pt idx="6">
                  <c:v>0.34819987773552097</c:v>
                </c:pt>
                <c:pt idx="7">
                  <c:v>0.34819987773552097</c:v>
                </c:pt>
                <c:pt idx="8">
                  <c:v>0.34819987773552097</c:v>
                </c:pt>
                <c:pt idx="9">
                  <c:v>0.34819987773552097</c:v>
                </c:pt>
                <c:pt idx="10">
                  <c:v>0.34819987773552097</c:v>
                </c:pt>
                <c:pt idx="11">
                  <c:v>0.34819987773552097</c:v>
                </c:pt>
                <c:pt idx="12">
                  <c:v>0.34819987773552097</c:v>
                </c:pt>
                <c:pt idx="13">
                  <c:v>0.34819987773552097</c:v>
                </c:pt>
                <c:pt idx="14">
                  <c:v>0.34819987773552097</c:v>
                </c:pt>
                <c:pt idx="15">
                  <c:v>0.34819987773552097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8960"/>
        <c:axId val="147854976"/>
      </c:lineChart>
      <c:catAx>
        <c:axId val="19440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47854976"/>
        <c:crosses val="autoZero"/>
        <c:auto val="1"/>
        <c:lblAlgn val="ctr"/>
        <c:lblOffset val="100"/>
        <c:noMultiLvlLbl val="0"/>
      </c:catAx>
      <c:valAx>
        <c:axId val="1478549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94408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409472"/>
        <c:axId val="1999749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9472"/>
        <c:axId val="199974912"/>
      </c:lineChart>
      <c:catAx>
        <c:axId val="19440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9974912"/>
        <c:crosses val="autoZero"/>
        <c:auto val="1"/>
        <c:lblAlgn val="ctr"/>
        <c:lblOffset val="100"/>
        <c:noMultiLvlLbl val="0"/>
      </c:catAx>
      <c:valAx>
        <c:axId val="1999749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44094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6">
                  <c:v>5403</c:v>
                </c:pt>
                <c:pt idx="7">
                  <c:v>5610</c:v>
                </c:pt>
                <c:pt idx="8">
                  <c:v>140</c:v>
                </c:pt>
                <c:pt idx="9">
                  <c:v>3285</c:v>
                </c:pt>
                <c:pt idx="10">
                  <c:v>5503</c:v>
                </c:pt>
                <c:pt idx="12">
                  <c:v>4808</c:v>
                </c:pt>
                <c:pt idx="13">
                  <c:v>3741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2615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662</c:v>
                </c:pt>
                <c:pt idx="6">
                  <c:v>5410</c:v>
                </c:pt>
                <c:pt idx="7">
                  <c:v>5610</c:v>
                </c:pt>
                <c:pt idx="8">
                  <c:v>140</c:v>
                </c:pt>
                <c:pt idx="9">
                  <c:v>3290</c:v>
                </c:pt>
                <c:pt idx="10">
                  <c:v>5510</c:v>
                </c:pt>
                <c:pt idx="11">
                  <c:v>1680</c:v>
                </c:pt>
                <c:pt idx="12">
                  <c:v>4810</c:v>
                </c:pt>
                <c:pt idx="13">
                  <c:v>3750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66144"/>
        <c:axId val="199977792"/>
      </c:lineChart>
      <c:catAx>
        <c:axId val="1993661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99977792"/>
        <c:crosses val="autoZero"/>
        <c:auto val="1"/>
        <c:lblAlgn val="ctr"/>
        <c:lblOffset val="100"/>
        <c:noMultiLvlLbl val="0"/>
      </c:catAx>
      <c:valAx>
        <c:axId val="1999777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99366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0% 0% 0% 0% 100% 100% 21% 71% 100% 0% 100%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0.99870609981515712</c:v>
                </c:pt>
                <c:pt idx="7">
                  <c:v>1</c:v>
                </c:pt>
                <c:pt idx="8">
                  <c:v>0.20833333333333334</c:v>
                </c:pt>
                <c:pt idx="9">
                  <c:v>0.70725683890577506</c:v>
                </c:pt>
                <c:pt idx="10">
                  <c:v>0.99872958257713251</c:v>
                </c:pt>
                <c:pt idx="11">
                  <c:v>0</c:v>
                </c:pt>
                <c:pt idx="12">
                  <c:v>0.99958419958419964</c:v>
                </c:pt>
                <c:pt idx="13">
                  <c:v>0.78976666666666662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0.3801584480588176</c:v>
                </c:pt>
                <c:pt idx="1">
                  <c:v>0.3801584480588176</c:v>
                </c:pt>
                <c:pt idx="2">
                  <c:v>0.3801584480588176</c:v>
                </c:pt>
                <c:pt idx="3">
                  <c:v>0.3801584480588176</c:v>
                </c:pt>
                <c:pt idx="4">
                  <c:v>0.3801584480588176</c:v>
                </c:pt>
                <c:pt idx="5">
                  <c:v>0.3801584480588176</c:v>
                </c:pt>
                <c:pt idx="6">
                  <c:v>0.3801584480588176</c:v>
                </c:pt>
                <c:pt idx="7">
                  <c:v>0.3801584480588176</c:v>
                </c:pt>
                <c:pt idx="8">
                  <c:v>0.3801584480588176</c:v>
                </c:pt>
                <c:pt idx="9">
                  <c:v>0.3801584480588176</c:v>
                </c:pt>
                <c:pt idx="10">
                  <c:v>0.3801584480588176</c:v>
                </c:pt>
                <c:pt idx="11">
                  <c:v>0.3801584480588176</c:v>
                </c:pt>
                <c:pt idx="12">
                  <c:v>0.3801584480588176</c:v>
                </c:pt>
                <c:pt idx="13">
                  <c:v>0.3801584480588176</c:v>
                </c:pt>
                <c:pt idx="14">
                  <c:v>0.3801584480588176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67168"/>
        <c:axId val="199979520"/>
      </c:lineChart>
      <c:catAx>
        <c:axId val="19936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99979520"/>
        <c:crosses val="autoZero"/>
        <c:auto val="1"/>
        <c:lblAlgn val="ctr"/>
        <c:lblOffset val="100"/>
        <c:noMultiLvlLbl val="0"/>
      </c:catAx>
      <c:valAx>
        <c:axId val="1999795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99367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'12'!$L$6:$L$20</c:f>
              <c:numCache>
                <c:formatCode>_(* #,##0_);_(* \(#,##0\);_(* "-"_);_(@_)</c:formatCode>
                <c:ptCount val="15"/>
                <c:pt idx="6">
                  <c:v>5403</c:v>
                </c:pt>
                <c:pt idx="7">
                  <c:v>5610</c:v>
                </c:pt>
                <c:pt idx="8">
                  <c:v>140</c:v>
                </c:pt>
                <c:pt idx="9">
                  <c:v>3285</c:v>
                </c:pt>
                <c:pt idx="10">
                  <c:v>5503</c:v>
                </c:pt>
                <c:pt idx="12">
                  <c:v>4808</c:v>
                </c:pt>
                <c:pt idx="13">
                  <c:v>3741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'12'!$J$6:$J$20</c:f>
              <c:numCache>
                <c:formatCode>_(* #,##0_);_(* \(#,##0\);_(* "-"_);_(@_)</c:formatCode>
                <c:ptCount val="15"/>
                <c:pt idx="0">
                  <c:v>2615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662</c:v>
                </c:pt>
                <c:pt idx="6">
                  <c:v>5410</c:v>
                </c:pt>
                <c:pt idx="7">
                  <c:v>5610</c:v>
                </c:pt>
                <c:pt idx="8">
                  <c:v>140</c:v>
                </c:pt>
                <c:pt idx="9">
                  <c:v>3290</c:v>
                </c:pt>
                <c:pt idx="10">
                  <c:v>5510</c:v>
                </c:pt>
                <c:pt idx="11">
                  <c:v>1680</c:v>
                </c:pt>
                <c:pt idx="12">
                  <c:v>4810</c:v>
                </c:pt>
                <c:pt idx="13">
                  <c:v>3750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72096"/>
        <c:axId val="199981824"/>
      </c:lineChart>
      <c:catAx>
        <c:axId val="1479720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99981824"/>
        <c:crosses val="autoZero"/>
        <c:auto val="1"/>
        <c:lblAlgn val="ctr"/>
        <c:lblOffset val="100"/>
        <c:noMultiLvlLbl val="0"/>
      </c:catAx>
      <c:valAx>
        <c:axId val="1999818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47972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'12'!$AD$6:$AD$20</c:f>
              <c:strCache>
                <c:ptCount val="1"/>
                <c:pt idx="0">
                  <c:v>0% 0% 0% 0% 0% 0% 100% 100% 21% 71% 100% 0% 100%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0.99870609981515712</c:v>
                </c:pt>
                <c:pt idx="7">
                  <c:v>1</c:v>
                </c:pt>
                <c:pt idx="8">
                  <c:v>0.20833333333333334</c:v>
                </c:pt>
                <c:pt idx="9">
                  <c:v>0.70725683890577506</c:v>
                </c:pt>
                <c:pt idx="10">
                  <c:v>0.99872958257713251</c:v>
                </c:pt>
                <c:pt idx="11">
                  <c:v>0</c:v>
                </c:pt>
                <c:pt idx="12">
                  <c:v>0.99958419958419964</c:v>
                </c:pt>
                <c:pt idx="13">
                  <c:v>0.78976666666666662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'12'!$D$6:$D$20</c:f>
              <c:strCache>
                <c:ptCount val="14"/>
                <c:pt idx="0">
                  <c:v>COVER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6">
                  <c:v>FLOATING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ADAPTER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'12'!$AE$6:$AE$20</c:f>
              <c:numCache>
                <c:formatCode>0%</c:formatCode>
                <c:ptCount val="15"/>
                <c:pt idx="0">
                  <c:v>0.3801584480588176</c:v>
                </c:pt>
                <c:pt idx="1">
                  <c:v>0.3801584480588176</c:v>
                </c:pt>
                <c:pt idx="2">
                  <c:v>0.3801584480588176</c:v>
                </c:pt>
                <c:pt idx="3">
                  <c:v>0.3801584480588176</c:v>
                </c:pt>
                <c:pt idx="4">
                  <c:v>0.3801584480588176</c:v>
                </c:pt>
                <c:pt idx="5">
                  <c:v>0.3801584480588176</c:v>
                </c:pt>
                <c:pt idx="6">
                  <c:v>0.3801584480588176</c:v>
                </c:pt>
                <c:pt idx="7">
                  <c:v>0.3801584480588176</c:v>
                </c:pt>
                <c:pt idx="8">
                  <c:v>0.3801584480588176</c:v>
                </c:pt>
                <c:pt idx="9">
                  <c:v>0.3801584480588176</c:v>
                </c:pt>
                <c:pt idx="10">
                  <c:v>0.3801584480588176</c:v>
                </c:pt>
                <c:pt idx="11">
                  <c:v>0.3801584480588176</c:v>
                </c:pt>
                <c:pt idx="12">
                  <c:v>0.3801584480588176</c:v>
                </c:pt>
                <c:pt idx="13">
                  <c:v>0.3801584480588176</c:v>
                </c:pt>
                <c:pt idx="14">
                  <c:v>0.3801584480588176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72608"/>
        <c:axId val="199492160"/>
      </c:lineChart>
      <c:catAx>
        <c:axId val="14797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99492160"/>
        <c:crosses val="autoZero"/>
        <c:auto val="1"/>
        <c:lblAlgn val="ctr"/>
        <c:lblOffset val="100"/>
        <c:noMultiLvlLbl val="0"/>
      </c:catAx>
      <c:valAx>
        <c:axId val="1994921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47972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73120"/>
        <c:axId val="1994944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73120"/>
        <c:axId val="199494464"/>
      </c:lineChart>
      <c:catAx>
        <c:axId val="147973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9494464"/>
        <c:crosses val="autoZero"/>
        <c:auto val="1"/>
        <c:lblAlgn val="ctr"/>
        <c:lblOffset val="100"/>
        <c:noMultiLvlLbl val="0"/>
      </c:catAx>
      <c:valAx>
        <c:axId val="1994944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79731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0">
                  <c:v>7824</c:v>
                </c:pt>
                <c:pt idx="5">
                  <c:v>4976</c:v>
                </c:pt>
                <c:pt idx="6">
                  <c:v>5352</c:v>
                </c:pt>
                <c:pt idx="7">
                  <c:v>4681</c:v>
                </c:pt>
                <c:pt idx="9">
                  <c:v>3031</c:v>
                </c:pt>
                <c:pt idx="10">
                  <c:v>745</c:v>
                </c:pt>
                <c:pt idx="11">
                  <c:v>9478</c:v>
                </c:pt>
                <c:pt idx="12">
                  <c:v>9090</c:v>
                </c:pt>
                <c:pt idx="13">
                  <c:v>1629</c:v>
                </c:pt>
                <c:pt idx="14">
                  <c:v>1064</c:v>
                </c:pt>
                <c:pt idx="15">
                  <c:v>10284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7830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4980</c:v>
                </c:pt>
                <c:pt idx="6">
                  <c:v>5360</c:v>
                </c:pt>
                <c:pt idx="7">
                  <c:v>4681</c:v>
                </c:pt>
                <c:pt idx="8">
                  <c:v>140</c:v>
                </c:pt>
                <c:pt idx="9">
                  <c:v>3040</c:v>
                </c:pt>
                <c:pt idx="10">
                  <c:v>745</c:v>
                </c:pt>
                <c:pt idx="11">
                  <c:v>9480</c:v>
                </c:pt>
                <c:pt idx="12">
                  <c:v>9090</c:v>
                </c:pt>
                <c:pt idx="13">
                  <c:v>1630</c:v>
                </c:pt>
                <c:pt idx="14">
                  <c:v>1064</c:v>
                </c:pt>
                <c:pt idx="15">
                  <c:v>10284</c:v>
                </c:pt>
                <c:pt idx="16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84992"/>
        <c:axId val="199497344"/>
      </c:lineChart>
      <c:catAx>
        <c:axId val="200084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99497344"/>
        <c:crosses val="autoZero"/>
        <c:auto val="1"/>
        <c:lblAlgn val="ctr"/>
        <c:lblOffset val="100"/>
        <c:noMultiLvlLbl val="0"/>
      </c:catAx>
      <c:valAx>
        <c:axId val="1994973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0084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"/>
                <c:pt idx="0">
                  <c:v>83% 0% 0% 0% 0% 96% 100% 100% 0% 58% 17% 79% 88% 37% 25%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0.83269476372924645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0.95756358768406968</c:v>
                </c:pt>
                <c:pt idx="6">
                  <c:v>0.9985074626865672</c:v>
                </c:pt>
                <c:pt idx="7">
                  <c:v>1</c:v>
                </c:pt>
                <c:pt idx="8">
                  <c:v>0</c:v>
                </c:pt>
                <c:pt idx="9">
                  <c:v>0.58160635964912288</c:v>
                </c:pt>
                <c:pt idx="10">
                  <c:v>0.16666666666666666</c:v>
                </c:pt>
                <c:pt idx="11">
                  <c:v>0.79149964838255982</c:v>
                </c:pt>
                <c:pt idx="12">
                  <c:v>0.875</c:v>
                </c:pt>
                <c:pt idx="13">
                  <c:v>0.37476993865030672</c:v>
                </c:pt>
                <c:pt idx="14">
                  <c:v>0.25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0.52188722849656932</c:v>
                </c:pt>
                <c:pt idx="1">
                  <c:v>0.52188722849656932</c:v>
                </c:pt>
                <c:pt idx="2">
                  <c:v>0.52188722849656932</c:v>
                </c:pt>
                <c:pt idx="3">
                  <c:v>0.52188722849656932</c:v>
                </c:pt>
                <c:pt idx="4">
                  <c:v>0.52188722849656932</c:v>
                </c:pt>
                <c:pt idx="5">
                  <c:v>0.52188722849656932</c:v>
                </c:pt>
                <c:pt idx="6">
                  <c:v>0.52188722849656932</c:v>
                </c:pt>
                <c:pt idx="7">
                  <c:v>0.52188722849656932</c:v>
                </c:pt>
                <c:pt idx="8">
                  <c:v>0.52188722849656932</c:v>
                </c:pt>
                <c:pt idx="9">
                  <c:v>0.52188722849656932</c:v>
                </c:pt>
                <c:pt idx="10">
                  <c:v>0.52188722849656932</c:v>
                </c:pt>
                <c:pt idx="11">
                  <c:v>0.52188722849656932</c:v>
                </c:pt>
                <c:pt idx="12">
                  <c:v>0.52188722849656932</c:v>
                </c:pt>
                <c:pt idx="13">
                  <c:v>0.52188722849656932</c:v>
                </c:pt>
                <c:pt idx="14">
                  <c:v>0.52188722849656932</c:v>
                </c:pt>
                <c:pt idx="15">
                  <c:v>0.52188722849656932</c:v>
                </c:pt>
                <c:pt idx="16">
                  <c:v>0.52188722849656932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87040"/>
        <c:axId val="199499072"/>
      </c:lineChart>
      <c:catAx>
        <c:axId val="20008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99499072"/>
        <c:crosses val="autoZero"/>
        <c:auto val="1"/>
        <c:lblAlgn val="ctr"/>
        <c:lblOffset val="100"/>
        <c:noMultiLvlLbl val="0"/>
      </c:catAx>
      <c:valAx>
        <c:axId val="1994990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0087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0">
                  <c:v>7824</c:v>
                </c:pt>
                <c:pt idx="5">
                  <c:v>4976</c:v>
                </c:pt>
                <c:pt idx="6">
                  <c:v>5352</c:v>
                </c:pt>
                <c:pt idx="7">
                  <c:v>4681</c:v>
                </c:pt>
                <c:pt idx="9">
                  <c:v>3031</c:v>
                </c:pt>
                <c:pt idx="10">
                  <c:v>745</c:v>
                </c:pt>
                <c:pt idx="11">
                  <c:v>9478</c:v>
                </c:pt>
                <c:pt idx="12">
                  <c:v>9090</c:v>
                </c:pt>
                <c:pt idx="13">
                  <c:v>1629</c:v>
                </c:pt>
                <c:pt idx="14">
                  <c:v>1064</c:v>
                </c:pt>
                <c:pt idx="15">
                  <c:v>10284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7830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4980</c:v>
                </c:pt>
                <c:pt idx="6">
                  <c:v>5360</c:v>
                </c:pt>
                <c:pt idx="7">
                  <c:v>4681</c:v>
                </c:pt>
                <c:pt idx="8">
                  <c:v>140</c:v>
                </c:pt>
                <c:pt idx="9">
                  <c:v>3040</c:v>
                </c:pt>
                <c:pt idx="10">
                  <c:v>745</c:v>
                </c:pt>
                <c:pt idx="11">
                  <c:v>9480</c:v>
                </c:pt>
                <c:pt idx="12">
                  <c:v>9090</c:v>
                </c:pt>
                <c:pt idx="13">
                  <c:v>1630</c:v>
                </c:pt>
                <c:pt idx="14">
                  <c:v>1064</c:v>
                </c:pt>
                <c:pt idx="15">
                  <c:v>10284</c:v>
                </c:pt>
                <c:pt idx="16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87552"/>
        <c:axId val="208291520"/>
      </c:lineChart>
      <c:catAx>
        <c:axId val="2000875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8291520"/>
        <c:crosses val="autoZero"/>
        <c:auto val="1"/>
        <c:lblAlgn val="ctr"/>
        <c:lblOffset val="100"/>
        <c:noMultiLvlLbl val="0"/>
      </c:catAx>
      <c:valAx>
        <c:axId val="2082915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0087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"/>
                <c:pt idx="0">
                  <c:v>83% 0% 0% 0% 0% 96% 100% 100% 0% 58% 17% 79% 88% 37% 25%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0.83269476372924645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0.95756358768406968</c:v>
                </c:pt>
                <c:pt idx="6">
                  <c:v>0.9985074626865672</c:v>
                </c:pt>
                <c:pt idx="7">
                  <c:v>1</c:v>
                </c:pt>
                <c:pt idx="8">
                  <c:v>0</c:v>
                </c:pt>
                <c:pt idx="9">
                  <c:v>0.58160635964912288</c:v>
                </c:pt>
                <c:pt idx="10">
                  <c:v>0.16666666666666666</c:v>
                </c:pt>
                <c:pt idx="11">
                  <c:v>0.79149964838255982</c:v>
                </c:pt>
                <c:pt idx="12">
                  <c:v>0.875</c:v>
                </c:pt>
                <c:pt idx="13">
                  <c:v>0.37476993865030672</c:v>
                </c:pt>
                <c:pt idx="14">
                  <c:v>0.25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STOPPER</c:v>
                </c:pt>
                <c:pt idx="12">
                  <c:v>COVER</c:v>
                </c:pt>
                <c:pt idx="13">
                  <c:v>COVER</c:v>
                </c:pt>
                <c:pt idx="14">
                  <c:v>TOP/BOTTOM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0.52188722849656932</c:v>
                </c:pt>
                <c:pt idx="1">
                  <c:v>0.52188722849656932</c:v>
                </c:pt>
                <c:pt idx="2">
                  <c:v>0.52188722849656932</c:v>
                </c:pt>
                <c:pt idx="3">
                  <c:v>0.52188722849656932</c:v>
                </c:pt>
                <c:pt idx="4">
                  <c:v>0.52188722849656932</c:v>
                </c:pt>
                <c:pt idx="5">
                  <c:v>0.52188722849656932</c:v>
                </c:pt>
                <c:pt idx="6">
                  <c:v>0.52188722849656932</c:v>
                </c:pt>
                <c:pt idx="7">
                  <c:v>0.52188722849656932</c:v>
                </c:pt>
                <c:pt idx="8">
                  <c:v>0.52188722849656932</c:v>
                </c:pt>
                <c:pt idx="9">
                  <c:v>0.52188722849656932</c:v>
                </c:pt>
                <c:pt idx="10">
                  <c:v>0.52188722849656932</c:v>
                </c:pt>
                <c:pt idx="11">
                  <c:v>0.52188722849656932</c:v>
                </c:pt>
                <c:pt idx="12">
                  <c:v>0.52188722849656932</c:v>
                </c:pt>
                <c:pt idx="13">
                  <c:v>0.52188722849656932</c:v>
                </c:pt>
                <c:pt idx="14">
                  <c:v>0.52188722849656932</c:v>
                </c:pt>
                <c:pt idx="15">
                  <c:v>0.52188722849656932</c:v>
                </c:pt>
                <c:pt idx="16">
                  <c:v>0.52188722849656932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65024"/>
        <c:axId val="208293248"/>
      </c:lineChart>
      <c:catAx>
        <c:axId val="20006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8293248"/>
        <c:crosses val="autoZero"/>
        <c:auto val="1"/>
        <c:lblAlgn val="ctr"/>
        <c:lblOffset val="100"/>
        <c:noMultiLvlLbl val="0"/>
      </c:catAx>
      <c:valAx>
        <c:axId val="208293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0065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066560"/>
        <c:axId val="2082955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66560"/>
        <c:axId val="208295552"/>
      </c:lineChart>
      <c:catAx>
        <c:axId val="200066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95552"/>
        <c:crosses val="autoZero"/>
        <c:auto val="1"/>
        <c:lblAlgn val="ctr"/>
        <c:lblOffset val="100"/>
        <c:noMultiLvlLbl val="0"/>
      </c:catAx>
      <c:valAx>
        <c:axId val="2082955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00665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0">
                  <c:v>8528</c:v>
                </c:pt>
                <c:pt idx="5">
                  <c:v>5075</c:v>
                </c:pt>
                <c:pt idx="6">
                  <c:v>2923</c:v>
                </c:pt>
                <c:pt idx="10">
                  <c:v>9786</c:v>
                </c:pt>
                <c:pt idx="11">
                  <c:v>11220</c:v>
                </c:pt>
                <c:pt idx="13">
                  <c:v>5868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8530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5080</c:v>
                </c:pt>
                <c:pt idx="6">
                  <c:v>2930</c:v>
                </c:pt>
                <c:pt idx="7">
                  <c:v>4681</c:v>
                </c:pt>
                <c:pt idx="8">
                  <c:v>140</c:v>
                </c:pt>
                <c:pt idx="9">
                  <c:v>3040</c:v>
                </c:pt>
                <c:pt idx="10">
                  <c:v>9790</c:v>
                </c:pt>
                <c:pt idx="11">
                  <c:v>11220</c:v>
                </c:pt>
                <c:pt idx="12">
                  <c:v>1064</c:v>
                </c:pt>
                <c:pt idx="13">
                  <c:v>5870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7040"/>
        <c:axId val="200204864"/>
      </c:lineChart>
      <c:catAx>
        <c:axId val="2080870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0204864"/>
        <c:crosses val="autoZero"/>
        <c:auto val="1"/>
        <c:lblAlgn val="ctr"/>
        <c:lblOffset val="100"/>
        <c:noMultiLvlLbl val="0"/>
      </c:catAx>
      <c:valAx>
        <c:axId val="20020486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808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100% 0% 0% 0% 0% 100% 75% 0% 0% 0% 100% 100% 0%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0.99976553341148888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0.99901574803149606</c:v>
                </c:pt>
                <c:pt idx="6">
                  <c:v>0.7482081911262799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0.99959141981613897</c:v>
                </c:pt>
                <c:pt idx="11">
                  <c:v>1</c:v>
                </c:pt>
                <c:pt idx="12">
                  <c:v>0</c:v>
                </c:pt>
                <c:pt idx="13">
                  <c:v>0.83304940374787062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0.37197535307555163</c:v>
                </c:pt>
                <c:pt idx="1">
                  <c:v>0.37197535307555163</c:v>
                </c:pt>
                <c:pt idx="2">
                  <c:v>0.37197535307555163</c:v>
                </c:pt>
                <c:pt idx="3">
                  <c:v>0.37197535307555163</c:v>
                </c:pt>
                <c:pt idx="4">
                  <c:v>0.37197535307555163</c:v>
                </c:pt>
                <c:pt idx="5">
                  <c:v>0.37197535307555163</c:v>
                </c:pt>
                <c:pt idx="6">
                  <c:v>0.37197535307555163</c:v>
                </c:pt>
                <c:pt idx="7">
                  <c:v>0.37197535307555163</c:v>
                </c:pt>
                <c:pt idx="8">
                  <c:v>0.37197535307555163</c:v>
                </c:pt>
                <c:pt idx="9">
                  <c:v>0.37197535307555163</c:v>
                </c:pt>
                <c:pt idx="10">
                  <c:v>0.37197535307555163</c:v>
                </c:pt>
                <c:pt idx="11">
                  <c:v>0.37197535307555163</c:v>
                </c:pt>
                <c:pt idx="12">
                  <c:v>0.37197535307555163</c:v>
                </c:pt>
                <c:pt idx="13">
                  <c:v>0.37197535307555163</c:v>
                </c:pt>
                <c:pt idx="14">
                  <c:v>0.37197535307555163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8576"/>
        <c:axId val="200206592"/>
      </c:lineChart>
      <c:catAx>
        <c:axId val="20808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0206592"/>
        <c:crosses val="autoZero"/>
        <c:auto val="1"/>
        <c:lblAlgn val="ctr"/>
        <c:lblOffset val="100"/>
        <c:noMultiLvlLbl val="0"/>
      </c:catAx>
      <c:valAx>
        <c:axId val="200206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088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0">
                  <c:v>8528</c:v>
                </c:pt>
                <c:pt idx="5">
                  <c:v>5075</c:v>
                </c:pt>
                <c:pt idx="6">
                  <c:v>2923</c:v>
                </c:pt>
                <c:pt idx="10">
                  <c:v>9786</c:v>
                </c:pt>
                <c:pt idx="11">
                  <c:v>11220</c:v>
                </c:pt>
                <c:pt idx="13">
                  <c:v>5868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8530</c:v>
                </c:pt>
                <c:pt idx="1">
                  <c:v>1140</c:v>
                </c:pt>
                <c:pt idx="2">
                  <c:v>1124</c:v>
                </c:pt>
                <c:pt idx="3">
                  <c:v>1281</c:v>
                </c:pt>
                <c:pt idx="4">
                  <c:v>560</c:v>
                </c:pt>
                <c:pt idx="5">
                  <c:v>5080</c:v>
                </c:pt>
                <c:pt idx="6">
                  <c:v>2930</c:v>
                </c:pt>
                <c:pt idx="7">
                  <c:v>4681</c:v>
                </c:pt>
                <c:pt idx="8">
                  <c:v>140</c:v>
                </c:pt>
                <c:pt idx="9">
                  <c:v>3040</c:v>
                </c:pt>
                <c:pt idx="10">
                  <c:v>9790</c:v>
                </c:pt>
                <c:pt idx="11">
                  <c:v>11220</c:v>
                </c:pt>
                <c:pt idx="12">
                  <c:v>1064</c:v>
                </c:pt>
                <c:pt idx="13">
                  <c:v>5870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38240"/>
        <c:axId val="200208896"/>
      </c:lineChart>
      <c:catAx>
        <c:axId val="2081382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0208896"/>
        <c:crosses val="autoZero"/>
        <c:auto val="1"/>
        <c:lblAlgn val="ctr"/>
        <c:lblOffset val="100"/>
        <c:noMultiLvlLbl val="0"/>
      </c:catAx>
      <c:valAx>
        <c:axId val="2002088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8138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100% 0% 0% 0% 0% 100% 75% 0% 0% 0% 100% 100% 0%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0.99976553341148888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0.99901574803149606</c:v>
                </c:pt>
                <c:pt idx="6">
                  <c:v>0.7482081911262799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0.99959141981613897</c:v>
                </c:pt>
                <c:pt idx="11">
                  <c:v>1</c:v>
                </c:pt>
                <c:pt idx="12">
                  <c:v>0</c:v>
                </c:pt>
                <c:pt idx="13">
                  <c:v>0.83304940374787062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4"/>
                <c:pt idx="0">
                  <c:v>LEAD GUIDE</c:v>
                </c:pt>
                <c:pt idx="2">
                  <c:v>STOPPER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STOPPER</c:v>
                </c:pt>
                <c:pt idx="11">
                  <c:v>COVER</c:v>
                </c:pt>
                <c:pt idx="12">
                  <c:v>TOP/BOTTOM</c:v>
                </c:pt>
                <c:pt idx="13">
                  <c:v>BASE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0.37197535307555163</c:v>
                </c:pt>
                <c:pt idx="1">
                  <c:v>0.37197535307555163</c:v>
                </c:pt>
                <c:pt idx="2">
                  <c:v>0.37197535307555163</c:v>
                </c:pt>
                <c:pt idx="3">
                  <c:v>0.37197535307555163</c:v>
                </c:pt>
                <c:pt idx="4">
                  <c:v>0.37197535307555163</c:v>
                </c:pt>
                <c:pt idx="5">
                  <c:v>0.37197535307555163</c:v>
                </c:pt>
                <c:pt idx="6">
                  <c:v>0.37197535307555163</c:v>
                </c:pt>
                <c:pt idx="7">
                  <c:v>0.37197535307555163</c:v>
                </c:pt>
                <c:pt idx="8">
                  <c:v>0.37197535307555163</c:v>
                </c:pt>
                <c:pt idx="9">
                  <c:v>0.37197535307555163</c:v>
                </c:pt>
                <c:pt idx="10">
                  <c:v>0.37197535307555163</c:v>
                </c:pt>
                <c:pt idx="11">
                  <c:v>0.37197535307555163</c:v>
                </c:pt>
                <c:pt idx="12">
                  <c:v>0.37197535307555163</c:v>
                </c:pt>
                <c:pt idx="13">
                  <c:v>0.37197535307555163</c:v>
                </c:pt>
                <c:pt idx="14">
                  <c:v>0.37197535307555163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39264"/>
        <c:axId val="200210624"/>
      </c:lineChart>
      <c:catAx>
        <c:axId val="20813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0210624"/>
        <c:crosses val="autoZero"/>
        <c:auto val="1"/>
        <c:lblAlgn val="ctr"/>
        <c:lblOffset val="100"/>
        <c:noMultiLvlLbl val="0"/>
      </c:catAx>
      <c:valAx>
        <c:axId val="2002106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139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067072"/>
        <c:axId val="2081592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67072"/>
        <c:axId val="208159296"/>
      </c:lineChart>
      <c:catAx>
        <c:axId val="200067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59296"/>
        <c:crosses val="autoZero"/>
        <c:auto val="1"/>
        <c:lblAlgn val="ctr"/>
        <c:lblOffset val="100"/>
        <c:noMultiLvlLbl val="0"/>
      </c:catAx>
      <c:valAx>
        <c:axId val="2081592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00670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0">
                  <c:v>9796</c:v>
                </c:pt>
                <c:pt idx="2">
                  <c:v>1936</c:v>
                </c:pt>
                <c:pt idx="5">
                  <c:v>5432</c:v>
                </c:pt>
                <c:pt idx="6">
                  <c:v>3180</c:v>
                </c:pt>
                <c:pt idx="8">
                  <c:v>355</c:v>
                </c:pt>
                <c:pt idx="9">
                  <c:v>5027</c:v>
                </c:pt>
                <c:pt idx="10">
                  <c:v>10732</c:v>
                </c:pt>
                <c:pt idx="11">
                  <c:v>10898</c:v>
                </c:pt>
                <c:pt idx="12">
                  <c:v>767</c:v>
                </c:pt>
                <c:pt idx="13">
                  <c:v>9554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9800</c:v>
                </c:pt>
                <c:pt idx="1">
                  <c:v>1140</c:v>
                </c:pt>
                <c:pt idx="2">
                  <c:v>1940</c:v>
                </c:pt>
                <c:pt idx="3">
                  <c:v>1281</c:v>
                </c:pt>
                <c:pt idx="4">
                  <c:v>560</c:v>
                </c:pt>
                <c:pt idx="5">
                  <c:v>5440</c:v>
                </c:pt>
                <c:pt idx="6">
                  <c:v>3180</c:v>
                </c:pt>
                <c:pt idx="7">
                  <c:v>4681</c:v>
                </c:pt>
                <c:pt idx="8">
                  <c:v>355</c:v>
                </c:pt>
                <c:pt idx="9">
                  <c:v>5030</c:v>
                </c:pt>
                <c:pt idx="10">
                  <c:v>10740</c:v>
                </c:pt>
                <c:pt idx="11">
                  <c:v>10900</c:v>
                </c:pt>
                <c:pt idx="12">
                  <c:v>770</c:v>
                </c:pt>
                <c:pt idx="13">
                  <c:v>9560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2912"/>
        <c:axId val="208162176"/>
      </c:lineChart>
      <c:catAx>
        <c:axId val="2084229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8162176"/>
        <c:crosses val="autoZero"/>
        <c:auto val="1"/>
        <c:lblAlgn val="ctr"/>
        <c:lblOffset val="100"/>
        <c:noMultiLvlLbl val="0"/>
      </c:catAx>
      <c:valAx>
        <c:axId val="2081621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842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100% 0% 75% 0% 0% 100% 63% 0% 29% 83% 100% 100% 25%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0.99959183673469387</c:v>
                </c:pt>
                <c:pt idx="1">
                  <c:v>0</c:v>
                </c:pt>
                <c:pt idx="2">
                  <c:v>0.74845360824742269</c:v>
                </c:pt>
                <c:pt idx="3">
                  <c:v>0</c:v>
                </c:pt>
                <c:pt idx="4">
                  <c:v>0</c:v>
                </c:pt>
                <c:pt idx="5">
                  <c:v>0.99852941176470589</c:v>
                </c:pt>
                <c:pt idx="6">
                  <c:v>0.625</c:v>
                </c:pt>
                <c:pt idx="7">
                  <c:v>0</c:v>
                </c:pt>
                <c:pt idx="8">
                  <c:v>0.29166666666666669</c:v>
                </c:pt>
                <c:pt idx="9">
                  <c:v>0.83283631544068926</c:v>
                </c:pt>
                <c:pt idx="10">
                  <c:v>0.99925512104283054</c:v>
                </c:pt>
                <c:pt idx="11">
                  <c:v>0.99981651376146785</c:v>
                </c:pt>
                <c:pt idx="12">
                  <c:v>0.24902597402597404</c:v>
                </c:pt>
                <c:pt idx="13">
                  <c:v>0.91609135285913523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0.51068445336957247</c:v>
                </c:pt>
                <c:pt idx="1">
                  <c:v>0.51068445336957247</c:v>
                </c:pt>
                <c:pt idx="2">
                  <c:v>0.51068445336957247</c:v>
                </c:pt>
                <c:pt idx="3">
                  <c:v>0.51068445336957247</c:v>
                </c:pt>
                <c:pt idx="4">
                  <c:v>0.51068445336957247</c:v>
                </c:pt>
                <c:pt idx="5">
                  <c:v>0.51068445336957247</c:v>
                </c:pt>
                <c:pt idx="6">
                  <c:v>0.51068445336957247</c:v>
                </c:pt>
                <c:pt idx="7">
                  <c:v>0.51068445336957247</c:v>
                </c:pt>
                <c:pt idx="8">
                  <c:v>0.51068445336957247</c:v>
                </c:pt>
                <c:pt idx="9">
                  <c:v>0.51068445336957247</c:v>
                </c:pt>
                <c:pt idx="10">
                  <c:v>0.51068445336957247</c:v>
                </c:pt>
                <c:pt idx="11">
                  <c:v>0.51068445336957247</c:v>
                </c:pt>
                <c:pt idx="12">
                  <c:v>0.51068445336957247</c:v>
                </c:pt>
                <c:pt idx="13">
                  <c:v>0.51068445336957247</c:v>
                </c:pt>
                <c:pt idx="14">
                  <c:v>0.51068445336957247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3936"/>
        <c:axId val="208163904"/>
      </c:lineChart>
      <c:catAx>
        <c:axId val="20842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8163904"/>
        <c:crosses val="autoZero"/>
        <c:auto val="1"/>
        <c:lblAlgn val="ctr"/>
        <c:lblOffset val="100"/>
        <c:noMultiLvlLbl val="0"/>
      </c:catAx>
      <c:valAx>
        <c:axId val="2081639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42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'17'!$L$6:$L$20</c:f>
              <c:numCache>
                <c:formatCode>_(* #,##0_);_(* \(#,##0\);_(* "-"_);_(@_)</c:formatCode>
                <c:ptCount val="15"/>
                <c:pt idx="0">
                  <c:v>9796</c:v>
                </c:pt>
                <c:pt idx="2">
                  <c:v>1936</c:v>
                </c:pt>
                <c:pt idx="5">
                  <c:v>5432</c:v>
                </c:pt>
                <c:pt idx="6">
                  <c:v>3180</c:v>
                </c:pt>
                <c:pt idx="8">
                  <c:v>355</c:v>
                </c:pt>
                <c:pt idx="9">
                  <c:v>5027</c:v>
                </c:pt>
                <c:pt idx="10">
                  <c:v>10732</c:v>
                </c:pt>
                <c:pt idx="11">
                  <c:v>10898</c:v>
                </c:pt>
                <c:pt idx="12">
                  <c:v>767</c:v>
                </c:pt>
                <c:pt idx="13">
                  <c:v>9554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'17'!$J$6:$J$20</c:f>
              <c:numCache>
                <c:formatCode>_(* #,##0_);_(* \(#,##0\);_(* "-"_);_(@_)</c:formatCode>
                <c:ptCount val="15"/>
                <c:pt idx="0">
                  <c:v>9800</c:v>
                </c:pt>
                <c:pt idx="1">
                  <c:v>1140</c:v>
                </c:pt>
                <c:pt idx="2">
                  <c:v>1940</c:v>
                </c:pt>
                <c:pt idx="3">
                  <c:v>1281</c:v>
                </c:pt>
                <c:pt idx="4">
                  <c:v>560</c:v>
                </c:pt>
                <c:pt idx="5">
                  <c:v>5440</c:v>
                </c:pt>
                <c:pt idx="6">
                  <c:v>3180</c:v>
                </c:pt>
                <c:pt idx="7">
                  <c:v>4681</c:v>
                </c:pt>
                <c:pt idx="8">
                  <c:v>355</c:v>
                </c:pt>
                <c:pt idx="9">
                  <c:v>5030</c:v>
                </c:pt>
                <c:pt idx="10">
                  <c:v>10740</c:v>
                </c:pt>
                <c:pt idx="11">
                  <c:v>10900</c:v>
                </c:pt>
                <c:pt idx="12">
                  <c:v>770</c:v>
                </c:pt>
                <c:pt idx="13">
                  <c:v>9560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38336"/>
        <c:axId val="208166208"/>
      </c:lineChart>
      <c:catAx>
        <c:axId val="2122383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8166208"/>
        <c:crosses val="autoZero"/>
        <c:auto val="1"/>
        <c:lblAlgn val="ctr"/>
        <c:lblOffset val="100"/>
        <c:noMultiLvlLbl val="0"/>
      </c:catAx>
      <c:valAx>
        <c:axId val="2081662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238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'17'!$AD$6:$AD$20</c:f>
              <c:strCache>
                <c:ptCount val="1"/>
                <c:pt idx="0">
                  <c:v>100% 0% 75% 0% 0% 100% 63% 0% 29% 83% 100% 100% 25%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'17'!$AD$6:$AD$20</c:f>
              <c:numCache>
                <c:formatCode>0%</c:formatCode>
                <c:ptCount val="15"/>
                <c:pt idx="0">
                  <c:v>0.99959183673469387</c:v>
                </c:pt>
                <c:pt idx="1">
                  <c:v>0</c:v>
                </c:pt>
                <c:pt idx="2">
                  <c:v>0.74845360824742269</c:v>
                </c:pt>
                <c:pt idx="3">
                  <c:v>0</c:v>
                </c:pt>
                <c:pt idx="4">
                  <c:v>0</c:v>
                </c:pt>
                <c:pt idx="5">
                  <c:v>0.99852941176470589</c:v>
                </c:pt>
                <c:pt idx="6">
                  <c:v>0.625</c:v>
                </c:pt>
                <c:pt idx="7">
                  <c:v>0</c:v>
                </c:pt>
                <c:pt idx="8">
                  <c:v>0.29166666666666669</c:v>
                </c:pt>
                <c:pt idx="9">
                  <c:v>0.83283631544068926</c:v>
                </c:pt>
                <c:pt idx="10">
                  <c:v>0.99925512104283054</c:v>
                </c:pt>
                <c:pt idx="11">
                  <c:v>0.99981651376146785</c:v>
                </c:pt>
                <c:pt idx="12">
                  <c:v>0.24902597402597404</c:v>
                </c:pt>
                <c:pt idx="13">
                  <c:v>0.91609135285913523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'17'!$D$6:$D$20</c:f>
              <c:strCache>
                <c:ptCount val="14"/>
                <c:pt idx="0">
                  <c:v>LEAD GUIDE</c:v>
                </c:pt>
                <c:pt idx="3">
                  <c:v>BASE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2">
                  <c:v>M2 CONN</c:v>
                </c:pt>
                <c:pt idx="13">
                  <c:v>BASE</c:v>
                </c:pt>
              </c:strCache>
            </c:strRef>
          </c:cat>
          <c:val>
            <c:numRef>
              <c:f>'17'!$AE$6:$AE$20</c:f>
              <c:numCache>
                <c:formatCode>0%</c:formatCode>
                <c:ptCount val="15"/>
                <c:pt idx="0">
                  <c:v>0.51068445336957247</c:v>
                </c:pt>
                <c:pt idx="1">
                  <c:v>0.51068445336957247</c:v>
                </c:pt>
                <c:pt idx="2">
                  <c:v>0.51068445336957247</c:v>
                </c:pt>
                <c:pt idx="3">
                  <c:v>0.51068445336957247</c:v>
                </c:pt>
                <c:pt idx="4">
                  <c:v>0.51068445336957247</c:v>
                </c:pt>
                <c:pt idx="5">
                  <c:v>0.51068445336957247</c:v>
                </c:pt>
                <c:pt idx="6">
                  <c:v>0.51068445336957247</c:v>
                </c:pt>
                <c:pt idx="7">
                  <c:v>0.51068445336957247</c:v>
                </c:pt>
                <c:pt idx="8">
                  <c:v>0.51068445336957247</c:v>
                </c:pt>
                <c:pt idx="9">
                  <c:v>0.51068445336957247</c:v>
                </c:pt>
                <c:pt idx="10">
                  <c:v>0.51068445336957247</c:v>
                </c:pt>
                <c:pt idx="11">
                  <c:v>0.51068445336957247</c:v>
                </c:pt>
                <c:pt idx="12">
                  <c:v>0.51068445336957247</c:v>
                </c:pt>
                <c:pt idx="13">
                  <c:v>0.51068445336957247</c:v>
                </c:pt>
                <c:pt idx="14">
                  <c:v>0.51068445336957247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67008"/>
        <c:axId val="212313216"/>
      </c:lineChart>
      <c:catAx>
        <c:axId val="21226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2313216"/>
        <c:crosses val="autoZero"/>
        <c:auto val="1"/>
        <c:lblAlgn val="ctr"/>
        <c:lblOffset val="100"/>
        <c:noMultiLvlLbl val="0"/>
      </c:catAx>
      <c:valAx>
        <c:axId val="2123132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267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67520"/>
        <c:axId val="2123155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67520"/>
        <c:axId val="212315520"/>
      </c:lineChart>
      <c:catAx>
        <c:axId val="21226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15520"/>
        <c:crosses val="autoZero"/>
        <c:auto val="1"/>
        <c:lblAlgn val="ctr"/>
        <c:lblOffset val="100"/>
        <c:noMultiLvlLbl val="0"/>
      </c:catAx>
      <c:valAx>
        <c:axId val="2123155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2675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0">
                  <c:v>9830</c:v>
                </c:pt>
                <c:pt idx="2">
                  <c:v>3001</c:v>
                </c:pt>
                <c:pt idx="3">
                  <c:v>175776</c:v>
                </c:pt>
                <c:pt idx="5">
                  <c:v>4956</c:v>
                </c:pt>
                <c:pt idx="6">
                  <c:v>725</c:v>
                </c:pt>
                <c:pt idx="8">
                  <c:v>382</c:v>
                </c:pt>
                <c:pt idx="9">
                  <c:v>1208</c:v>
                </c:pt>
                <c:pt idx="10">
                  <c:v>10646</c:v>
                </c:pt>
                <c:pt idx="11">
                  <c:v>13158</c:v>
                </c:pt>
                <c:pt idx="12">
                  <c:v>3323</c:v>
                </c:pt>
                <c:pt idx="13">
                  <c:v>10974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9830</c:v>
                </c:pt>
                <c:pt idx="1">
                  <c:v>1140</c:v>
                </c:pt>
                <c:pt idx="2">
                  <c:v>3001</c:v>
                </c:pt>
                <c:pt idx="3">
                  <c:v>175776</c:v>
                </c:pt>
                <c:pt idx="4">
                  <c:v>560</c:v>
                </c:pt>
                <c:pt idx="5">
                  <c:v>4960</c:v>
                </c:pt>
                <c:pt idx="6">
                  <c:v>725</c:v>
                </c:pt>
                <c:pt idx="7">
                  <c:v>4681</c:v>
                </c:pt>
                <c:pt idx="8">
                  <c:v>382</c:v>
                </c:pt>
                <c:pt idx="9">
                  <c:v>1210</c:v>
                </c:pt>
                <c:pt idx="10">
                  <c:v>10650</c:v>
                </c:pt>
                <c:pt idx="11">
                  <c:v>13160</c:v>
                </c:pt>
                <c:pt idx="12">
                  <c:v>3330</c:v>
                </c:pt>
                <c:pt idx="13">
                  <c:v>10980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85920"/>
        <c:axId val="212318400"/>
      </c:lineChart>
      <c:catAx>
        <c:axId val="2215859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2318400"/>
        <c:crosses val="autoZero"/>
        <c:auto val="1"/>
        <c:lblAlgn val="ctr"/>
        <c:lblOffset val="100"/>
        <c:noMultiLvlLbl val="0"/>
      </c:catAx>
      <c:valAx>
        <c:axId val="2123184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1585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100% 0% 100% 92% 0% 100% 17% 0% 33% 25% 100% 100% 79%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</c:v>
                </c:pt>
                <c:pt idx="5">
                  <c:v>0.99919354838709673</c:v>
                </c:pt>
                <c:pt idx="6">
                  <c:v>0.16666666666666666</c:v>
                </c:pt>
                <c:pt idx="7">
                  <c:v>0</c:v>
                </c:pt>
                <c:pt idx="8">
                  <c:v>0.33333333333333331</c:v>
                </c:pt>
                <c:pt idx="9">
                  <c:v>0.24958677685950414</c:v>
                </c:pt>
                <c:pt idx="10">
                  <c:v>0.99962441314553996</c:v>
                </c:pt>
                <c:pt idx="11">
                  <c:v>0.99984802431610942</c:v>
                </c:pt>
                <c:pt idx="12">
                  <c:v>0.79000250250250248</c:v>
                </c:pt>
                <c:pt idx="13">
                  <c:v>0.99945355191256835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0.5636250322526658</c:v>
                </c:pt>
                <c:pt idx="1">
                  <c:v>0.5636250322526658</c:v>
                </c:pt>
                <c:pt idx="2">
                  <c:v>0.5636250322526658</c:v>
                </c:pt>
                <c:pt idx="3">
                  <c:v>0.5636250322526658</c:v>
                </c:pt>
                <c:pt idx="4">
                  <c:v>0.5636250322526658</c:v>
                </c:pt>
                <c:pt idx="5">
                  <c:v>0.5636250322526658</c:v>
                </c:pt>
                <c:pt idx="6">
                  <c:v>0.5636250322526658</c:v>
                </c:pt>
                <c:pt idx="7">
                  <c:v>0.5636250322526658</c:v>
                </c:pt>
                <c:pt idx="8">
                  <c:v>0.5636250322526658</c:v>
                </c:pt>
                <c:pt idx="9">
                  <c:v>0.5636250322526658</c:v>
                </c:pt>
                <c:pt idx="10">
                  <c:v>0.5636250322526658</c:v>
                </c:pt>
                <c:pt idx="11">
                  <c:v>0.5636250322526658</c:v>
                </c:pt>
                <c:pt idx="12">
                  <c:v>0.5636250322526658</c:v>
                </c:pt>
                <c:pt idx="13">
                  <c:v>0.5636250322526658</c:v>
                </c:pt>
                <c:pt idx="14">
                  <c:v>0.5636250322526658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587968"/>
        <c:axId val="221126656"/>
      </c:lineChart>
      <c:catAx>
        <c:axId val="22158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1126656"/>
        <c:crosses val="autoZero"/>
        <c:auto val="1"/>
        <c:lblAlgn val="ctr"/>
        <c:lblOffset val="100"/>
        <c:noMultiLvlLbl val="0"/>
      </c:catAx>
      <c:valAx>
        <c:axId val="221126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1587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0">
                  <c:v>9830</c:v>
                </c:pt>
                <c:pt idx="2">
                  <c:v>3001</c:v>
                </c:pt>
                <c:pt idx="3">
                  <c:v>175776</c:v>
                </c:pt>
                <c:pt idx="5">
                  <c:v>4956</c:v>
                </c:pt>
                <c:pt idx="6">
                  <c:v>725</c:v>
                </c:pt>
                <c:pt idx="8">
                  <c:v>382</c:v>
                </c:pt>
                <c:pt idx="9">
                  <c:v>1208</c:v>
                </c:pt>
                <c:pt idx="10">
                  <c:v>10646</c:v>
                </c:pt>
                <c:pt idx="11">
                  <c:v>13158</c:v>
                </c:pt>
                <c:pt idx="12">
                  <c:v>3323</c:v>
                </c:pt>
                <c:pt idx="13">
                  <c:v>10974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9830</c:v>
                </c:pt>
                <c:pt idx="1">
                  <c:v>1140</c:v>
                </c:pt>
                <c:pt idx="2">
                  <c:v>3001</c:v>
                </c:pt>
                <c:pt idx="3">
                  <c:v>175776</c:v>
                </c:pt>
                <c:pt idx="4">
                  <c:v>560</c:v>
                </c:pt>
                <c:pt idx="5">
                  <c:v>4960</c:v>
                </c:pt>
                <c:pt idx="6">
                  <c:v>725</c:v>
                </c:pt>
                <c:pt idx="7">
                  <c:v>4681</c:v>
                </c:pt>
                <c:pt idx="8">
                  <c:v>382</c:v>
                </c:pt>
                <c:pt idx="9">
                  <c:v>1210</c:v>
                </c:pt>
                <c:pt idx="10">
                  <c:v>10650</c:v>
                </c:pt>
                <c:pt idx="11">
                  <c:v>13160</c:v>
                </c:pt>
                <c:pt idx="12">
                  <c:v>3330</c:v>
                </c:pt>
                <c:pt idx="13">
                  <c:v>10980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21568"/>
        <c:axId val="221127808"/>
      </c:lineChart>
      <c:catAx>
        <c:axId val="2214215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21127808"/>
        <c:crosses val="autoZero"/>
        <c:auto val="1"/>
        <c:lblAlgn val="ctr"/>
        <c:lblOffset val="100"/>
        <c:noMultiLvlLbl val="0"/>
      </c:catAx>
      <c:valAx>
        <c:axId val="2211278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142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"/>
                <c:pt idx="0">
                  <c:v>100% 0% 100% 92% 0% 100% 17% 0% 33% 25% 100% 100% 79%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</c:v>
                </c:pt>
                <c:pt idx="5">
                  <c:v>0.99919354838709673</c:v>
                </c:pt>
                <c:pt idx="6">
                  <c:v>0.16666666666666666</c:v>
                </c:pt>
                <c:pt idx="7">
                  <c:v>0</c:v>
                </c:pt>
                <c:pt idx="8">
                  <c:v>0.33333333333333331</c:v>
                </c:pt>
                <c:pt idx="9">
                  <c:v>0.24958677685950414</c:v>
                </c:pt>
                <c:pt idx="10">
                  <c:v>0.99962441314553996</c:v>
                </c:pt>
                <c:pt idx="11">
                  <c:v>0.99984802431610942</c:v>
                </c:pt>
                <c:pt idx="12">
                  <c:v>0.79000250250250248</c:v>
                </c:pt>
                <c:pt idx="13">
                  <c:v>0.99945355191256835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'18'!$D$6:$D$20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MIDDLE</c:v>
                </c:pt>
                <c:pt idx="10">
                  <c:v>STOPPER</c:v>
                </c:pt>
                <c:pt idx="11">
                  <c:v>SAM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0.5636250322526658</c:v>
                </c:pt>
                <c:pt idx="1">
                  <c:v>0.5636250322526658</c:v>
                </c:pt>
                <c:pt idx="2">
                  <c:v>0.5636250322526658</c:v>
                </c:pt>
                <c:pt idx="3">
                  <c:v>0.5636250322526658</c:v>
                </c:pt>
                <c:pt idx="4">
                  <c:v>0.5636250322526658</c:v>
                </c:pt>
                <c:pt idx="5">
                  <c:v>0.5636250322526658</c:v>
                </c:pt>
                <c:pt idx="6">
                  <c:v>0.5636250322526658</c:v>
                </c:pt>
                <c:pt idx="7">
                  <c:v>0.5636250322526658</c:v>
                </c:pt>
                <c:pt idx="8">
                  <c:v>0.5636250322526658</c:v>
                </c:pt>
                <c:pt idx="9">
                  <c:v>0.5636250322526658</c:v>
                </c:pt>
                <c:pt idx="10">
                  <c:v>0.5636250322526658</c:v>
                </c:pt>
                <c:pt idx="11">
                  <c:v>0.5636250322526658</c:v>
                </c:pt>
                <c:pt idx="12">
                  <c:v>0.5636250322526658</c:v>
                </c:pt>
                <c:pt idx="13">
                  <c:v>0.5636250322526658</c:v>
                </c:pt>
                <c:pt idx="14">
                  <c:v>0.5636250322526658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22080"/>
        <c:axId val="221129536"/>
      </c:lineChart>
      <c:catAx>
        <c:axId val="22142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1129536"/>
        <c:crosses val="autoZero"/>
        <c:auto val="1"/>
        <c:lblAlgn val="ctr"/>
        <c:lblOffset val="100"/>
        <c:noMultiLvlLbl val="0"/>
      </c:catAx>
      <c:valAx>
        <c:axId val="2211295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1422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422592"/>
        <c:axId val="2211318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22592"/>
        <c:axId val="221131840"/>
      </c:lineChart>
      <c:catAx>
        <c:axId val="22142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21131840"/>
        <c:crosses val="autoZero"/>
        <c:auto val="1"/>
        <c:lblAlgn val="ctr"/>
        <c:lblOffset val="100"/>
        <c:noMultiLvlLbl val="0"/>
      </c:catAx>
      <c:valAx>
        <c:axId val="22113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14225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0">
                  <c:v>5024</c:v>
                </c:pt>
                <c:pt idx="2">
                  <c:v>2817</c:v>
                </c:pt>
                <c:pt idx="3">
                  <c:v>190144</c:v>
                </c:pt>
                <c:pt idx="5">
                  <c:v>5154</c:v>
                </c:pt>
                <c:pt idx="7">
                  <c:v>2616</c:v>
                </c:pt>
                <c:pt idx="9">
                  <c:v>2974</c:v>
                </c:pt>
                <c:pt idx="10">
                  <c:v>2528</c:v>
                </c:pt>
                <c:pt idx="11">
                  <c:v>8876</c:v>
                </c:pt>
                <c:pt idx="12">
                  <c:v>2168</c:v>
                </c:pt>
                <c:pt idx="13">
                  <c:v>10124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5030</c:v>
                </c:pt>
                <c:pt idx="1">
                  <c:v>1140</c:v>
                </c:pt>
                <c:pt idx="2">
                  <c:v>2820</c:v>
                </c:pt>
                <c:pt idx="3">
                  <c:v>190150</c:v>
                </c:pt>
                <c:pt idx="4">
                  <c:v>560</c:v>
                </c:pt>
                <c:pt idx="5">
                  <c:v>5160</c:v>
                </c:pt>
                <c:pt idx="6">
                  <c:v>725</c:v>
                </c:pt>
                <c:pt idx="7">
                  <c:v>2620</c:v>
                </c:pt>
                <c:pt idx="8">
                  <c:v>382</c:v>
                </c:pt>
                <c:pt idx="9">
                  <c:v>2980</c:v>
                </c:pt>
                <c:pt idx="10">
                  <c:v>2530</c:v>
                </c:pt>
                <c:pt idx="11">
                  <c:v>8880</c:v>
                </c:pt>
                <c:pt idx="12">
                  <c:v>2170</c:v>
                </c:pt>
                <c:pt idx="13">
                  <c:v>10130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395904"/>
        <c:axId val="222158848"/>
      </c:lineChart>
      <c:catAx>
        <c:axId val="2223959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22158848"/>
        <c:crosses val="autoZero"/>
        <c:auto val="1"/>
        <c:lblAlgn val="ctr"/>
        <c:lblOffset val="100"/>
        <c:noMultiLvlLbl val="0"/>
      </c:catAx>
      <c:valAx>
        <c:axId val="2221588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2395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58% 0% 100% 100% 0% 100% 0% 75% 0% 75% 58% 92% 46%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0.58263750828363159</c:v>
                </c:pt>
                <c:pt idx="1">
                  <c:v>0</c:v>
                </c:pt>
                <c:pt idx="2">
                  <c:v>0.99893617021276593</c:v>
                </c:pt>
                <c:pt idx="3">
                  <c:v>0.99996844596371282</c:v>
                </c:pt>
                <c:pt idx="4">
                  <c:v>0</c:v>
                </c:pt>
                <c:pt idx="5">
                  <c:v>0.99883720930232556</c:v>
                </c:pt>
                <c:pt idx="6">
                  <c:v>0</c:v>
                </c:pt>
                <c:pt idx="7">
                  <c:v>0.74885496183206113</c:v>
                </c:pt>
                <c:pt idx="8">
                  <c:v>0</c:v>
                </c:pt>
                <c:pt idx="9">
                  <c:v>0.74848993288590604</c:v>
                </c:pt>
                <c:pt idx="10">
                  <c:v>0.58287220026350461</c:v>
                </c:pt>
                <c:pt idx="11">
                  <c:v>0.91625375375375373</c:v>
                </c:pt>
                <c:pt idx="12">
                  <c:v>0.45791090629800307</c:v>
                </c:pt>
                <c:pt idx="13">
                  <c:v>0.99940769990128331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0.53561125257979647</c:v>
                </c:pt>
                <c:pt idx="1">
                  <c:v>0.53561125257979647</c:v>
                </c:pt>
                <c:pt idx="2">
                  <c:v>0.53561125257979647</c:v>
                </c:pt>
                <c:pt idx="3">
                  <c:v>0.53561125257979647</c:v>
                </c:pt>
                <c:pt idx="4">
                  <c:v>0.53561125257979647</c:v>
                </c:pt>
                <c:pt idx="5">
                  <c:v>0.53561125257979647</c:v>
                </c:pt>
                <c:pt idx="6">
                  <c:v>0.53561125257979647</c:v>
                </c:pt>
                <c:pt idx="7">
                  <c:v>0.53561125257979647</c:v>
                </c:pt>
                <c:pt idx="8">
                  <c:v>0.53561125257979647</c:v>
                </c:pt>
                <c:pt idx="9">
                  <c:v>0.53561125257979647</c:v>
                </c:pt>
                <c:pt idx="10">
                  <c:v>0.53561125257979647</c:v>
                </c:pt>
                <c:pt idx="11">
                  <c:v>0.53561125257979647</c:v>
                </c:pt>
                <c:pt idx="12">
                  <c:v>0.53561125257979647</c:v>
                </c:pt>
                <c:pt idx="13">
                  <c:v>0.53561125257979647</c:v>
                </c:pt>
                <c:pt idx="14">
                  <c:v>0.53561125257979647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405120"/>
        <c:axId val="222160576"/>
      </c:lineChart>
      <c:catAx>
        <c:axId val="22240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2160576"/>
        <c:crosses val="autoZero"/>
        <c:auto val="1"/>
        <c:lblAlgn val="ctr"/>
        <c:lblOffset val="100"/>
        <c:noMultiLvlLbl val="0"/>
      </c:catAx>
      <c:valAx>
        <c:axId val="2221605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2405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0">
                  <c:v>5024</c:v>
                </c:pt>
                <c:pt idx="2">
                  <c:v>2817</c:v>
                </c:pt>
                <c:pt idx="3">
                  <c:v>190144</c:v>
                </c:pt>
                <c:pt idx="5">
                  <c:v>5154</c:v>
                </c:pt>
                <c:pt idx="7">
                  <c:v>2616</c:v>
                </c:pt>
                <c:pt idx="9">
                  <c:v>2974</c:v>
                </c:pt>
                <c:pt idx="10">
                  <c:v>2528</c:v>
                </c:pt>
                <c:pt idx="11">
                  <c:v>8876</c:v>
                </c:pt>
                <c:pt idx="12">
                  <c:v>2168</c:v>
                </c:pt>
                <c:pt idx="13">
                  <c:v>10124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5030</c:v>
                </c:pt>
                <c:pt idx="1">
                  <c:v>1140</c:v>
                </c:pt>
                <c:pt idx="2">
                  <c:v>2820</c:v>
                </c:pt>
                <c:pt idx="3">
                  <c:v>190150</c:v>
                </c:pt>
                <c:pt idx="4">
                  <c:v>560</c:v>
                </c:pt>
                <c:pt idx="5">
                  <c:v>5160</c:v>
                </c:pt>
                <c:pt idx="6">
                  <c:v>725</c:v>
                </c:pt>
                <c:pt idx="7">
                  <c:v>2620</c:v>
                </c:pt>
                <c:pt idx="8">
                  <c:v>382</c:v>
                </c:pt>
                <c:pt idx="9">
                  <c:v>2980</c:v>
                </c:pt>
                <c:pt idx="10">
                  <c:v>2530</c:v>
                </c:pt>
                <c:pt idx="11">
                  <c:v>8880</c:v>
                </c:pt>
                <c:pt idx="12">
                  <c:v>2170</c:v>
                </c:pt>
                <c:pt idx="13">
                  <c:v>10130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406144"/>
        <c:axId val="222162880"/>
      </c:lineChart>
      <c:catAx>
        <c:axId val="2224061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22162880"/>
        <c:crosses val="autoZero"/>
        <c:auto val="1"/>
        <c:lblAlgn val="ctr"/>
        <c:lblOffset val="100"/>
        <c:noMultiLvlLbl val="0"/>
      </c:catAx>
      <c:valAx>
        <c:axId val="2221628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2406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"/>
                <c:pt idx="0">
                  <c:v>58% 0% 100% 100% 0% 100% 0% 75% 0% 75% 58% 92% 46%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0.58263750828363159</c:v>
                </c:pt>
                <c:pt idx="1">
                  <c:v>0</c:v>
                </c:pt>
                <c:pt idx="2">
                  <c:v>0.99893617021276593</c:v>
                </c:pt>
                <c:pt idx="3">
                  <c:v>0.99996844596371282</c:v>
                </c:pt>
                <c:pt idx="4">
                  <c:v>0</c:v>
                </c:pt>
                <c:pt idx="5">
                  <c:v>0.99883720930232556</c:v>
                </c:pt>
                <c:pt idx="6">
                  <c:v>0</c:v>
                </c:pt>
                <c:pt idx="7">
                  <c:v>0.74885496183206113</c:v>
                </c:pt>
                <c:pt idx="8">
                  <c:v>0</c:v>
                </c:pt>
                <c:pt idx="9">
                  <c:v>0.74848993288590604</c:v>
                </c:pt>
                <c:pt idx="10">
                  <c:v>0.58287220026350461</c:v>
                </c:pt>
                <c:pt idx="11">
                  <c:v>0.91625375375375373</c:v>
                </c:pt>
                <c:pt idx="12">
                  <c:v>0.45791090629800307</c:v>
                </c:pt>
                <c:pt idx="13">
                  <c:v>0.99940769990128331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'19'!$D$6:$D$20</c:f>
              <c:strCache>
                <c:ptCount val="14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SLIDER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BASE/UNDER</c:v>
                </c:pt>
                <c:pt idx="11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0.53561125257979647</c:v>
                </c:pt>
                <c:pt idx="1">
                  <c:v>0.53561125257979647</c:v>
                </c:pt>
                <c:pt idx="2">
                  <c:v>0.53561125257979647</c:v>
                </c:pt>
                <c:pt idx="3">
                  <c:v>0.53561125257979647</c:v>
                </c:pt>
                <c:pt idx="4">
                  <c:v>0.53561125257979647</c:v>
                </c:pt>
                <c:pt idx="5">
                  <c:v>0.53561125257979647</c:v>
                </c:pt>
                <c:pt idx="6">
                  <c:v>0.53561125257979647</c:v>
                </c:pt>
                <c:pt idx="7">
                  <c:v>0.53561125257979647</c:v>
                </c:pt>
                <c:pt idx="8">
                  <c:v>0.53561125257979647</c:v>
                </c:pt>
                <c:pt idx="9">
                  <c:v>0.53561125257979647</c:v>
                </c:pt>
                <c:pt idx="10">
                  <c:v>0.53561125257979647</c:v>
                </c:pt>
                <c:pt idx="11">
                  <c:v>0.53561125257979647</c:v>
                </c:pt>
                <c:pt idx="12">
                  <c:v>0.53561125257979647</c:v>
                </c:pt>
                <c:pt idx="13">
                  <c:v>0.53561125257979647</c:v>
                </c:pt>
                <c:pt idx="14">
                  <c:v>0.53561125257979647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406656"/>
        <c:axId val="222164608"/>
      </c:lineChart>
      <c:catAx>
        <c:axId val="22240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2164608"/>
        <c:crosses val="autoZero"/>
        <c:auto val="1"/>
        <c:lblAlgn val="ctr"/>
        <c:lblOffset val="100"/>
        <c:noMultiLvlLbl val="0"/>
      </c:catAx>
      <c:valAx>
        <c:axId val="2221646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240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407168"/>
        <c:axId val="22396928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407168"/>
        <c:axId val="223969280"/>
      </c:lineChart>
      <c:catAx>
        <c:axId val="222407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23969280"/>
        <c:crosses val="autoZero"/>
        <c:auto val="1"/>
        <c:lblAlgn val="ctr"/>
        <c:lblOffset val="100"/>
        <c:noMultiLvlLbl val="0"/>
      </c:catAx>
      <c:valAx>
        <c:axId val="2239692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24071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2396</c:v>
                </c:pt>
                <c:pt idx="2">
                  <c:v>2689</c:v>
                </c:pt>
                <c:pt idx="3">
                  <c:v>124128</c:v>
                </c:pt>
                <c:pt idx="5">
                  <c:v>2618</c:v>
                </c:pt>
                <c:pt idx="9">
                  <c:v>5940</c:v>
                </c:pt>
                <c:pt idx="10">
                  <c:v>3071</c:v>
                </c:pt>
                <c:pt idx="11">
                  <c:v>11048</c:v>
                </c:pt>
                <c:pt idx="12">
                  <c:v>4068</c:v>
                </c:pt>
                <c:pt idx="13">
                  <c:v>3112</c:v>
                </c:pt>
                <c:pt idx="14">
                  <c:v>3038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2400</c:v>
                </c:pt>
                <c:pt idx="1">
                  <c:v>1140</c:v>
                </c:pt>
                <c:pt idx="2">
                  <c:v>2690</c:v>
                </c:pt>
                <c:pt idx="3">
                  <c:v>124130</c:v>
                </c:pt>
                <c:pt idx="4">
                  <c:v>560</c:v>
                </c:pt>
                <c:pt idx="5">
                  <c:v>2620</c:v>
                </c:pt>
                <c:pt idx="6">
                  <c:v>725</c:v>
                </c:pt>
                <c:pt idx="7">
                  <c:v>2620</c:v>
                </c:pt>
                <c:pt idx="8">
                  <c:v>382</c:v>
                </c:pt>
                <c:pt idx="9">
                  <c:v>5940</c:v>
                </c:pt>
                <c:pt idx="10">
                  <c:v>3071</c:v>
                </c:pt>
                <c:pt idx="11">
                  <c:v>11050</c:v>
                </c:pt>
                <c:pt idx="12">
                  <c:v>4070</c:v>
                </c:pt>
                <c:pt idx="13">
                  <c:v>3120</c:v>
                </c:pt>
                <c:pt idx="14">
                  <c:v>3040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21600"/>
        <c:axId val="223972736"/>
      </c:lineChart>
      <c:catAx>
        <c:axId val="2249216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23972736"/>
        <c:crosses val="autoZero"/>
        <c:auto val="1"/>
        <c:lblAlgn val="ctr"/>
        <c:lblOffset val="100"/>
        <c:noMultiLvlLbl val="0"/>
      </c:catAx>
      <c:valAx>
        <c:axId val="2239727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492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75% 0% 96% 83% 0% 62% 0% 0% 0% 100% 71% 100% 96% 33% 62%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0.74875000000000003</c:v>
                </c:pt>
                <c:pt idx="1">
                  <c:v>0</c:v>
                </c:pt>
                <c:pt idx="2">
                  <c:v>0.95797707558859979</c:v>
                </c:pt>
                <c:pt idx="3">
                  <c:v>0.8333199065495851</c:v>
                </c:pt>
                <c:pt idx="4">
                  <c:v>0</c:v>
                </c:pt>
                <c:pt idx="5">
                  <c:v>0.62452290076335881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0.70833333333333337</c:v>
                </c:pt>
                <c:pt idx="11">
                  <c:v>0.99981900452488692</c:v>
                </c:pt>
                <c:pt idx="12">
                  <c:v>0.95786240786240784</c:v>
                </c:pt>
                <c:pt idx="13">
                  <c:v>0.33247863247863246</c:v>
                </c:pt>
                <c:pt idx="14">
                  <c:v>0.62458881578947367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0.51917680512601849</c:v>
                </c:pt>
                <c:pt idx="1">
                  <c:v>0.51917680512601849</c:v>
                </c:pt>
                <c:pt idx="2">
                  <c:v>0.51917680512601849</c:v>
                </c:pt>
                <c:pt idx="3">
                  <c:v>0.51917680512601849</c:v>
                </c:pt>
                <c:pt idx="4">
                  <c:v>0.51917680512601849</c:v>
                </c:pt>
                <c:pt idx="5">
                  <c:v>0.51917680512601849</c:v>
                </c:pt>
                <c:pt idx="6">
                  <c:v>0.51917680512601849</c:v>
                </c:pt>
                <c:pt idx="7">
                  <c:v>0.51917680512601849</c:v>
                </c:pt>
                <c:pt idx="8">
                  <c:v>0.51917680512601849</c:v>
                </c:pt>
                <c:pt idx="9">
                  <c:v>0.51917680512601849</c:v>
                </c:pt>
                <c:pt idx="10">
                  <c:v>0.51917680512601849</c:v>
                </c:pt>
                <c:pt idx="11">
                  <c:v>0.51917680512601849</c:v>
                </c:pt>
                <c:pt idx="12">
                  <c:v>0.51917680512601849</c:v>
                </c:pt>
                <c:pt idx="13">
                  <c:v>0.51917680512601849</c:v>
                </c:pt>
                <c:pt idx="14">
                  <c:v>0.51917680512601849</c:v>
                </c:pt>
                <c:pt idx="15">
                  <c:v>0.51917680512601849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23136"/>
        <c:axId val="223974464"/>
      </c:lineChart>
      <c:catAx>
        <c:axId val="22492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3974464"/>
        <c:crosses val="autoZero"/>
        <c:auto val="1"/>
        <c:lblAlgn val="ctr"/>
        <c:lblOffset val="100"/>
        <c:noMultiLvlLbl val="0"/>
      </c:catAx>
      <c:valAx>
        <c:axId val="2239744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492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0">
                  <c:v>2396</c:v>
                </c:pt>
                <c:pt idx="2">
                  <c:v>2689</c:v>
                </c:pt>
                <c:pt idx="3">
                  <c:v>124128</c:v>
                </c:pt>
                <c:pt idx="5">
                  <c:v>2618</c:v>
                </c:pt>
                <c:pt idx="9">
                  <c:v>5940</c:v>
                </c:pt>
                <c:pt idx="10">
                  <c:v>3071</c:v>
                </c:pt>
                <c:pt idx="11">
                  <c:v>11048</c:v>
                </c:pt>
                <c:pt idx="12">
                  <c:v>4068</c:v>
                </c:pt>
                <c:pt idx="13">
                  <c:v>3112</c:v>
                </c:pt>
                <c:pt idx="14">
                  <c:v>3038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2400</c:v>
                </c:pt>
                <c:pt idx="1">
                  <c:v>1140</c:v>
                </c:pt>
                <c:pt idx="2">
                  <c:v>2690</c:v>
                </c:pt>
                <c:pt idx="3">
                  <c:v>124130</c:v>
                </c:pt>
                <c:pt idx="4">
                  <c:v>560</c:v>
                </c:pt>
                <c:pt idx="5">
                  <c:v>2620</c:v>
                </c:pt>
                <c:pt idx="6">
                  <c:v>725</c:v>
                </c:pt>
                <c:pt idx="7">
                  <c:v>2620</c:v>
                </c:pt>
                <c:pt idx="8">
                  <c:v>382</c:v>
                </c:pt>
                <c:pt idx="9">
                  <c:v>5940</c:v>
                </c:pt>
                <c:pt idx="10">
                  <c:v>3071</c:v>
                </c:pt>
                <c:pt idx="11">
                  <c:v>11050</c:v>
                </c:pt>
                <c:pt idx="12">
                  <c:v>4070</c:v>
                </c:pt>
                <c:pt idx="13">
                  <c:v>3120</c:v>
                </c:pt>
                <c:pt idx="14">
                  <c:v>3040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76896"/>
        <c:axId val="223976768"/>
      </c:lineChart>
      <c:catAx>
        <c:axId val="2249768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23976768"/>
        <c:crosses val="autoZero"/>
        <c:auto val="1"/>
        <c:lblAlgn val="ctr"/>
        <c:lblOffset val="100"/>
        <c:noMultiLvlLbl val="0"/>
      </c:catAx>
      <c:valAx>
        <c:axId val="2239767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4976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"/>
                <c:pt idx="0">
                  <c:v>75% 0% 96% 83% 0% 62% 0% 0% 0% 100% 71% 100% 96% 33% 62%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0.74875000000000003</c:v>
                </c:pt>
                <c:pt idx="1">
                  <c:v>0</c:v>
                </c:pt>
                <c:pt idx="2">
                  <c:v>0.95797707558859979</c:v>
                </c:pt>
                <c:pt idx="3">
                  <c:v>0.8333199065495851</c:v>
                </c:pt>
                <c:pt idx="4">
                  <c:v>0</c:v>
                </c:pt>
                <c:pt idx="5">
                  <c:v>0.62452290076335881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0.70833333333333337</c:v>
                </c:pt>
                <c:pt idx="11">
                  <c:v>0.99981900452488692</c:v>
                </c:pt>
                <c:pt idx="12">
                  <c:v>0.95786240786240784</c:v>
                </c:pt>
                <c:pt idx="13">
                  <c:v>0.33247863247863246</c:v>
                </c:pt>
                <c:pt idx="14">
                  <c:v>0.62458881578947367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'23'!$D$6:$D$21</c:f>
              <c:strCache>
                <c:ptCount val="15"/>
                <c:pt idx="0">
                  <c:v>LEAD GUIDE</c:v>
                </c:pt>
                <c:pt idx="3">
                  <c:v>SHAFT</c:v>
                </c:pt>
                <c:pt idx="4">
                  <c:v>CORE BLOCK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F/ADAPTER</c:v>
                </c:pt>
                <c:pt idx="10">
                  <c:v>BODY</c:v>
                </c:pt>
                <c:pt idx="11">
                  <c:v>COVER</c:v>
                </c:pt>
                <c:pt idx="12">
                  <c:v>4LEAD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0.51917680512601849</c:v>
                </c:pt>
                <c:pt idx="1">
                  <c:v>0.51917680512601849</c:v>
                </c:pt>
                <c:pt idx="2">
                  <c:v>0.51917680512601849</c:v>
                </c:pt>
                <c:pt idx="3">
                  <c:v>0.51917680512601849</c:v>
                </c:pt>
                <c:pt idx="4">
                  <c:v>0.51917680512601849</c:v>
                </c:pt>
                <c:pt idx="5">
                  <c:v>0.51917680512601849</c:v>
                </c:pt>
                <c:pt idx="6">
                  <c:v>0.51917680512601849</c:v>
                </c:pt>
                <c:pt idx="7">
                  <c:v>0.51917680512601849</c:v>
                </c:pt>
                <c:pt idx="8">
                  <c:v>0.51917680512601849</c:v>
                </c:pt>
                <c:pt idx="9">
                  <c:v>0.51917680512601849</c:v>
                </c:pt>
                <c:pt idx="10">
                  <c:v>0.51917680512601849</c:v>
                </c:pt>
                <c:pt idx="11">
                  <c:v>0.51917680512601849</c:v>
                </c:pt>
                <c:pt idx="12">
                  <c:v>0.51917680512601849</c:v>
                </c:pt>
                <c:pt idx="13">
                  <c:v>0.51917680512601849</c:v>
                </c:pt>
                <c:pt idx="14">
                  <c:v>0.51917680512601849</c:v>
                </c:pt>
                <c:pt idx="15">
                  <c:v>0.51917680512601849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78432"/>
        <c:axId val="224322688"/>
      </c:lineChart>
      <c:catAx>
        <c:axId val="22497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4322688"/>
        <c:crosses val="autoZero"/>
        <c:auto val="1"/>
        <c:lblAlgn val="ctr"/>
        <c:lblOffset val="100"/>
        <c:noMultiLvlLbl val="0"/>
      </c:catAx>
      <c:valAx>
        <c:axId val="2243226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497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978944"/>
        <c:axId val="2243249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78944"/>
        <c:axId val="224324992"/>
      </c:lineChart>
      <c:catAx>
        <c:axId val="22497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24324992"/>
        <c:crosses val="autoZero"/>
        <c:auto val="1"/>
        <c:lblAlgn val="ctr"/>
        <c:lblOffset val="100"/>
        <c:noMultiLvlLbl val="0"/>
      </c:catAx>
      <c:valAx>
        <c:axId val="224324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497894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3204</c:v>
                </c:pt>
                <c:pt idx="2">
                  <c:v>464</c:v>
                </c:pt>
                <c:pt idx="3">
                  <c:v>4540</c:v>
                </c:pt>
                <c:pt idx="4">
                  <c:v>219232</c:v>
                </c:pt>
                <c:pt idx="6">
                  <c:v>4555</c:v>
                </c:pt>
                <c:pt idx="10">
                  <c:v>2357</c:v>
                </c:pt>
                <c:pt idx="11">
                  <c:v>5273</c:v>
                </c:pt>
                <c:pt idx="13">
                  <c:v>5135</c:v>
                </c:pt>
                <c:pt idx="14">
                  <c:v>5379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3204</c:v>
                </c:pt>
                <c:pt idx="1">
                  <c:v>1140</c:v>
                </c:pt>
                <c:pt idx="2">
                  <c:v>470</c:v>
                </c:pt>
                <c:pt idx="3">
                  <c:v>4540</c:v>
                </c:pt>
                <c:pt idx="4">
                  <c:v>219240</c:v>
                </c:pt>
                <c:pt idx="5">
                  <c:v>560</c:v>
                </c:pt>
                <c:pt idx="6">
                  <c:v>4560</c:v>
                </c:pt>
                <c:pt idx="7">
                  <c:v>725</c:v>
                </c:pt>
                <c:pt idx="8">
                  <c:v>2620</c:v>
                </c:pt>
                <c:pt idx="9">
                  <c:v>382</c:v>
                </c:pt>
                <c:pt idx="10">
                  <c:v>2360</c:v>
                </c:pt>
                <c:pt idx="11">
                  <c:v>5280</c:v>
                </c:pt>
                <c:pt idx="12">
                  <c:v>11050</c:v>
                </c:pt>
                <c:pt idx="13">
                  <c:v>5140</c:v>
                </c:pt>
                <c:pt idx="14">
                  <c:v>5380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669632"/>
        <c:axId val="224327872"/>
      </c:lineChart>
      <c:catAx>
        <c:axId val="2256696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24327872"/>
        <c:crosses val="autoZero"/>
        <c:auto val="1"/>
        <c:lblAlgn val="ctr"/>
        <c:lblOffset val="100"/>
        <c:noMultiLvlLbl val="0"/>
      </c:catAx>
      <c:valAx>
        <c:axId val="2243278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5669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79% 0% 16% 79% 100% 0% 96% 0% 0% 0% 58%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</c:v>
                </c:pt>
                <c:pt idx="2">
                  <c:v>0.16453900709219857</c:v>
                </c:pt>
                <c:pt idx="3">
                  <c:v>0.79166666666666663</c:v>
                </c:pt>
                <c:pt idx="4">
                  <c:v>0.99996351030833786</c:v>
                </c:pt>
                <c:pt idx="5">
                  <c:v>0</c:v>
                </c:pt>
                <c:pt idx="6">
                  <c:v>0.95728252923976609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0.58259180790960463</c:v>
                </c:pt>
                <c:pt idx="11">
                  <c:v>0.99867424242424241</c:v>
                </c:pt>
                <c:pt idx="12">
                  <c:v>0</c:v>
                </c:pt>
                <c:pt idx="13">
                  <c:v>0.99902723735408561</c:v>
                </c:pt>
                <c:pt idx="14">
                  <c:v>0.99981412639405209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0.48568171960370804</c:v>
                </c:pt>
                <c:pt idx="1">
                  <c:v>0.48568171960370804</c:v>
                </c:pt>
                <c:pt idx="2">
                  <c:v>0.48568171960370804</c:v>
                </c:pt>
                <c:pt idx="3">
                  <c:v>0.48568171960370804</c:v>
                </c:pt>
                <c:pt idx="4">
                  <c:v>0.48568171960370804</c:v>
                </c:pt>
                <c:pt idx="5">
                  <c:v>0.48568171960370804</c:v>
                </c:pt>
                <c:pt idx="6">
                  <c:v>0.99981412639405209</c:v>
                </c:pt>
                <c:pt idx="7">
                  <c:v>0.48568171960370804</c:v>
                </c:pt>
                <c:pt idx="8">
                  <c:v>0.48568171960370804</c:v>
                </c:pt>
                <c:pt idx="9">
                  <c:v>0.48568171960370804</c:v>
                </c:pt>
                <c:pt idx="10">
                  <c:v>0.48568171960370804</c:v>
                </c:pt>
                <c:pt idx="11">
                  <c:v>0.48568171960370804</c:v>
                </c:pt>
                <c:pt idx="12">
                  <c:v>0.48568171960370804</c:v>
                </c:pt>
                <c:pt idx="13">
                  <c:v>0.48568171960370804</c:v>
                </c:pt>
                <c:pt idx="14">
                  <c:v>0.48568171960370804</c:v>
                </c:pt>
                <c:pt idx="15">
                  <c:v>0.48568171960370804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671680"/>
        <c:axId val="224272384"/>
      </c:lineChart>
      <c:catAx>
        <c:axId val="22567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4272384"/>
        <c:crosses val="autoZero"/>
        <c:auto val="1"/>
        <c:lblAlgn val="ctr"/>
        <c:lblOffset val="100"/>
        <c:noMultiLvlLbl val="0"/>
      </c:catAx>
      <c:valAx>
        <c:axId val="2242723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567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'24'!$L$6:$L$21</c:f>
              <c:numCache>
                <c:formatCode>_(* #,##0_);_(* \(#,##0\);_(* "-"_);_(@_)</c:formatCode>
                <c:ptCount val="16"/>
                <c:pt idx="0">
                  <c:v>3204</c:v>
                </c:pt>
                <c:pt idx="2">
                  <c:v>464</c:v>
                </c:pt>
                <c:pt idx="3">
                  <c:v>4540</c:v>
                </c:pt>
                <c:pt idx="4">
                  <c:v>219232</c:v>
                </c:pt>
                <c:pt idx="6">
                  <c:v>4555</c:v>
                </c:pt>
                <c:pt idx="10">
                  <c:v>2357</c:v>
                </c:pt>
                <c:pt idx="11">
                  <c:v>5273</c:v>
                </c:pt>
                <c:pt idx="13">
                  <c:v>5135</c:v>
                </c:pt>
                <c:pt idx="14">
                  <c:v>5379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'24'!$J$6:$J$21</c:f>
              <c:numCache>
                <c:formatCode>_(* #,##0_);_(* \(#,##0\);_(* "-"_);_(@_)</c:formatCode>
                <c:ptCount val="16"/>
                <c:pt idx="0">
                  <c:v>3204</c:v>
                </c:pt>
                <c:pt idx="1">
                  <c:v>1140</c:v>
                </c:pt>
                <c:pt idx="2">
                  <c:v>470</c:v>
                </c:pt>
                <c:pt idx="3">
                  <c:v>4540</c:v>
                </c:pt>
                <c:pt idx="4">
                  <c:v>219240</c:v>
                </c:pt>
                <c:pt idx="5">
                  <c:v>560</c:v>
                </c:pt>
                <c:pt idx="6">
                  <c:v>4560</c:v>
                </c:pt>
                <c:pt idx="7">
                  <c:v>725</c:v>
                </c:pt>
                <c:pt idx="8">
                  <c:v>2620</c:v>
                </c:pt>
                <c:pt idx="9">
                  <c:v>382</c:v>
                </c:pt>
                <c:pt idx="10">
                  <c:v>2360</c:v>
                </c:pt>
                <c:pt idx="11">
                  <c:v>5280</c:v>
                </c:pt>
                <c:pt idx="12">
                  <c:v>11050</c:v>
                </c:pt>
                <c:pt idx="13">
                  <c:v>5140</c:v>
                </c:pt>
                <c:pt idx="14">
                  <c:v>5380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672192"/>
        <c:axId val="224274688"/>
      </c:lineChart>
      <c:catAx>
        <c:axId val="2256721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24274688"/>
        <c:crosses val="autoZero"/>
        <c:auto val="1"/>
        <c:lblAlgn val="ctr"/>
        <c:lblOffset val="100"/>
        <c:noMultiLvlLbl val="0"/>
      </c:catAx>
      <c:valAx>
        <c:axId val="2242746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25672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'24'!$AD$6:$AD$21</c:f>
              <c:strCache>
                <c:ptCount val="1"/>
                <c:pt idx="0">
                  <c:v>79% 0% 16% 79% 100% 0% 96% 0% 0% 0% 58%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'24'!$AD$6:$AD$21</c:f>
              <c:numCache>
                <c:formatCode>0%</c:formatCode>
                <c:ptCount val="16"/>
                <c:pt idx="0">
                  <c:v>0.79166666666666663</c:v>
                </c:pt>
                <c:pt idx="1">
                  <c:v>0</c:v>
                </c:pt>
                <c:pt idx="2">
                  <c:v>0.16453900709219857</c:v>
                </c:pt>
                <c:pt idx="3">
                  <c:v>0.79166666666666663</c:v>
                </c:pt>
                <c:pt idx="4">
                  <c:v>0.99996351030833786</c:v>
                </c:pt>
                <c:pt idx="5">
                  <c:v>0</c:v>
                </c:pt>
                <c:pt idx="6">
                  <c:v>0.95728252923976609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0.58259180790960463</c:v>
                </c:pt>
                <c:pt idx="11">
                  <c:v>0.99867424242424241</c:v>
                </c:pt>
                <c:pt idx="12">
                  <c:v>0</c:v>
                </c:pt>
                <c:pt idx="13">
                  <c:v>0.99902723735408561</c:v>
                </c:pt>
                <c:pt idx="14">
                  <c:v>0.99981412639405209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'24'!$D$6:$D$21</c:f>
              <c:strCache>
                <c:ptCount val="15"/>
                <c:pt idx="0">
                  <c:v>LEAD GUIDE</c:v>
                </c:pt>
                <c:pt idx="3">
                  <c:v>STOPPER</c:v>
                </c:pt>
                <c:pt idx="4">
                  <c:v>SHAFT</c:v>
                </c:pt>
                <c:pt idx="5">
                  <c:v>CORE BLOCK</c:v>
                </c:pt>
                <c:pt idx="6">
                  <c:v>SLIDER</c:v>
                </c:pt>
                <c:pt idx="7">
                  <c:v>STOPPER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COVER</c:v>
                </c:pt>
                <c:pt idx="13">
                  <c:v>4LEAD</c:v>
                </c:pt>
                <c:pt idx="14">
                  <c:v>BASE</c:v>
                </c:pt>
              </c:strCache>
            </c:strRef>
          </c:cat>
          <c:val>
            <c:numRef>
              <c:f>'24'!$AE$6:$AE$21</c:f>
              <c:numCache>
                <c:formatCode>0%</c:formatCode>
                <c:ptCount val="16"/>
                <c:pt idx="0">
                  <c:v>0.48568171960370804</c:v>
                </c:pt>
                <c:pt idx="1">
                  <c:v>0.48568171960370804</c:v>
                </c:pt>
                <c:pt idx="2">
                  <c:v>0.48568171960370804</c:v>
                </c:pt>
                <c:pt idx="3">
                  <c:v>0.48568171960370804</c:v>
                </c:pt>
                <c:pt idx="4">
                  <c:v>0.48568171960370804</c:v>
                </c:pt>
                <c:pt idx="5">
                  <c:v>0.48568171960370804</c:v>
                </c:pt>
                <c:pt idx="6">
                  <c:v>0.99981412639405209</c:v>
                </c:pt>
                <c:pt idx="7">
                  <c:v>0.48568171960370804</c:v>
                </c:pt>
                <c:pt idx="8">
                  <c:v>0.48568171960370804</c:v>
                </c:pt>
                <c:pt idx="9">
                  <c:v>0.48568171960370804</c:v>
                </c:pt>
                <c:pt idx="10">
                  <c:v>0.48568171960370804</c:v>
                </c:pt>
                <c:pt idx="11">
                  <c:v>0.48568171960370804</c:v>
                </c:pt>
                <c:pt idx="12">
                  <c:v>0.48568171960370804</c:v>
                </c:pt>
                <c:pt idx="13">
                  <c:v>0.48568171960370804</c:v>
                </c:pt>
                <c:pt idx="14">
                  <c:v>0.48568171960370804</c:v>
                </c:pt>
                <c:pt idx="15">
                  <c:v>0.48568171960370804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733504"/>
        <c:axId val="224276416"/>
      </c:lineChart>
      <c:catAx>
        <c:axId val="22773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24276416"/>
        <c:crosses val="autoZero"/>
        <c:auto val="1"/>
        <c:lblAlgn val="ctr"/>
        <c:lblOffset val="100"/>
        <c:noMultiLvlLbl val="0"/>
      </c:catAx>
      <c:valAx>
        <c:axId val="224276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7733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734016"/>
        <c:axId val="2242787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734016"/>
        <c:axId val="224278720"/>
      </c:lineChart>
      <c:catAx>
        <c:axId val="22773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24278720"/>
        <c:crosses val="autoZero"/>
        <c:auto val="1"/>
        <c:lblAlgn val="ctr"/>
        <c:lblOffset val="100"/>
        <c:noMultiLvlLbl val="0"/>
      </c:catAx>
      <c:valAx>
        <c:axId val="2242787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77340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0">
                  <c:v>5287</c:v>
                </c:pt>
                <c:pt idx="1">
                  <c:v>12624</c:v>
                </c:pt>
                <c:pt idx="2">
                  <c:v>6070</c:v>
                </c:pt>
                <c:pt idx="3">
                  <c:v>1106</c:v>
                </c:pt>
                <c:pt idx="5">
                  <c:v>5599</c:v>
                </c:pt>
                <c:pt idx="6">
                  <c:v>1023</c:v>
                </c:pt>
                <c:pt idx="7">
                  <c:v>667</c:v>
                </c:pt>
                <c:pt idx="8">
                  <c:v>3630</c:v>
                </c:pt>
                <c:pt idx="11">
                  <c:v>4738</c:v>
                </c:pt>
                <c:pt idx="12">
                  <c:v>520</c:v>
                </c:pt>
                <c:pt idx="13">
                  <c:v>1610</c:v>
                </c:pt>
                <c:pt idx="14">
                  <c:v>1092</c:v>
                </c:pt>
                <c:pt idx="15">
                  <c:v>5456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5290</c:v>
                </c:pt>
                <c:pt idx="1">
                  <c:v>12630</c:v>
                </c:pt>
                <c:pt idx="2">
                  <c:v>6070</c:v>
                </c:pt>
                <c:pt idx="3">
                  <c:v>1110</c:v>
                </c:pt>
                <c:pt idx="4">
                  <c:v>560</c:v>
                </c:pt>
                <c:pt idx="5">
                  <c:v>5600</c:v>
                </c:pt>
                <c:pt idx="6">
                  <c:v>1030</c:v>
                </c:pt>
                <c:pt idx="7">
                  <c:v>667</c:v>
                </c:pt>
                <c:pt idx="8">
                  <c:v>3630</c:v>
                </c:pt>
                <c:pt idx="9">
                  <c:v>382</c:v>
                </c:pt>
                <c:pt idx="10">
                  <c:v>2360</c:v>
                </c:pt>
                <c:pt idx="11">
                  <c:v>4740</c:v>
                </c:pt>
                <c:pt idx="12">
                  <c:v>520</c:v>
                </c:pt>
                <c:pt idx="13">
                  <c:v>1610</c:v>
                </c:pt>
                <c:pt idx="14">
                  <c:v>1092</c:v>
                </c:pt>
                <c:pt idx="15">
                  <c:v>5460</c:v>
                </c:pt>
                <c:pt idx="16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14816"/>
        <c:axId val="230408768"/>
      </c:lineChart>
      <c:catAx>
        <c:axId val="2301148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0408768"/>
        <c:crosses val="autoZero"/>
        <c:auto val="1"/>
        <c:lblAlgn val="ctr"/>
        <c:lblOffset val="100"/>
        <c:noMultiLvlLbl val="0"/>
      </c:catAx>
      <c:valAx>
        <c:axId val="2304087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0114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"/>
                <c:pt idx="0">
                  <c:v>100% 67% 100% 29% 0% 100% 29% 17% 79% 0% 0% 100% 17% 29% 29%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0.99943289224952736</c:v>
                </c:pt>
                <c:pt idx="1">
                  <c:v>0.66634996041171812</c:v>
                </c:pt>
                <c:pt idx="2">
                  <c:v>1</c:v>
                </c:pt>
                <c:pt idx="3">
                  <c:v>0.29061561561561566</c:v>
                </c:pt>
                <c:pt idx="4">
                  <c:v>0</c:v>
                </c:pt>
                <c:pt idx="5">
                  <c:v>0.99982142857142853</c:v>
                </c:pt>
                <c:pt idx="6">
                  <c:v>0.2896844660194175</c:v>
                </c:pt>
                <c:pt idx="7">
                  <c:v>0.16666666666666666</c:v>
                </c:pt>
                <c:pt idx="8">
                  <c:v>0.79166666666666663</c:v>
                </c:pt>
                <c:pt idx="9">
                  <c:v>0</c:v>
                </c:pt>
                <c:pt idx="10">
                  <c:v>0</c:v>
                </c:pt>
                <c:pt idx="11">
                  <c:v>0.99957805907172992</c:v>
                </c:pt>
                <c:pt idx="12">
                  <c:v>0.16666666666666666</c:v>
                </c:pt>
                <c:pt idx="13">
                  <c:v>0.29166666666666669</c:v>
                </c:pt>
                <c:pt idx="14">
                  <c:v>0.29166666666666669</c:v>
                </c:pt>
                <c:pt idx="15">
                  <c:v>0.99926739926739927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0.53020554363601147</c:v>
                </c:pt>
                <c:pt idx="1">
                  <c:v>0.53020554363601147</c:v>
                </c:pt>
                <c:pt idx="2">
                  <c:v>0.53020554363601147</c:v>
                </c:pt>
                <c:pt idx="3">
                  <c:v>0.53020554363601147</c:v>
                </c:pt>
                <c:pt idx="4">
                  <c:v>0.53020554363601147</c:v>
                </c:pt>
                <c:pt idx="5">
                  <c:v>0.99926739926739927</c:v>
                </c:pt>
                <c:pt idx="6">
                  <c:v>0.53020554363601147</c:v>
                </c:pt>
                <c:pt idx="7">
                  <c:v>0.53020554363601147</c:v>
                </c:pt>
                <c:pt idx="8">
                  <c:v>0.53020554363601147</c:v>
                </c:pt>
                <c:pt idx="9">
                  <c:v>0.53020554363601147</c:v>
                </c:pt>
                <c:pt idx="10">
                  <c:v>0.53020554363601147</c:v>
                </c:pt>
                <c:pt idx="11">
                  <c:v>0.53020554363601147</c:v>
                </c:pt>
                <c:pt idx="12">
                  <c:v>0.53020554363601147</c:v>
                </c:pt>
                <c:pt idx="13">
                  <c:v>0.53020554363601147</c:v>
                </c:pt>
                <c:pt idx="14">
                  <c:v>0.53020554363601147</c:v>
                </c:pt>
                <c:pt idx="15">
                  <c:v>0.53020554363601147</c:v>
                </c:pt>
                <c:pt idx="16">
                  <c:v>0.53020554363601147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15840"/>
        <c:axId val="230410496"/>
      </c:lineChart>
      <c:catAx>
        <c:axId val="23011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0410496"/>
        <c:crosses val="autoZero"/>
        <c:auto val="1"/>
        <c:lblAlgn val="ctr"/>
        <c:lblOffset val="100"/>
        <c:noMultiLvlLbl val="0"/>
      </c:catAx>
      <c:valAx>
        <c:axId val="2304104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011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'25'!$L$6:$L$22</c:f>
              <c:numCache>
                <c:formatCode>_(* #,##0_);_(* \(#,##0\);_(* "-"_);_(@_)</c:formatCode>
                <c:ptCount val="17"/>
                <c:pt idx="0">
                  <c:v>5287</c:v>
                </c:pt>
                <c:pt idx="1">
                  <c:v>12624</c:v>
                </c:pt>
                <c:pt idx="2">
                  <c:v>6070</c:v>
                </c:pt>
                <c:pt idx="3">
                  <c:v>1106</c:v>
                </c:pt>
                <c:pt idx="5">
                  <c:v>5599</c:v>
                </c:pt>
                <c:pt idx="6">
                  <c:v>1023</c:v>
                </c:pt>
                <c:pt idx="7">
                  <c:v>667</c:v>
                </c:pt>
                <c:pt idx="8">
                  <c:v>3630</c:v>
                </c:pt>
                <c:pt idx="11">
                  <c:v>4738</c:v>
                </c:pt>
                <c:pt idx="12">
                  <c:v>520</c:v>
                </c:pt>
                <c:pt idx="13">
                  <c:v>1610</c:v>
                </c:pt>
                <c:pt idx="14">
                  <c:v>1092</c:v>
                </c:pt>
                <c:pt idx="15">
                  <c:v>5456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'25'!$J$6:$J$22</c:f>
              <c:numCache>
                <c:formatCode>_(* #,##0_);_(* \(#,##0\);_(* "-"_);_(@_)</c:formatCode>
                <c:ptCount val="17"/>
                <c:pt idx="0">
                  <c:v>5290</c:v>
                </c:pt>
                <c:pt idx="1">
                  <c:v>12630</c:v>
                </c:pt>
                <c:pt idx="2">
                  <c:v>6070</c:v>
                </c:pt>
                <c:pt idx="3">
                  <c:v>1110</c:v>
                </c:pt>
                <c:pt idx="4">
                  <c:v>560</c:v>
                </c:pt>
                <c:pt idx="5">
                  <c:v>5600</c:v>
                </c:pt>
                <c:pt idx="6">
                  <c:v>1030</c:v>
                </c:pt>
                <c:pt idx="7">
                  <c:v>667</c:v>
                </c:pt>
                <c:pt idx="8">
                  <c:v>3630</c:v>
                </c:pt>
                <c:pt idx="9">
                  <c:v>382</c:v>
                </c:pt>
                <c:pt idx="10">
                  <c:v>2360</c:v>
                </c:pt>
                <c:pt idx="11">
                  <c:v>4740</c:v>
                </c:pt>
                <c:pt idx="12">
                  <c:v>520</c:v>
                </c:pt>
                <c:pt idx="13">
                  <c:v>1610</c:v>
                </c:pt>
                <c:pt idx="14">
                  <c:v>1092</c:v>
                </c:pt>
                <c:pt idx="15">
                  <c:v>5460</c:v>
                </c:pt>
                <c:pt idx="16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16864"/>
        <c:axId val="230412800"/>
      </c:lineChart>
      <c:catAx>
        <c:axId val="2301168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0412800"/>
        <c:crosses val="autoZero"/>
        <c:auto val="1"/>
        <c:lblAlgn val="ctr"/>
        <c:lblOffset val="100"/>
        <c:noMultiLvlLbl val="0"/>
      </c:catAx>
      <c:valAx>
        <c:axId val="2304128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0116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'25'!$AD$6:$AD$22</c:f>
              <c:strCache>
                <c:ptCount val="1"/>
                <c:pt idx="0">
                  <c:v>100% 67% 100% 29% 0% 100% 29% 17% 79% 0% 0% 100% 17% 29% 29%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'25'!$AD$6:$AD$22</c:f>
              <c:numCache>
                <c:formatCode>0%</c:formatCode>
                <c:ptCount val="17"/>
                <c:pt idx="0">
                  <c:v>0.99943289224952736</c:v>
                </c:pt>
                <c:pt idx="1">
                  <c:v>0.66634996041171812</c:v>
                </c:pt>
                <c:pt idx="2">
                  <c:v>1</c:v>
                </c:pt>
                <c:pt idx="3">
                  <c:v>0.29061561561561566</c:v>
                </c:pt>
                <c:pt idx="4">
                  <c:v>0</c:v>
                </c:pt>
                <c:pt idx="5">
                  <c:v>0.99982142857142853</c:v>
                </c:pt>
                <c:pt idx="6">
                  <c:v>0.2896844660194175</c:v>
                </c:pt>
                <c:pt idx="7">
                  <c:v>0.16666666666666666</c:v>
                </c:pt>
                <c:pt idx="8">
                  <c:v>0.79166666666666663</c:v>
                </c:pt>
                <c:pt idx="9">
                  <c:v>0</c:v>
                </c:pt>
                <c:pt idx="10">
                  <c:v>0</c:v>
                </c:pt>
                <c:pt idx="11">
                  <c:v>0.99957805907172992</c:v>
                </c:pt>
                <c:pt idx="12">
                  <c:v>0.16666666666666666</c:v>
                </c:pt>
                <c:pt idx="13">
                  <c:v>0.29166666666666669</c:v>
                </c:pt>
                <c:pt idx="14">
                  <c:v>0.29166666666666669</c:v>
                </c:pt>
                <c:pt idx="15">
                  <c:v>0.99926739926739927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CORE BLOCK</c:v>
                </c:pt>
                <c:pt idx="5">
                  <c:v>SLIDER</c:v>
                </c:pt>
                <c:pt idx="6">
                  <c:v>BOTTOM</c:v>
                </c:pt>
                <c:pt idx="7">
                  <c:v>BASE/LID</c:v>
                </c:pt>
                <c:pt idx="8">
                  <c:v>BASE</c:v>
                </c:pt>
                <c:pt idx="9">
                  <c:v>BASE</c:v>
                </c:pt>
                <c:pt idx="10">
                  <c:v>F/ADAPTER</c:v>
                </c:pt>
                <c:pt idx="11">
                  <c:v>BODY</c:v>
                </c:pt>
                <c:pt idx="12">
                  <c:v>TOP</c:v>
                </c:pt>
                <c:pt idx="13">
                  <c:v>4LEAD</c:v>
                </c:pt>
                <c:pt idx="14">
                  <c:v>PLATE</c:v>
                </c:pt>
                <c:pt idx="15">
                  <c:v>BASE</c:v>
                </c:pt>
              </c:strCache>
            </c:strRef>
          </c:cat>
          <c:val>
            <c:numRef>
              <c:f>'25'!$AE$6:$AE$22</c:f>
              <c:numCache>
                <c:formatCode>0%</c:formatCode>
                <c:ptCount val="17"/>
                <c:pt idx="0">
                  <c:v>0.53020554363601147</c:v>
                </c:pt>
                <c:pt idx="1">
                  <c:v>0.53020554363601147</c:v>
                </c:pt>
                <c:pt idx="2">
                  <c:v>0.53020554363601147</c:v>
                </c:pt>
                <c:pt idx="3">
                  <c:v>0.53020554363601147</c:v>
                </c:pt>
                <c:pt idx="4">
                  <c:v>0.53020554363601147</c:v>
                </c:pt>
                <c:pt idx="5">
                  <c:v>0.99926739926739927</c:v>
                </c:pt>
                <c:pt idx="6">
                  <c:v>0.53020554363601147</c:v>
                </c:pt>
                <c:pt idx="7">
                  <c:v>0.53020554363601147</c:v>
                </c:pt>
                <c:pt idx="8">
                  <c:v>0.53020554363601147</c:v>
                </c:pt>
                <c:pt idx="9">
                  <c:v>0.53020554363601147</c:v>
                </c:pt>
                <c:pt idx="10">
                  <c:v>0.53020554363601147</c:v>
                </c:pt>
                <c:pt idx="11">
                  <c:v>0.53020554363601147</c:v>
                </c:pt>
                <c:pt idx="12">
                  <c:v>0.53020554363601147</c:v>
                </c:pt>
                <c:pt idx="13">
                  <c:v>0.53020554363601147</c:v>
                </c:pt>
                <c:pt idx="14">
                  <c:v>0.53020554363601147</c:v>
                </c:pt>
                <c:pt idx="15">
                  <c:v>0.53020554363601147</c:v>
                </c:pt>
                <c:pt idx="16">
                  <c:v>0.53020554363601147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91104"/>
        <c:axId val="230414528"/>
      </c:lineChart>
      <c:catAx>
        <c:axId val="23019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0414528"/>
        <c:crosses val="autoZero"/>
        <c:auto val="1"/>
        <c:lblAlgn val="ctr"/>
        <c:lblOffset val="100"/>
        <c:noMultiLvlLbl val="0"/>
      </c:catAx>
      <c:valAx>
        <c:axId val="2304145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0191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116352"/>
        <c:axId val="2327352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16352"/>
        <c:axId val="232735296"/>
      </c:lineChart>
      <c:catAx>
        <c:axId val="23011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32735296"/>
        <c:crosses val="autoZero"/>
        <c:auto val="1"/>
        <c:lblAlgn val="ctr"/>
        <c:lblOffset val="100"/>
        <c:noMultiLvlLbl val="0"/>
      </c:catAx>
      <c:valAx>
        <c:axId val="2327352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011635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603</c:v>
                </c:pt>
                <c:pt idx="2">
                  <c:v>5939</c:v>
                </c:pt>
                <c:pt idx="3">
                  <c:v>800</c:v>
                </c:pt>
                <c:pt idx="4">
                  <c:v>1048</c:v>
                </c:pt>
                <c:pt idx="6">
                  <c:v>1525</c:v>
                </c:pt>
                <c:pt idx="7">
                  <c:v>365</c:v>
                </c:pt>
                <c:pt idx="8">
                  <c:v>4801</c:v>
                </c:pt>
                <c:pt idx="9">
                  <c:v>4496</c:v>
                </c:pt>
                <c:pt idx="11">
                  <c:v>2690</c:v>
                </c:pt>
                <c:pt idx="12">
                  <c:v>1027</c:v>
                </c:pt>
                <c:pt idx="14">
                  <c:v>3878</c:v>
                </c:pt>
                <c:pt idx="15">
                  <c:v>5365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603</c:v>
                </c:pt>
                <c:pt idx="1">
                  <c:v>12630</c:v>
                </c:pt>
                <c:pt idx="2">
                  <c:v>5940</c:v>
                </c:pt>
                <c:pt idx="3">
                  <c:v>800</c:v>
                </c:pt>
                <c:pt idx="4">
                  <c:v>1050</c:v>
                </c:pt>
                <c:pt idx="5">
                  <c:v>560</c:v>
                </c:pt>
                <c:pt idx="6">
                  <c:v>5600</c:v>
                </c:pt>
                <c:pt idx="7">
                  <c:v>365</c:v>
                </c:pt>
                <c:pt idx="8">
                  <c:v>4810</c:v>
                </c:pt>
                <c:pt idx="9">
                  <c:v>4500</c:v>
                </c:pt>
                <c:pt idx="10">
                  <c:v>382</c:v>
                </c:pt>
                <c:pt idx="11">
                  <c:v>2690</c:v>
                </c:pt>
                <c:pt idx="12">
                  <c:v>1027</c:v>
                </c:pt>
                <c:pt idx="13">
                  <c:v>520</c:v>
                </c:pt>
                <c:pt idx="14">
                  <c:v>3880</c:v>
                </c:pt>
                <c:pt idx="15">
                  <c:v>5370</c:v>
                </c:pt>
                <c:pt idx="16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031168"/>
        <c:axId val="232738176"/>
      </c:lineChart>
      <c:catAx>
        <c:axId val="2330311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2738176"/>
        <c:crosses val="autoZero"/>
        <c:auto val="1"/>
        <c:lblAlgn val="ctr"/>
        <c:lblOffset val="100"/>
        <c:noMultiLvlLbl val="0"/>
      </c:catAx>
      <c:valAx>
        <c:axId val="2327381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3031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"/>
                <c:pt idx="0">
                  <c:v>17% 0% 100% 21% 29% 0% 27% 17% 100% 92% 0% 58% 29% 0% 87%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0</c:v>
                </c:pt>
                <c:pt idx="2">
                  <c:v>0.99983164983164985</c:v>
                </c:pt>
                <c:pt idx="3">
                  <c:v>0.20833333333333334</c:v>
                </c:pt>
                <c:pt idx="4">
                  <c:v>0.29111111111111115</c:v>
                </c:pt>
                <c:pt idx="5">
                  <c:v>0</c:v>
                </c:pt>
                <c:pt idx="6">
                  <c:v>0.27232142857142855</c:v>
                </c:pt>
                <c:pt idx="7">
                  <c:v>0.16666666666666666</c:v>
                </c:pt>
                <c:pt idx="8">
                  <c:v>0.99812889812889816</c:v>
                </c:pt>
                <c:pt idx="9">
                  <c:v>0.91585185185185181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0.87454896907216495</c:v>
                </c:pt>
                <c:pt idx="15">
                  <c:v>0.9990689013035382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0.45116863176915395</c:v>
                </c:pt>
                <c:pt idx="1">
                  <c:v>0.45116863176915395</c:v>
                </c:pt>
                <c:pt idx="2">
                  <c:v>0.45116863176915395</c:v>
                </c:pt>
                <c:pt idx="3">
                  <c:v>0.45116863176915395</c:v>
                </c:pt>
                <c:pt idx="4">
                  <c:v>0.45116863176915395</c:v>
                </c:pt>
                <c:pt idx="5">
                  <c:v>0.45116863176915395</c:v>
                </c:pt>
                <c:pt idx="6">
                  <c:v>0.9990689013035382</c:v>
                </c:pt>
                <c:pt idx="7">
                  <c:v>0.45116863176915395</c:v>
                </c:pt>
                <c:pt idx="8">
                  <c:v>0.45116863176915395</c:v>
                </c:pt>
                <c:pt idx="9">
                  <c:v>0.45116863176915395</c:v>
                </c:pt>
                <c:pt idx="10">
                  <c:v>0.45116863176915395</c:v>
                </c:pt>
                <c:pt idx="11">
                  <c:v>0.45116863176915395</c:v>
                </c:pt>
                <c:pt idx="12">
                  <c:v>0.45116863176915395</c:v>
                </c:pt>
                <c:pt idx="13">
                  <c:v>0.45116863176915395</c:v>
                </c:pt>
                <c:pt idx="14">
                  <c:v>0.45116863176915395</c:v>
                </c:pt>
                <c:pt idx="15">
                  <c:v>0.45116863176915395</c:v>
                </c:pt>
                <c:pt idx="16">
                  <c:v>0.45116863176915395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033216"/>
        <c:axId val="232739904"/>
      </c:lineChart>
      <c:catAx>
        <c:axId val="2330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2739904"/>
        <c:crosses val="autoZero"/>
        <c:auto val="1"/>
        <c:lblAlgn val="ctr"/>
        <c:lblOffset val="100"/>
        <c:noMultiLvlLbl val="0"/>
      </c:catAx>
      <c:valAx>
        <c:axId val="2327399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3033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'26'!$L$6:$L$22</c:f>
              <c:numCache>
                <c:formatCode>_(* #,##0_);_(* \(#,##0\);_(* "-"_);_(@_)</c:formatCode>
                <c:ptCount val="17"/>
                <c:pt idx="0">
                  <c:v>603</c:v>
                </c:pt>
                <c:pt idx="2">
                  <c:v>5939</c:v>
                </c:pt>
                <c:pt idx="3">
                  <c:v>800</c:v>
                </c:pt>
                <c:pt idx="4">
                  <c:v>1048</c:v>
                </c:pt>
                <c:pt idx="6">
                  <c:v>1525</c:v>
                </c:pt>
                <c:pt idx="7">
                  <c:v>365</c:v>
                </c:pt>
                <c:pt idx="8">
                  <c:v>4801</c:v>
                </c:pt>
                <c:pt idx="9">
                  <c:v>4496</c:v>
                </c:pt>
                <c:pt idx="11">
                  <c:v>2690</c:v>
                </c:pt>
                <c:pt idx="12">
                  <c:v>1027</c:v>
                </c:pt>
                <c:pt idx="14">
                  <c:v>3878</c:v>
                </c:pt>
                <c:pt idx="15">
                  <c:v>5365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'26'!$J$6:$J$22</c:f>
              <c:numCache>
                <c:formatCode>_(* #,##0_);_(* \(#,##0\);_(* "-"_);_(@_)</c:formatCode>
                <c:ptCount val="17"/>
                <c:pt idx="0">
                  <c:v>603</c:v>
                </c:pt>
                <c:pt idx="1">
                  <c:v>12630</c:v>
                </c:pt>
                <c:pt idx="2">
                  <c:v>5940</c:v>
                </c:pt>
                <c:pt idx="3">
                  <c:v>800</c:v>
                </c:pt>
                <c:pt idx="4">
                  <c:v>1050</c:v>
                </c:pt>
                <c:pt idx="5">
                  <c:v>560</c:v>
                </c:pt>
                <c:pt idx="6">
                  <c:v>5600</c:v>
                </c:pt>
                <c:pt idx="7">
                  <c:v>365</c:v>
                </c:pt>
                <c:pt idx="8">
                  <c:v>4810</c:v>
                </c:pt>
                <c:pt idx="9">
                  <c:v>4500</c:v>
                </c:pt>
                <c:pt idx="10">
                  <c:v>382</c:v>
                </c:pt>
                <c:pt idx="11">
                  <c:v>2690</c:v>
                </c:pt>
                <c:pt idx="12">
                  <c:v>1027</c:v>
                </c:pt>
                <c:pt idx="13">
                  <c:v>520</c:v>
                </c:pt>
                <c:pt idx="14">
                  <c:v>3880</c:v>
                </c:pt>
                <c:pt idx="15">
                  <c:v>5370</c:v>
                </c:pt>
                <c:pt idx="16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143232"/>
        <c:axId val="232742208"/>
      </c:lineChart>
      <c:catAx>
        <c:axId val="2421432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2742208"/>
        <c:crosses val="autoZero"/>
        <c:auto val="1"/>
        <c:lblAlgn val="ctr"/>
        <c:lblOffset val="100"/>
        <c:noMultiLvlLbl val="0"/>
      </c:catAx>
      <c:valAx>
        <c:axId val="2327422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2143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'26'!$AD$6:$AD$22</c:f>
              <c:strCache>
                <c:ptCount val="1"/>
                <c:pt idx="0">
                  <c:v>17% 0% 100% 21% 29% 0% 27% 17% 100% 92% 0% 58% 29% 0% 87%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0</c:v>
                </c:pt>
                <c:pt idx="2">
                  <c:v>0.99983164983164985</c:v>
                </c:pt>
                <c:pt idx="3">
                  <c:v>0.20833333333333334</c:v>
                </c:pt>
                <c:pt idx="4">
                  <c:v>0.29111111111111115</c:v>
                </c:pt>
                <c:pt idx="5">
                  <c:v>0</c:v>
                </c:pt>
                <c:pt idx="6">
                  <c:v>0.27232142857142855</c:v>
                </c:pt>
                <c:pt idx="7">
                  <c:v>0.16666666666666666</c:v>
                </c:pt>
                <c:pt idx="8">
                  <c:v>0.99812889812889816</c:v>
                </c:pt>
                <c:pt idx="9">
                  <c:v>0.91585185185185181</c:v>
                </c:pt>
                <c:pt idx="10">
                  <c:v>0</c:v>
                </c:pt>
                <c:pt idx="11">
                  <c:v>0.58333333333333337</c:v>
                </c:pt>
                <c:pt idx="12">
                  <c:v>0.29166666666666669</c:v>
                </c:pt>
                <c:pt idx="13">
                  <c:v>0</c:v>
                </c:pt>
                <c:pt idx="14">
                  <c:v>0.87454896907216495</c:v>
                </c:pt>
                <c:pt idx="15">
                  <c:v>0.9990689013035382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'26'!$D$6:$D$22</c:f>
              <c:strCache>
                <c:ptCount val="16"/>
                <c:pt idx="0">
                  <c:v>LEAD GUIDE</c:v>
                </c:pt>
                <c:pt idx="2">
                  <c:v>STOPPER</c:v>
                </c:pt>
                <c:pt idx="3">
                  <c:v>TOP</c:v>
                </c:pt>
                <c:pt idx="4">
                  <c:v>BASE/BOTTOM</c:v>
                </c:pt>
                <c:pt idx="5">
                  <c:v>CORE BLOCK</c:v>
                </c:pt>
                <c:pt idx="6">
                  <c:v>SLIDER</c:v>
                </c:pt>
                <c:pt idx="7">
                  <c:v>TOP</c:v>
                </c:pt>
                <c:pt idx="8">
                  <c:v>STOPPER</c:v>
                </c:pt>
                <c:pt idx="9">
                  <c:v>BASE</c:v>
                </c:pt>
                <c:pt idx="10">
                  <c:v>BASE</c:v>
                </c:pt>
                <c:pt idx="11">
                  <c:v>34P</c:v>
                </c:pt>
                <c:pt idx="12">
                  <c:v>PUSHER</c:v>
                </c:pt>
                <c:pt idx="13">
                  <c:v>TOP</c:v>
                </c:pt>
                <c:pt idx="14">
                  <c:v>M2 CONN</c:v>
                </c:pt>
                <c:pt idx="15">
                  <c:v>BASE</c:v>
                </c:pt>
              </c:strCache>
            </c:strRef>
          </c:cat>
          <c:val>
            <c:numRef>
              <c:f>'26'!$AE$6:$AE$22</c:f>
              <c:numCache>
                <c:formatCode>0%</c:formatCode>
                <c:ptCount val="17"/>
                <c:pt idx="0">
                  <c:v>0.45116863176915395</c:v>
                </c:pt>
                <c:pt idx="1">
                  <c:v>0.45116863176915395</c:v>
                </c:pt>
                <c:pt idx="2">
                  <c:v>0.45116863176915395</c:v>
                </c:pt>
                <c:pt idx="3">
                  <c:v>0.45116863176915395</c:v>
                </c:pt>
                <c:pt idx="4">
                  <c:v>0.45116863176915395</c:v>
                </c:pt>
                <c:pt idx="5">
                  <c:v>0.45116863176915395</c:v>
                </c:pt>
                <c:pt idx="6">
                  <c:v>0.9990689013035382</c:v>
                </c:pt>
                <c:pt idx="7">
                  <c:v>0.45116863176915395</c:v>
                </c:pt>
                <c:pt idx="8">
                  <c:v>0.45116863176915395</c:v>
                </c:pt>
                <c:pt idx="9">
                  <c:v>0.45116863176915395</c:v>
                </c:pt>
                <c:pt idx="10">
                  <c:v>0.45116863176915395</c:v>
                </c:pt>
                <c:pt idx="11">
                  <c:v>0.45116863176915395</c:v>
                </c:pt>
                <c:pt idx="12">
                  <c:v>0.45116863176915395</c:v>
                </c:pt>
                <c:pt idx="13">
                  <c:v>0.45116863176915395</c:v>
                </c:pt>
                <c:pt idx="14">
                  <c:v>0.45116863176915395</c:v>
                </c:pt>
                <c:pt idx="15">
                  <c:v>0.45116863176915395</c:v>
                </c:pt>
                <c:pt idx="16">
                  <c:v>0.45116863176915395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144768"/>
        <c:axId val="242017408"/>
      </c:lineChart>
      <c:catAx>
        <c:axId val="24214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42017408"/>
        <c:crosses val="autoZero"/>
        <c:auto val="1"/>
        <c:lblAlgn val="ctr"/>
        <c:lblOffset val="100"/>
        <c:noMultiLvlLbl val="0"/>
      </c:catAx>
      <c:valAx>
        <c:axId val="242017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42144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145280"/>
        <c:axId val="24201971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145280"/>
        <c:axId val="242019712"/>
      </c:lineChart>
      <c:catAx>
        <c:axId val="242145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42019712"/>
        <c:crosses val="autoZero"/>
        <c:auto val="1"/>
        <c:lblAlgn val="ctr"/>
        <c:lblOffset val="100"/>
        <c:noMultiLvlLbl val="0"/>
      </c:catAx>
      <c:valAx>
        <c:axId val="2420197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21452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21196</c:v>
                </c:pt>
                <c:pt idx="2">
                  <c:v>6500</c:v>
                </c:pt>
                <c:pt idx="3">
                  <c:v>3106</c:v>
                </c:pt>
                <c:pt idx="6">
                  <c:v>4503</c:v>
                </c:pt>
                <c:pt idx="7">
                  <c:v>4815</c:v>
                </c:pt>
                <c:pt idx="8">
                  <c:v>539</c:v>
                </c:pt>
                <c:pt idx="9">
                  <c:v>720</c:v>
                </c:pt>
                <c:pt idx="10">
                  <c:v>3380</c:v>
                </c:pt>
                <c:pt idx="11">
                  <c:v>3358</c:v>
                </c:pt>
                <c:pt idx="13">
                  <c:v>2010</c:v>
                </c:pt>
                <c:pt idx="14">
                  <c:v>5733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21196</c:v>
                </c:pt>
                <c:pt idx="1">
                  <c:v>12630</c:v>
                </c:pt>
                <c:pt idx="2">
                  <c:v>6500</c:v>
                </c:pt>
                <c:pt idx="3">
                  <c:v>3110</c:v>
                </c:pt>
                <c:pt idx="4">
                  <c:v>560</c:v>
                </c:pt>
                <c:pt idx="5">
                  <c:v>365</c:v>
                </c:pt>
                <c:pt idx="6">
                  <c:v>4510</c:v>
                </c:pt>
                <c:pt idx="7">
                  <c:v>4815</c:v>
                </c:pt>
                <c:pt idx="8">
                  <c:v>540</c:v>
                </c:pt>
                <c:pt idx="9">
                  <c:v>720</c:v>
                </c:pt>
                <c:pt idx="10">
                  <c:v>3380</c:v>
                </c:pt>
                <c:pt idx="11">
                  <c:v>3360</c:v>
                </c:pt>
                <c:pt idx="12">
                  <c:v>520</c:v>
                </c:pt>
                <c:pt idx="13">
                  <c:v>2010</c:v>
                </c:pt>
                <c:pt idx="14">
                  <c:v>5740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233472"/>
        <c:axId val="242022592"/>
      </c:lineChart>
      <c:catAx>
        <c:axId val="2322334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2022592"/>
        <c:crosses val="autoZero"/>
        <c:auto val="1"/>
        <c:lblAlgn val="ctr"/>
        <c:lblOffset val="100"/>
        <c:noMultiLvlLbl val="0"/>
      </c:catAx>
      <c:valAx>
        <c:axId val="24202259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223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58% 0% 100% 62% 0% 0% 100% 100% 25% 17% 71% 67% 0% 38%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</c:v>
                </c:pt>
                <c:pt idx="2">
                  <c:v>1</c:v>
                </c:pt>
                <c:pt idx="3">
                  <c:v>0.62419614147909963</c:v>
                </c:pt>
                <c:pt idx="4">
                  <c:v>0</c:v>
                </c:pt>
                <c:pt idx="5">
                  <c:v>0</c:v>
                </c:pt>
                <c:pt idx="6">
                  <c:v>0.99844789356984476</c:v>
                </c:pt>
                <c:pt idx="7">
                  <c:v>1</c:v>
                </c:pt>
                <c:pt idx="8">
                  <c:v>0.24953703703703703</c:v>
                </c:pt>
                <c:pt idx="9">
                  <c:v>0.16666666666666666</c:v>
                </c:pt>
                <c:pt idx="10">
                  <c:v>0.70833333333333337</c:v>
                </c:pt>
                <c:pt idx="11">
                  <c:v>0.66626984126984123</c:v>
                </c:pt>
                <c:pt idx="12">
                  <c:v>0</c:v>
                </c:pt>
                <c:pt idx="13">
                  <c:v>0.375</c:v>
                </c:pt>
                <c:pt idx="14">
                  <c:v>0.99878048780487805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0.4913709822996023</c:v>
                </c:pt>
                <c:pt idx="1">
                  <c:v>0.4913709822996023</c:v>
                </c:pt>
                <c:pt idx="2">
                  <c:v>0.4913709822996023</c:v>
                </c:pt>
                <c:pt idx="3">
                  <c:v>0.4913709822996023</c:v>
                </c:pt>
                <c:pt idx="4">
                  <c:v>0.4913709822996023</c:v>
                </c:pt>
                <c:pt idx="5">
                  <c:v>0.4913709822996023</c:v>
                </c:pt>
                <c:pt idx="6">
                  <c:v>0.4913709822996023</c:v>
                </c:pt>
                <c:pt idx="7">
                  <c:v>0.4913709822996023</c:v>
                </c:pt>
                <c:pt idx="8">
                  <c:v>0.4913709822996023</c:v>
                </c:pt>
                <c:pt idx="9">
                  <c:v>0.4913709822996023</c:v>
                </c:pt>
                <c:pt idx="10">
                  <c:v>0.4913709822996023</c:v>
                </c:pt>
                <c:pt idx="11">
                  <c:v>0.4913709822996023</c:v>
                </c:pt>
                <c:pt idx="12">
                  <c:v>0.4913709822996023</c:v>
                </c:pt>
                <c:pt idx="13">
                  <c:v>0.4913709822996023</c:v>
                </c:pt>
                <c:pt idx="14">
                  <c:v>0.4913709822996023</c:v>
                </c:pt>
                <c:pt idx="15">
                  <c:v>0.4913709822996023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53088"/>
        <c:axId val="232259584"/>
      </c:lineChart>
      <c:catAx>
        <c:axId val="23215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2259584"/>
        <c:crosses val="autoZero"/>
        <c:auto val="1"/>
        <c:lblAlgn val="ctr"/>
        <c:lblOffset val="100"/>
        <c:noMultiLvlLbl val="0"/>
      </c:catAx>
      <c:valAx>
        <c:axId val="232259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2153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'27'!$L$6:$L$21</c:f>
              <c:numCache>
                <c:formatCode>_(* #,##0_);_(* \(#,##0\);_(* "-"_);_(@_)</c:formatCode>
                <c:ptCount val="16"/>
                <c:pt idx="0">
                  <c:v>21196</c:v>
                </c:pt>
                <c:pt idx="2">
                  <c:v>6500</c:v>
                </c:pt>
                <c:pt idx="3">
                  <c:v>3106</c:v>
                </c:pt>
                <c:pt idx="6">
                  <c:v>4503</c:v>
                </c:pt>
                <c:pt idx="7">
                  <c:v>4815</c:v>
                </c:pt>
                <c:pt idx="8">
                  <c:v>539</c:v>
                </c:pt>
                <c:pt idx="9">
                  <c:v>720</c:v>
                </c:pt>
                <c:pt idx="10">
                  <c:v>3380</c:v>
                </c:pt>
                <c:pt idx="11">
                  <c:v>3358</c:v>
                </c:pt>
                <c:pt idx="13">
                  <c:v>2010</c:v>
                </c:pt>
                <c:pt idx="14">
                  <c:v>5733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'27'!$J$6:$J$21</c:f>
              <c:numCache>
                <c:formatCode>_(* #,##0_);_(* \(#,##0\);_(* "-"_);_(@_)</c:formatCode>
                <c:ptCount val="16"/>
                <c:pt idx="0">
                  <c:v>21196</c:v>
                </c:pt>
                <c:pt idx="1">
                  <c:v>12630</c:v>
                </c:pt>
                <c:pt idx="2">
                  <c:v>6500</c:v>
                </c:pt>
                <c:pt idx="3">
                  <c:v>3110</c:v>
                </c:pt>
                <c:pt idx="4">
                  <c:v>560</c:v>
                </c:pt>
                <c:pt idx="5">
                  <c:v>365</c:v>
                </c:pt>
                <c:pt idx="6">
                  <c:v>4510</c:v>
                </c:pt>
                <c:pt idx="7">
                  <c:v>4815</c:v>
                </c:pt>
                <c:pt idx="8">
                  <c:v>540</c:v>
                </c:pt>
                <c:pt idx="9">
                  <c:v>720</c:v>
                </c:pt>
                <c:pt idx="10">
                  <c:v>3380</c:v>
                </c:pt>
                <c:pt idx="11">
                  <c:v>3360</c:v>
                </c:pt>
                <c:pt idx="12">
                  <c:v>520</c:v>
                </c:pt>
                <c:pt idx="13">
                  <c:v>2010</c:v>
                </c:pt>
                <c:pt idx="14">
                  <c:v>5740</c:v>
                </c:pt>
                <c:pt idx="15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53600"/>
        <c:axId val="232261888"/>
      </c:lineChart>
      <c:catAx>
        <c:axId val="2321536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2261888"/>
        <c:crosses val="autoZero"/>
        <c:auto val="1"/>
        <c:lblAlgn val="ctr"/>
        <c:lblOffset val="100"/>
        <c:noMultiLvlLbl val="0"/>
      </c:catAx>
      <c:valAx>
        <c:axId val="2322618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32153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'27'!$AD$6:$AD$21</c:f>
              <c:strCache>
                <c:ptCount val="1"/>
                <c:pt idx="0">
                  <c:v>58% 0% 100% 62% 0% 0% 100% 100% 25% 17% 71% 67% 0% 38%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'27'!$AD$6:$AD$21</c:f>
              <c:numCache>
                <c:formatCode>0%</c:formatCode>
                <c:ptCount val="16"/>
                <c:pt idx="0">
                  <c:v>0.58333333333333337</c:v>
                </c:pt>
                <c:pt idx="1">
                  <c:v>0</c:v>
                </c:pt>
                <c:pt idx="2">
                  <c:v>1</c:v>
                </c:pt>
                <c:pt idx="3">
                  <c:v>0.62419614147909963</c:v>
                </c:pt>
                <c:pt idx="4">
                  <c:v>0</c:v>
                </c:pt>
                <c:pt idx="5">
                  <c:v>0</c:v>
                </c:pt>
                <c:pt idx="6">
                  <c:v>0.99844789356984476</c:v>
                </c:pt>
                <c:pt idx="7">
                  <c:v>1</c:v>
                </c:pt>
                <c:pt idx="8">
                  <c:v>0.24953703703703703</c:v>
                </c:pt>
                <c:pt idx="9">
                  <c:v>0.16666666666666666</c:v>
                </c:pt>
                <c:pt idx="10">
                  <c:v>0.70833333333333337</c:v>
                </c:pt>
                <c:pt idx="11">
                  <c:v>0.66626984126984123</c:v>
                </c:pt>
                <c:pt idx="12">
                  <c:v>0</c:v>
                </c:pt>
                <c:pt idx="13">
                  <c:v>0.375</c:v>
                </c:pt>
                <c:pt idx="14">
                  <c:v>0.99878048780487805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'27'!$D$6:$D$21</c:f>
              <c:strCache>
                <c:ptCount val="15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TOP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34P</c:v>
                </c:pt>
                <c:pt idx="10">
                  <c:v>2P</c:v>
                </c:pt>
                <c:pt idx="11">
                  <c:v>LEAD GUIDE</c:v>
                </c:pt>
                <c:pt idx="12">
                  <c:v>TOP</c:v>
                </c:pt>
                <c:pt idx="13">
                  <c:v>M2 CONN</c:v>
                </c:pt>
                <c:pt idx="14">
                  <c:v>BASE</c:v>
                </c:pt>
              </c:strCache>
            </c:strRef>
          </c:cat>
          <c:val>
            <c:numRef>
              <c:f>'27'!$AE$6:$AE$21</c:f>
              <c:numCache>
                <c:formatCode>0%</c:formatCode>
                <c:ptCount val="16"/>
                <c:pt idx="0">
                  <c:v>0.4913709822996023</c:v>
                </c:pt>
                <c:pt idx="1">
                  <c:v>0.4913709822996023</c:v>
                </c:pt>
                <c:pt idx="2">
                  <c:v>0.4913709822996023</c:v>
                </c:pt>
                <c:pt idx="3">
                  <c:v>0.4913709822996023</c:v>
                </c:pt>
                <c:pt idx="4">
                  <c:v>0.4913709822996023</c:v>
                </c:pt>
                <c:pt idx="5">
                  <c:v>0.4913709822996023</c:v>
                </c:pt>
                <c:pt idx="6">
                  <c:v>0.4913709822996023</c:v>
                </c:pt>
                <c:pt idx="7">
                  <c:v>0.4913709822996023</c:v>
                </c:pt>
                <c:pt idx="8">
                  <c:v>0.4913709822996023</c:v>
                </c:pt>
                <c:pt idx="9">
                  <c:v>0.4913709822996023</c:v>
                </c:pt>
                <c:pt idx="10">
                  <c:v>0.4913709822996023</c:v>
                </c:pt>
                <c:pt idx="11">
                  <c:v>0.4913709822996023</c:v>
                </c:pt>
                <c:pt idx="12">
                  <c:v>0.4913709822996023</c:v>
                </c:pt>
                <c:pt idx="13">
                  <c:v>0.4913709822996023</c:v>
                </c:pt>
                <c:pt idx="14">
                  <c:v>0.4913709822996023</c:v>
                </c:pt>
                <c:pt idx="15">
                  <c:v>0.4913709822996023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54624"/>
        <c:axId val="232263616"/>
      </c:lineChart>
      <c:catAx>
        <c:axId val="23215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2263616"/>
        <c:crosses val="autoZero"/>
        <c:auto val="1"/>
        <c:lblAlgn val="ctr"/>
        <c:lblOffset val="100"/>
        <c:noMultiLvlLbl val="0"/>
      </c:catAx>
      <c:valAx>
        <c:axId val="2322636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32154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155136"/>
        <c:axId val="2322659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155136"/>
        <c:axId val="232265920"/>
      </c:lineChart>
      <c:catAx>
        <c:axId val="232155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32265920"/>
        <c:crosses val="autoZero"/>
        <c:auto val="1"/>
        <c:lblAlgn val="ctr"/>
        <c:lblOffset val="100"/>
        <c:noMultiLvlLbl val="0"/>
      </c:catAx>
      <c:valAx>
        <c:axId val="2322659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21551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0">
                  <c:v>25996</c:v>
                </c:pt>
                <c:pt idx="2">
                  <c:v>5534</c:v>
                </c:pt>
                <c:pt idx="5">
                  <c:v>3218</c:v>
                </c:pt>
                <c:pt idx="6">
                  <c:v>4886</c:v>
                </c:pt>
                <c:pt idx="7">
                  <c:v>1908</c:v>
                </c:pt>
                <c:pt idx="9">
                  <c:v>1908</c:v>
                </c:pt>
                <c:pt idx="10">
                  <c:v>5703</c:v>
                </c:pt>
                <c:pt idx="12">
                  <c:v>3391</c:v>
                </c:pt>
                <c:pt idx="13">
                  <c:v>5108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26000</c:v>
                </c:pt>
                <c:pt idx="1">
                  <c:v>12630</c:v>
                </c:pt>
                <c:pt idx="2">
                  <c:v>5540</c:v>
                </c:pt>
                <c:pt idx="3">
                  <c:v>3110</c:v>
                </c:pt>
                <c:pt idx="4">
                  <c:v>560</c:v>
                </c:pt>
                <c:pt idx="5">
                  <c:v>3220</c:v>
                </c:pt>
                <c:pt idx="6">
                  <c:v>4890</c:v>
                </c:pt>
                <c:pt idx="7">
                  <c:v>1910</c:v>
                </c:pt>
                <c:pt idx="8">
                  <c:v>540</c:v>
                </c:pt>
                <c:pt idx="9">
                  <c:v>1910</c:v>
                </c:pt>
                <c:pt idx="10">
                  <c:v>5710</c:v>
                </c:pt>
                <c:pt idx="11">
                  <c:v>520</c:v>
                </c:pt>
                <c:pt idx="12">
                  <c:v>3340</c:v>
                </c:pt>
                <c:pt idx="13">
                  <c:v>5110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140608"/>
        <c:axId val="242599040"/>
      </c:lineChart>
      <c:catAx>
        <c:axId val="2431406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2599040"/>
        <c:crosses val="autoZero"/>
        <c:auto val="1"/>
        <c:lblAlgn val="ctr"/>
        <c:lblOffset val="100"/>
        <c:noMultiLvlLbl val="0"/>
      </c:catAx>
      <c:valAx>
        <c:axId val="2425990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43140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75% 0% 100% 0% 0% 75% 100% 42% 0% 50% 100% 0% 85%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0.74988461538461537</c:v>
                </c:pt>
                <c:pt idx="1">
                  <c:v>0</c:v>
                </c:pt>
                <c:pt idx="2">
                  <c:v>0.99891696750902526</c:v>
                </c:pt>
                <c:pt idx="3">
                  <c:v>0</c:v>
                </c:pt>
                <c:pt idx="4">
                  <c:v>0</c:v>
                </c:pt>
                <c:pt idx="5">
                  <c:v>0.74953416149068319</c:v>
                </c:pt>
                <c:pt idx="6">
                  <c:v>0.99918200408997959</c:v>
                </c:pt>
                <c:pt idx="7">
                  <c:v>0.41623036649214662</c:v>
                </c:pt>
                <c:pt idx="8">
                  <c:v>0</c:v>
                </c:pt>
                <c:pt idx="9">
                  <c:v>0.49947643979057593</c:v>
                </c:pt>
                <c:pt idx="10">
                  <c:v>0.99877408056042027</c:v>
                </c:pt>
                <c:pt idx="11">
                  <c:v>0</c:v>
                </c:pt>
                <c:pt idx="12">
                  <c:v>0.84605788423153694</c:v>
                </c:pt>
                <c:pt idx="13">
                  <c:v>0.99960861056751471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0.48384434200776655</c:v>
                </c:pt>
                <c:pt idx="1">
                  <c:v>0.48384434200776655</c:v>
                </c:pt>
                <c:pt idx="2">
                  <c:v>0.48384434200776655</c:v>
                </c:pt>
                <c:pt idx="3">
                  <c:v>0.48384434200776655</c:v>
                </c:pt>
                <c:pt idx="4">
                  <c:v>0.48384434200776655</c:v>
                </c:pt>
                <c:pt idx="5">
                  <c:v>0.48384434200776655</c:v>
                </c:pt>
                <c:pt idx="6">
                  <c:v>0.48384434200776655</c:v>
                </c:pt>
                <c:pt idx="7">
                  <c:v>0.48384434200776655</c:v>
                </c:pt>
                <c:pt idx="8">
                  <c:v>0.48384434200776655</c:v>
                </c:pt>
                <c:pt idx="9">
                  <c:v>0.48384434200776655</c:v>
                </c:pt>
                <c:pt idx="10">
                  <c:v>0.48384434200776655</c:v>
                </c:pt>
                <c:pt idx="11">
                  <c:v>0.48384434200776655</c:v>
                </c:pt>
                <c:pt idx="12">
                  <c:v>0.48384434200776655</c:v>
                </c:pt>
                <c:pt idx="13">
                  <c:v>0.48384434200776655</c:v>
                </c:pt>
                <c:pt idx="14">
                  <c:v>0.48384434200776655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920576"/>
        <c:axId val="242600768"/>
      </c:lineChart>
      <c:catAx>
        <c:axId val="22492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42600768"/>
        <c:crosses val="autoZero"/>
        <c:auto val="1"/>
        <c:lblAlgn val="ctr"/>
        <c:lblOffset val="100"/>
        <c:noMultiLvlLbl val="0"/>
      </c:catAx>
      <c:valAx>
        <c:axId val="2426007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24920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0">
                  <c:v>25996</c:v>
                </c:pt>
                <c:pt idx="2">
                  <c:v>5534</c:v>
                </c:pt>
                <c:pt idx="5">
                  <c:v>3218</c:v>
                </c:pt>
                <c:pt idx="6">
                  <c:v>4886</c:v>
                </c:pt>
                <c:pt idx="7">
                  <c:v>1908</c:v>
                </c:pt>
                <c:pt idx="9">
                  <c:v>1908</c:v>
                </c:pt>
                <c:pt idx="10">
                  <c:v>5703</c:v>
                </c:pt>
                <c:pt idx="12">
                  <c:v>3391</c:v>
                </c:pt>
                <c:pt idx="13">
                  <c:v>5108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26000</c:v>
                </c:pt>
                <c:pt idx="1">
                  <c:v>12630</c:v>
                </c:pt>
                <c:pt idx="2">
                  <c:v>5540</c:v>
                </c:pt>
                <c:pt idx="3">
                  <c:v>3110</c:v>
                </c:pt>
                <c:pt idx="4">
                  <c:v>560</c:v>
                </c:pt>
                <c:pt idx="5">
                  <c:v>3220</c:v>
                </c:pt>
                <c:pt idx="6">
                  <c:v>4890</c:v>
                </c:pt>
                <c:pt idx="7">
                  <c:v>1910</c:v>
                </c:pt>
                <c:pt idx="8">
                  <c:v>540</c:v>
                </c:pt>
                <c:pt idx="9">
                  <c:v>1910</c:v>
                </c:pt>
                <c:pt idx="10">
                  <c:v>5710</c:v>
                </c:pt>
                <c:pt idx="11">
                  <c:v>520</c:v>
                </c:pt>
                <c:pt idx="12">
                  <c:v>3340</c:v>
                </c:pt>
                <c:pt idx="13">
                  <c:v>5110</c:v>
                </c:pt>
                <c:pt idx="14">
                  <c:v>2230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1840"/>
        <c:axId val="242603072"/>
      </c:lineChart>
      <c:catAx>
        <c:axId val="1993318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42603072"/>
        <c:crosses val="autoZero"/>
        <c:auto val="1"/>
        <c:lblAlgn val="ctr"/>
        <c:lblOffset val="100"/>
        <c:noMultiLvlLbl val="0"/>
      </c:catAx>
      <c:valAx>
        <c:axId val="2426030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99331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75% 0% 100% 0% 0% 75% 100% 42% 0% 50% 100% 0% 85%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0.74988461538461537</c:v>
                </c:pt>
                <c:pt idx="1">
                  <c:v>0</c:v>
                </c:pt>
                <c:pt idx="2">
                  <c:v>0.99891696750902526</c:v>
                </c:pt>
                <c:pt idx="3">
                  <c:v>0</c:v>
                </c:pt>
                <c:pt idx="4">
                  <c:v>0</c:v>
                </c:pt>
                <c:pt idx="5">
                  <c:v>0.74953416149068319</c:v>
                </c:pt>
                <c:pt idx="6">
                  <c:v>0.99918200408997959</c:v>
                </c:pt>
                <c:pt idx="7">
                  <c:v>0.41623036649214662</c:v>
                </c:pt>
                <c:pt idx="8">
                  <c:v>0</c:v>
                </c:pt>
                <c:pt idx="9">
                  <c:v>0.49947643979057593</c:v>
                </c:pt>
                <c:pt idx="10">
                  <c:v>0.99877408056042027</c:v>
                </c:pt>
                <c:pt idx="11">
                  <c:v>0</c:v>
                </c:pt>
                <c:pt idx="12">
                  <c:v>0.84605788423153694</c:v>
                </c:pt>
                <c:pt idx="13">
                  <c:v>0.99960861056751471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4"/>
                <c:pt idx="2">
                  <c:v>STOPPER</c:v>
                </c:pt>
                <c:pt idx="3">
                  <c:v>STOPPER</c:v>
                </c:pt>
                <c:pt idx="4">
                  <c:v>SEPARATOR</c:v>
                </c:pt>
                <c:pt idx="5">
                  <c:v>ACTUATOR</c:v>
                </c:pt>
                <c:pt idx="6">
                  <c:v>STOPPER</c:v>
                </c:pt>
                <c:pt idx="7">
                  <c:v>BASE</c:v>
                </c:pt>
                <c:pt idx="8">
                  <c:v>BASE</c:v>
                </c:pt>
                <c:pt idx="9">
                  <c:v>2P</c:v>
                </c:pt>
                <c:pt idx="10">
                  <c:v>LEAD GUIDE</c:v>
                </c:pt>
                <c:pt idx="11">
                  <c:v>TOP</c:v>
                </c:pt>
                <c:pt idx="12">
                  <c:v>BASE</c:v>
                </c:pt>
                <c:pt idx="13">
                  <c:v>BASE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0.48384434200776655</c:v>
                </c:pt>
                <c:pt idx="1">
                  <c:v>0.48384434200776655</c:v>
                </c:pt>
                <c:pt idx="2">
                  <c:v>0.48384434200776655</c:v>
                </c:pt>
                <c:pt idx="3">
                  <c:v>0.48384434200776655</c:v>
                </c:pt>
                <c:pt idx="4">
                  <c:v>0.48384434200776655</c:v>
                </c:pt>
                <c:pt idx="5">
                  <c:v>0.48384434200776655</c:v>
                </c:pt>
                <c:pt idx="6">
                  <c:v>0.48384434200776655</c:v>
                </c:pt>
                <c:pt idx="7">
                  <c:v>0.48384434200776655</c:v>
                </c:pt>
                <c:pt idx="8">
                  <c:v>0.48384434200776655</c:v>
                </c:pt>
                <c:pt idx="9">
                  <c:v>0.48384434200776655</c:v>
                </c:pt>
                <c:pt idx="10">
                  <c:v>0.48384434200776655</c:v>
                </c:pt>
                <c:pt idx="11">
                  <c:v>0.48384434200776655</c:v>
                </c:pt>
                <c:pt idx="12">
                  <c:v>0.48384434200776655</c:v>
                </c:pt>
                <c:pt idx="13">
                  <c:v>0.48384434200776655</c:v>
                </c:pt>
                <c:pt idx="14">
                  <c:v>0.48384434200776655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2352"/>
        <c:axId val="242604800"/>
      </c:lineChart>
      <c:catAx>
        <c:axId val="19933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42604800"/>
        <c:crosses val="autoZero"/>
        <c:auto val="1"/>
        <c:lblAlgn val="ctr"/>
        <c:lblOffset val="100"/>
        <c:noMultiLvlLbl val="0"/>
      </c:catAx>
      <c:valAx>
        <c:axId val="242604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99332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04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1">
                  <c:v>0.31736455244302159</c:v>
                </c:pt>
                <c:pt idx="2">
                  <c:v>0.37172290712802813</c:v>
                </c:pt>
                <c:pt idx="3">
                  <c:v>0.45528589369245259</c:v>
                </c:pt>
                <c:pt idx="4">
                  <c:v>0.37184504830027676</c:v>
                </c:pt>
                <c:pt idx="5">
                  <c:v>0.17746737788083988</c:v>
                </c:pt>
                <c:pt idx="8">
                  <c:v>0.36629321312127328</c:v>
                </c:pt>
                <c:pt idx="9">
                  <c:v>0.29976705520173852</c:v>
                </c:pt>
                <c:pt idx="10">
                  <c:v>0.34819987773552097</c:v>
                </c:pt>
                <c:pt idx="11">
                  <c:v>0.3801584480588176</c:v>
                </c:pt>
                <c:pt idx="12">
                  <c:v>0.52188722849656932</c:v>
                </c:pt>
                <c:pt idx="15">
                  <c:v>0.37197535307555163</c:v>
                </c:pt>
                <c:pt idx="16">
                  <c:v>0.51068445336957247</c:v>
                </c:pt>
                <c:pt idx="17">
                  <c:v>0.5636250322526658</c:v>
                </c:pt>
                <c:pt idx="18">
                  <c:v>0.53561125257979647</c:v>
                </c:pt>
                <c:pt idx="22">
                  <c:v>0.51917680512601849</c:v>
                </c:pt>
                <c:pt idx="23">
                  <c:v>0.48568171960370804</c:v>
                </c:pt>
                <c:pt idx="24">
                  <c:v>0.53020554363601147</c:v>
                </c:pt>
                <c:pt idx="25">
                  <c:v>0.45116863176915395</c:v>
                </c:pt>
                <c:pt idx="26">
                  <c:v>0.4913709822996023</c:v>
                </c:pt>
                <c:pt idx="29">
                  <c:v>0.48384434200776655</c:v>
                </c:pt>
                <c:pt idx="31">
                  <c:v>0.28511119059261281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332864"/>
        <c:axId val="2431315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32864"/>
        <c:axId val="243131520"/>
      </c:lineChart>
      <c:catAx>
        <c:axId val="19933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43131520"/>
        <c:crosses val="autoZero"/>
        <c:auto val="1"/>
        <c:lblAlgn val="ctr"/>
        <c:lblOffset val="100"/>
        <c:noMultiLvlLbl val="0"/>
      </c:catAx>
      <c:valAx>
        <c:axId val="2431315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3328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0178" y="54428"/>
          <a:ext cx="311195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G14" sqref="AG14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6" style="75" customWidth="1"/>
    <col min="19" max="33" width="5.5" style="75" bestFit="1" customWidth="1"/>
    <col min="34" max="16384" width="9" style="75"/>
  </cols>
  <sheetData>
    <row r="1" spans="1:33" ht="33.75" customHeight="1" thickBot="1">
      <c r="A1" s="353" t="s">
        <v>159</v>
      </c>
      <c r="B1" s="353"/>
      <c r="C1" s="353"/>
      <c r="D1" s="353"/>
      <c r="E1" s="353"/>
      <c r="F1" s="353"/>
      <c r="G1" s="353"/>
      <c r="H1" s="353"/>
    </row>
    <row r="2" spans="1:33" ht="21.75" customHeight="1" thickBot="1">
      <c r="A2" s="96" t="s">
        <v>59</v>
      </c>
      <c r="B2" s="98" t="s">
        <v>74</v>
      </c>
      <c r="C2" s="99" t="s">
        <v>75</v>
      </c>
      <c r="D2" s="99" t="s">
        <v>76</v>
      </c>
      <c r="E2" s="99" t="s">
        <v>77</v>
      </c>
      <c r="F2" s="99" t="s">
        <v>78</v>
      </c>
      <c r="G2" s="99" t="s">
        <v>79</v>
      </c>
      <c r="H2" s="99" t="s">
        <v>80</v>
      </c>
      <c r="I2" s="99" t="s">
        <v>81</v>
      </c>
      <c r="J2" s="99" t="s">
        <v>82</v>
      </c>
      <c r="K2" s="99" t="s">
        <v>83</v>
      </c>
      <c r="L2" s="99" t="s">
        <v>84</v>
      </c>
      <c r="M2" s="99" t="s">
        <v>85</v>
      </c>
      <c r="N2" s="99" t="s">
        <v>86</v>
      </c>
      <c r="O2" s="99" t="s">
        <v>87</v>
      </c>
      <c r="P2" s="99" t="s">
        <v>88</v>
      </c>
      <c r="Q2" s="99" t="s">
        <v>89</v>
      </c>
      <c r="R2" s="99" t="s">
        <v>90</v>
      </c>
      <c r="S2" s="99" t="s">
        <v>91</v>
      </c>
      <c r="T2" s="99" t="s">
        <v>92</v>
      </c>
      <c r="U2" s="99" t="s">
        <v>93</v>
      </c>
      <c r="V2" s="99" t="s">
        <v>94</v>
      </c>
      <c r="W2" s="99" t="s">
        <v>95</v>
      </c>
      <c r="X2" s="99" t="s">
        <v>96</v>
      </c>
      <c r="Y2" s="99" t="s">
        <v>97</v>
      </c>
      <c r="Z2" s="99" t="s">
        <v>98</v>
      </c>
      <c r="AA2" s="99" t="s">
        <v>99</v>
      </c>
      <c r="AB2" s="99" t="s">
        <v>100</v>
      </c>
      <c r="AC2" s="99" t="s">
        <v>101</v>
      </c>
      <c r="AD2" s="99" t="s">
        <v>102</v>
      </c>
      <c r="AE2" s="99" t="s">
        <v>103</v>
      </c>
      <c r="AF2" s="100" t="s">
        <v>104</v>
      </c>
      <c r="AG2" s="96" t="s">
        <v>106</v>
      </c>
    </row>
    <row r="3" spans="1:33" ht="21.75" customHeight="1">
      <c r="A3" s="116" t="s">
        <v>60</v>
      </c>
      <c r="B3" s="111"/>
      <c r="C3" s="111">
        <f>'02'!AD6</f>
        <v>0</v>
      </c>
      <c r="D3" s="104">
        <f>'03'!AD6</f>
        <v>0.49974358974358973</v>
      </c>
      <c r="E3" s="104">
        <f>'04'!AD6</f>
        <v>0.99977324263038547</v>
      </c>
      <c r="F3" s="104">
        <f>'05'!AD6</f>
        <v>0.95833333333333337</v>
      </c>
      <c r="G3" s="104">
        <f>'06'!AD6</f>
        <v>0.49888475836431229</v>
      </c>
      <c r="H3" s="104"/>
      <c r="I3" s="104"/>
      <c r="J3" s="104">
        <f>'09'!AD6</f>
        <v>0.99979466119096505</v>
      </c>
      <c r="K3" s="104">
        <f>'10'!AD6</f>
        <v>0.99977116704805491</v>
      </c>
      <c r="L3" s="104">
        <f>'11'!AD6</f>
        <v>0.54166666666666663</v>
      </c>
      <c r="M3" s="104">
        <f>'12'!AD6</f>
        <v>0</v>
      </c>
      <c r="N3" s="122">
        <f>'13'!AD6</f>
        <v>0.83269476372924645</v>
      </c>
      <c r="O3" s="104"/>
      <c r="P3" s="104"/>
      <c r="Q3" s="104">
        <f>'16'!AD6</f>
        <v>0.99976553341148888</v>
      </c>
      <c r="R3" s="104">
        <f>'17'!AD6</f>
        <v>0.99959183673469387</v>
      </c>
      <c r="S3" s="104">
        <f>'18'!AD6</f>
        <v>1</v>
      </c>
      <c r="T3" s="104">
        <f>'19'!AD6</f>
        <v>0.58263750828363159</v>
      </c>
      <c r="U3" s="104"/>
      <c r="V3" s="104"/>
      <c r="W3" s="122"/>
      <c r="X3" s="104">
        <f>'23'!AD6</f>
        <v>0.74875000000000003</v>
      </c>
      <c r="Y3" s="104">
        <f>'24'!AD6</f>
        <v>0.79166666666666663</v>
      </c>
      <c r="Z3" s="104">
        <f>'25'!AD6</f>
        <v>0.99943289224952736</v>
      </c>
      <c r="AA3" s="104">
        <f>'26'!AD6</f>
        <v>0.16666666666666666</v>
      </c>
      <c r="AB3" s="104">
        <f>'27'!AD6</f>
        <v>0.58333333333333337</v>
      </c>
      <c r="AC3" s="104"/>
      <c r="AD3" s="104"/>
      <c r="AE3" s="104">
        <f>'30'!AD6</f>
        <v>0.74988461538461537</v>
      </c>
      <c r="AF3" s="105"/>
      <c r="AG3" s="107">
        <f>SUM(B3:AF3)/30</f>
        <v>0.46507970784790598</v>
      </c>
    </row>
    <row r="4" spans="1:33" ht="21.75" customHeight="1">
      <c r="A4" s="117" t="s">
        <v>61</v>
      </c>
      <c r="B4" s="112"/>
      <c r="C4" s="112">
        <f>'02'!AD7</f>
        <v>0</v>
      </c>
      <c r="D4" s="81">
        <f>'03'!AD7</f>
        <v>0</v>
      </c>
      <c r="E4" s="81">
        <f>'04'!AD7</f>
        <v>0</v>
      </c>
      <c r="F4" s="81">
        <f>'05'!AD7</f>
        <v>0</v>
      </c>
      <c r="G4" s="81">
        <f>'06'!AD7</f>
        <v>0</v>
      </c>
      <c r="H4" s="81"/>
      <c r="I4" s="81"/>
      <c r="J4" s="81">
        <f>'09'!AD7</f>
        <v>0</v>
      </c>
      <c r="K4" s="81">
        <f>'10'!AD7</f>
        <v>0</v>
      </c>
      <c r="L4" s="81">
        <f>'11'!AD7</f>
        <v>0</v>
      </c>
      <c r="M4" s="81">
        <f>'12'!AD7</f>
        <v>0</v>
      </c>
      <c r="N4" s="81">
        <f>'13'!AD7</f>
        <v>0</v>
      </c>
      <c r="O4" s="81"/>
      <c r="P4" s="81"/>
      <c r="Q4" s="81">
        <f>'16'!AD7</f>
        <v>0</v>
      </c>
      <c r="R4" s="81">
        <f>'17'!AD7</f>
        <v>0</v>
      </c>
      <c r="S4" s="81">
        <f>'18'!AD7</f>
        <v>0</v>
      </c>
      <c r="T4" s="81">
        <f>'19'!AD7</f>
        <v>0</v>
      </c>
      <c r="U4" s="81"/>
      <c r="V4" s="81"/>
      <c r="W4" s="81"/>
      <c r="X4" s="81">
        <f>'23'!AD7</f>
        <v>0</v>
      </c>
      <c r="Y4" s="81">
        <f>'24'!AD7</f>
        <v>0</v>
      </c>
      <c r="Z4" s="81">
        <f>'25'!AD7</f>
        <v>0.66634996041171812</v>
      </c>
      <c r="AA4" s="81">
        <f>'26'!AD7</f>
        <v>0</v>
      </c>
      <c r="AB4" s="81">
        <f>'27'!AD7</f>
        <v>0</v>
      </c>
      <c r="AC4" s="81"/>
      <c r="AD4" s="81"/>
      <c r="AE4" s="81">
        <f>'30'!AD7</f>
        <v>0</v>
      </c>
      <c r="AF4" s="82"/>
      <c r="AG4" s="83">
        <f t="shared" ref="AG4:AG18" si="0">SUM(B4:AF4)/30</f>
        <v>2.221166534705727E-2</v>
      </c>
    </row>
    <row r="5" spans="1:33" ht="21.75" customHeight="1">
      <c r="A5" s="118" t="s">
        <v>62</v>
      </c>
      <c r="B5" s="113"/>
      <c r="C5" s="113">
        <f>'02'!AD8</f>
        <v>0.99959349593495939</v>
      </c>
      <c r="D5" s="84">
        <f>'03'!AD8</f>
        <v>0.99938650306748467</v>
      </c>
      <c r="E5" s="84">
        <f>'04'!AD8</f>
        <v>0.37479508196721312</v>
      </c>
      <c r="F5" s="84">
        <f>'05'!AD8</f>
        <v>0.79166666666666663</v>
      </c>
      <c r="G5" s="84">
        <f>'06'!AD8</f>
        <v>0.5</v>
      </c>
      <c r="H5" s="84"/>
      <c r="I5" s="84"/>
      <c r="J5" s="84">
        <f>'09'!AD8</f>
        <v>0.54037081339712922</v>
      </c>
      <c r="K5" s="84">
        <f>'10'!AD8</f>
        <v>0.54090015723270435</v>
      </c>
      <c r="L5" s="84">
        <f>'11'!AD8</f>
        <v>0.375</v>
      </c>
      <c r="M5" s="84">
        <f>'12'!AD8</f>
        <v>0</v>
      </c>
      <c r="N5" s="84">
        <f>'13'!AD8</f>
        <v>0</v>
      </c>
      <c r="O5" s="84"/>
      <c r="P5" s="84"/>
      <c r="Q5" s="84">
        <f>'16'!AD8</f>
        <v>0</v>
      </c>
      <c r="R5" s="84">
        <f>'17'!AD8</f>
        <v>0.74845360824742269</v>
      </c>
      <c r="S5" s="84">
        <f>'18'!AD8</f>
        <v>1</v>
      </c>
      <c r="T5" s="84">
        <f>'19'!AD8</f>
        <v>0.99893617021276593</v>
      </c>
      <c r="U5" s="84"/>
      <c r="V5" s="84"/>
      <c r="W5" s="123"/>
      <c r="X5" s="84">
        <f>'23'!AD8</f>
        <v>0.95797707558859979</v>
      </c>
      <c r="Y5" s="84">
        <f>'24'!AD8+'24'!AD9</f>
        <v>0.95620567375886523</v>
      </c>
      <c r="Z5" s="84">
        <f>'25'!AD8</f>
        <v>1</v>
      </c>
      <c r="AA5" s="84">
        <f>'26'!AD8</f>
        <v>0.99983164983164985</v>
      </c>
      <c r="AB5" s="84">
        <f>'27'!AD8</f>
        <v>1</v>
      </c>
      <c r="AC5" s="84"/>
      <c r="AD5" s="84"/>
      <c r="AE5" s="84">
        <f>'30'!AD8</f>
        <v>0.99891696750902526</v>
      </c>
      <c r="AF5" s="85"/>
      <c r="AG5" s="86">
        <f t="shared" si="0"/>
        <v>0.45940112878048289</v>
      </c>
    </row>
    <row r="6" spans="1:33" ht="21.75" customHeight="1">
      <c r="A6" s="119" t="s">
        <v>63</v>
      </c>
      <c r="B6" s="114"/>
      <c r="C6" s="114">
        <f>'02'!AD9</f>
        <v>0</v>
      </c>
      <c r="D6" s="87">
        <f>'03'!AD9</f>
        <v>0</v>
      </c>
      <c r="E6" s="87">
        <f>'04'!AD9</f>
        <v>0.99942965779467685</v>
      </c>
      <c r="F6" s="87">
        <f>'05'!AD9</f>
        <v>0.62348024316109429</v>
      </c>
      <c r="G6" s="87">
        <f>'06'!AD9</f>
        <v>0</v>
      </c>
      <c r="H6" s="87"/>
      <c r="I6" s="87"/>
      <c r="J6" s="87">
        <f>'09'!AD9</f>
        <v>0</v>
      </c>
      <c r="K6" s="87">
        <f>'10'!AD9</f>
        <v>0</v>
      </c>
      <c r="L6" s="87">
        <f>'11'!AD9</f>
        <v>0.41666666666666669</v>
      </c>
      <c r="M6" s="87">
        <f>'12'!AD9</f>
        <v>0</v>
      </c>
      <c r="N6" s="87">
        <f>'13'!AD9</f>
        <v>0</v>
      </c>
      <c r="O6" s="87"/>
      <c r="P6" s="87"/>
      <c r="Q6" s="87">
        <f>'16'!AD9</f>
        <v>0</v>
      </c>
      <c r="R6" s="87">
        <f>'17'!AD9</f>
        <v>0</v>
      </c>
      <c r="S6" s="87">
        <f>'18'!AD9</f>
        <v>0.91666666666666663</v>
      </c>
      <c r="T6" s="87">
        <f>'19'!AD9</f>
        <v>0.99996844596371282</v>
      </c>
      <c r="U6" s="87"/>
      <c r="V6" s="87"/>
      <c r="W6" s="87"/>
      <c r="X6" s="87">
        <f>'23'!AD9</f>
        <v>0.8333199065495851</v>
      </c>
      <c r="Y6" s="87">
        <f>'24'!AD10</f>
        <v>0.99996351030833786</v>
      </c>
      <c r="Z6" s="87">
        <f>'25'!AD9</f>
        <v>0.29061561561561566</v>
      </c>
      <c r="AA6" s="87">
        <f>'26'!AD9+'26'!AD10</f>
        <v>0.49944444444444447</v>
      </c>
      <c r="AB6" s="87">
        <f>'27'!AD9</f>
        <v>0.62419614147909963</v>
      </c>
      <c r="AC6" s="87"/>
      <c r="AD6" s="87"/>
      <c r="AE6" s="87">
        <f>'30'!AD9</f>
        <v>0</v>
      </c>
      <c r="AF6" s="88"/>
      <c r="AG6" s="89">
        <f t="shared" si="0"/>
        <v>0.24012504328833001</v>
      </c>
    </row>
    <row r="7" spans="1:33" ht="21.75" customHeight="1">
      <c r="A7" s="119" t="s">
        <v>64</v>
      </c>
      <c r="B7" s="114"/>
      <c r="C7" s="114">
        <f>'02'!AD10</f>
        <v>0.24966101694915255</v>
      </c>
      <c r="D7" s="87">
        <f>'03'!AD10</f>
        <v>0</v>
      </c>
      <c r="E7" s="87">
        <f>'04'!AD10</f>
        <v>0.16666666666666666</v>
      </c>
      <c r="F7" s="87">
        <f>'05'!AD10+'05'!AD11</f>
        <v>0.33333333333333331</v>
      </c>
      <c r="G7" s="87">
        <f>'06'!AD10</f>
        <v>0.16666666666666666</v>
      </c>
      <c r="H7" s="87"/>
      <c r="I7" s="87"/>
      <c r="J7" s="87">
        <f>'09'!AD10</f>
        <v>0</v>
      </c>
      <c r="K7" s="87">
        <f>'10'!AD10</f>
        <v>0</v>
      </c>
      <c r="L7" s="87">
        <f>'11'!AD10</f>
        <v>0</v>
      </c>
      <c r="M7" s="87">
        <f>'12'!AD10</f>
        <v>0</v>
      </c>
      <c r="N7" s="87">
        <f>'13'!AD10</f>
        <v>0</v>
      </c>
      <c r="O7" s="87"/>
      <c r="P7" s="87"/>
      <c r="Q7" s="87">
        <f>'16'!AD10</f>
        <v>0</v>
      </c>
      <c r="R7" s="87">
        <f>'17'!AD10</f>
        <v>0</v>
      </c>
      <c r="S7" s="87">
        <f>'18'!AD10</f>
        <v>0</v>
      </c>
      <c r="T7" s="87">
        <f>'19'!AD10</f>
        <v>0</v>
      </c>
      <c r="U7" s="87"/>
      <c r="V7" s="87"/>
      <c r="W7" s="87"/>
      <c r="X7" s="87">
        <f>'23'!AD10</f>
        <v>0</v>
      </c>
      <c r="Y7" s="87">
        <f>'24'!AD11</f>
        <v>0</v>
      </c>
      <c r="Z7" s="87">
        <f>'25'!AD10</f>
        <v>0</v>
      </c>
      <c r="AA7" s="87">
        <f>'26'!AD11</f>
        <v>0</v>
      </c>
      <c r="AB7" s="87">
        <f>'27'!AD10</f>
        <v>0</v>
      </c>
      <c r="AC7" s="87"/>
      <c r="AD7" s="87"/>
      <c r="AE7" s="87">
        <f>'30'!AD10</f>
        <v>0</v>
      </c>
      <c r="AF7" s="88"/>
      <c r="AG7" s="89">
        <f t="shared" si="0"/>
        <v>3.0544256120527302E-2</v>
      </c>
    </row>
    <row r="8" spans="1:33" ht="21.75" customHeight="1">
      <c r="A8" s="119" t="s">
        <v>65</v>
      </c>
      <c r="B8" s="114"/>
      <c r="C8" s="114">
        <f>'02'!AD11</f>
        <v>0.91666666666666663</v>
      </c>
      <c r="D8" s="87">
        <f>'03'!AD11</f>
        <v>1</v>
      </c>
      <c r="E8" s="87">
        <f>'04'!AD11</f>
        <v>0.58283261802575115</v>
      </c>
      <c r="F8" s="87">
        <f>'05'!AD12</f>
        <v>0</v>
      </c>
      <c r="G8" s="87">
        <f>'06'!AD11</f>
        <v>0</v>
      </c>
      <c r="H8" s="87"/>
      <c r="I8" s="87"/>
      <c r="J8" s="87">
        <f>'09'!AD11</f>
        <v>0</v>
      </c>
      <c r="K8" s="87">
        <f>'10'!AD11</f>
        <v>0</v>
      </c>
      <c r="L8" s="87">
        <f>'11'!AD11</f>
        <v>0.16666666666666666</v>
      </c>
      <c r="M8" s="87">
        <f>'12'!AD11</f>
        <v>0</v>
      </c>
      <c r="N8" s="87">
        <f>'13'!AD11</f>
        <v>0.95756358768406968</v>
      </c>
      <c r="O8" s="87"/>
      <c r="P8" s="87"/>
      <c r="Q8" s="87">
        <f>'16'!AD11</f>
        <v>0.99901574803149606</v>
      </c>
      <c r="R8" s="87">
        <f>'17'!AD11</f>
        <v>0.99852941176470589</v>
      </c>
      <c r="S8" s="87">
        <f>'18'!AD11</f>
        <v>0.99919354838709673</v>
      </c>
      <c r="T8" s="87">
        <f>'19'!AD11</f>
        <v>0.99883720930232556</v>
      </c>
      <c r="U8" s="87"/>
      <c r="V8" s="87"/>
      <c r="W8" s="87"/>
      <c r="X8" s="87">
        <f>'23'!AD11</f>
        <v>0.62452290076335881</v>
      </c>
      <c r="Y8" s="87">
        <f>'24'!AD12</f>
        <v>0.95728252923976609</v>
      </c>
      <c r="Z8" s="87">
        <f>'25'!AD11</f>
        <v>0.99982142857142853</v>
      </c>
      <c r="AA8" s="87">
        <f>'26'!AD12+'26'!AD13</f>
        <v>0.43898809523809523</v>
      </c>
      <c r="AB8" s="87">
        <f>'27'!AD11</f>
        <v>0</v>
      </c>
      <c r="AC8" s="87"/>
      <c r="AD8" s="87"/>
      <c r="AE8" s="87">
        <f>'30'!AD11</f>
        <v>0.74953416149068319</v>
      </c>
      <c r="AF8" s="88"/>
      <c r="AG8" s="89">
        <f t="shared" si="0"/>
        <v>0.37964848572773696</v>
      </c>
    </row>
    <row r="9" spans="1:33" ht="21.75" customHeight="1">
      <c r="A9" s="119" t="s">
        <v>66</v>
      </c>
      <c r="B9" s="114"/>
      <c r="C9" s="114">
        <f>'02'!AD12</f>
        <v>0.66440251572327047</v>
      </c>
      <c r="D9" s="87">
        <f>'03'!AD12</f>
        <v>0.87376179245283025</v>
      </c>
      <c r="E9" s="87">
        <f>'04'!AD12</f>
        <v>0.99982300884955755</v>
      </c>
      <c r="F9" s="87">
        <f>'05'!AD13</f>
        <v>0.20833333333333334</v>
      </c>
      <c r="G9" s="87">
        <f>'06'!AD12</f>
        <v>0</v>
      </c>
      <c r="H9" s="87"/>
      <c r="I9" s="87"/>
      <c r="J9" s="87">
        <f>'09'!AD12</f>
        <v>0</v>
      </c>
      <c r="K9" s="87">
        <f>'10'!AD12</f>
        <v>0</v>
      </c>
      <c r="L9" s="87">
        <f>'11'!AD12</f>
        <v>0.62327586206896557</v>
      </c>
      <c r="M9" s="87">
        <f>'12'!AD12</f>
        <v>0.99870609981515712</v>
      </c>
      <c r="N9" s="87">
        <f>'13'!AD12</f>
        <v>0.9985074626865672</v>
      </c>
      <c r="O9" s="87"/>
      <c r="P9" s="87"/>
      <c r="Q9" s="87">
        <f>'16'!AD12</f>
        <v>0.7482081911262799</v>
      </c>
      <c r="R9" s="87">
        <f>'17'!AD12</f>
        <v>0.625</v>
      </c>
      <c r="S9" s="87">
        <f>'18'!AD12</f>
        <v>0.16666666666666666</v>
      </c>
      <c r="T9" s="87">
        <f>'19'!AD12</f>
        <v>0</v>
      </c>
      <c r="U9" s="87"/>
      <c r="V9" s="87"/>
      <c r="W9" s="87"/>
      <c r="X9" s="87">
        <f>'23'!AD12</f>
        <v>0</v>
      </c>
      <c r="Y9" s="87">
        <f>'24'!AD13</f>
        <v>0</v>
      </c>
      <c r="Z9" s="87">
        <f>'25'!AD12+'25'!AD13</f>
        <v>0.45635113268608418</v>
      </c>
      <c r="AA9" s="87">
        <f>'26'!AD14</f>
        <v>0.99812889812889816</v>
      </c>
      <c r="AB9" s="87">
        <f>'27'!AD12</f>
        <v>0.99844789356984476</v>
      </c>
      <c r="AC9" s="87"/>
      <c r="AD9" s="87"/>
      <c r="AE9" s="87">
        <f>'30'!AD12</f>
        <v>0.99918200408997959</v>
      </c>
      <c r="AF9" s="88"/>
      <c r="AG9" s="89">
        <f t="shared" si="0"/>
        <v>0.3452931620399145</v>
      </c>
    </row>
    <row r="10" spans="1:33" ht="21.75" customHeight="1">
      <c r="A10" s="119" t="s">
        <v>67</v>
      </c>
      <c r="B10" s="114"/>
      <c r="C10" s="114">
        <f>'02'!AD13</f>
        <v>0</v>
      </c>
      <c r="D10" s="87">
        <f>'03'!AD13</f>
        <v>0.54141589506172838</v>
      </c>
      <c r="E10" s="87">
        <f>'04'!AD13+'04'!AD14</f>
        <v>0.95748207885304648</v>
      </c>
      <c r="F10" s="87">
        <f>'05'!AD14+'05'!AD15</f>
        <v>0.99844961240310082</v>
      </c>
      <c r="G10" s="87">
        <f>'06'!AD13</f>
        <v>0</v>
      </c>
      <c r="H10" s="87"/>
      <c r="I10" s="87"/>
      <c r="J10" s="87">
        <f>'09'!AD13</f>
        <v>0.95814393939393938</v>
      </c>
      <c r="K10" s="87">
        <f>'10'!AD13</f>
        <v>0.24843750000000001</v>
      </c>
      <c r="L10" s="87">
        <f>'11'!AD13</f>
        <v>0.58333333333333337</v>
      </c>
      <c r="M10" s="87">
        <f>'12'!AD13</f>
        <v>1</v>
      </c>
      <c r="N10" s="87">
        <f>'13'!AD13</f>
        <v>1</v>
      </c>
      <c r="O10" s="87"/>
      <c r="P10" s="87"/>
      <c r="Q10" s="87">
        <f>'16'!AD13</f>
        <v>0</v>
      </c>
      <c r="R10" s="87">
        <f>'17'!AD13</f>
        <v>0</v>
      </c>
      <c r="S10" s="87">
        <f>'18'!AD13</f>
        <v>0</v>
      </c>
      <c r="T10" s="87">
        <f>'19'!AD13</f>
        <v>0.74885496183206113</v>
      </c>
      <c r="U10" s="87"/>
      <c r="V10" s="87"/>
      <c r="W10" s="87"/>
      <c r="X10" s="87">
        <f>'23'!AD13</f>
        <v>0</v>
      </c>
      <c r="Y10" s="87">
        <f>'24'!AD14</f>
        <v>0</v>
      </c>
      <c r="Z10" s="87">
        <f>'25'!AD14</f>
        <v>0.79166666666666663</v>
      </c>
      <c r="AA10" s="87">
        <f>'26'!AD15</f>
        <v>0.91585185185185181</v>
      </c>
      <c r="AB10" s="87">
        <f>'27'!AD13</f>
        <v>1</v>
      </c>
      <c r="AC10" s="87"/>
      <c r="AD10" s="87"/>
      <c r="AE10" s="87">
        <f>'30'!AD13</f>
        <v>0.41623036649214662</v>
      </c>
      <c r="AF10" s="88"/>
      <c r="AG10" s="89">
        <f t="shared" si="0"/>
        <v>0.33866220686292914</v>
      </c>
    </row>
    <row r="11" spans="1:33" ht="21.75" customHeight="1">
      <c r="A11" s="118" t="s">
        <v>68</v>
      </c>
      <c r="B11" s="113"/>
      <c r="C11" s="113">
        <f>'02'!AD14</f>
        <v>0</v>
      </c>
      <c r="D11" s="84">
        <f>'03'!AD14</f>
        <v>0</v>
      </c>
      <c r="E11" s="84">
        <f>'04'!AD15</f>
        <v>0</v>
      </c>
      <c r="F11" s="84">
        <f>'05'!AD16</f>
        <v>0</v>
      </c>
      <c r="G11" s="84">
        <f>'06'!AD14</f>
        <v>0</v>
      </c>
      <c r="H11" s="84"/>
      <c r="I11" s="84"/>
      <c r="J11" s="84">
        <f>'09'!AD14</f>
        <v>0</v>
      </c>
      <c r="K11" s="84">
        <f>'10'!AD14</f>
        <v>0</v>
      </c>
      <c r="L11" s="84">
        <f>'11'!AD14</f>
        <v>0</v>
      </c>
      <c r="M11" s="84">
        <f>'12'!AD14</f>
        <v>0.20833333333333334</v>
      </c>
      <c r="N11" s="84">
        <f>'13'!AD14</f>
        <v>0</v>
      </c>
      <c r="O11" s="84"/>
      <c r="P11" s="84"/>
      <c r="Q11" s="84">
        <f>'16'!AD14</f>
        <v>0</v>
      </c>
      <c r="R11" s="84">
        <f>'17'!AD14</f>
        <v>0.29166666666666669</v>
      </c>
      <c r="S11" s="84">
        <f>'18'!AD14</f>
        <v>0.33333333333333331</v>
      </c>
      <c r="T11" s="84">
        <f>'19'!AD14</f>
        <v>0</v>
      </c>
      <c r="U11" s="84"/>
      <c r="V11" s="84"/>
      <c r="W11" s="84"/>
      <c r="X11" s="84">
        <f>'23'!AD14</f>
        <v>0</v>
      </c>
      <c r="Y11" s="84">
        <f>'24'!AD15</f>
        <v>0</v>
      </c>
      <c r="Z11" s="84">
        <f>'25'!AD15</f>
        <v>0</v>
      </c>
      <c r="AA11" s="84">
        <f>'26'!AD16</f>
        <v>0</v>
      </c>
      <c r="AB11" s="84">
        <f>'27'!AD14</f>
        <v>0.24953703703703703</v>
      </c>
      <c r="AC11" s="84"/>
      <c r="AD11" s="84"/>
      <c r="AE11" s="84">
        <f>'30'!AD14</f>
        <v>0</v>
      </c>
      <c r="AF11" s="85"/>
      <c r="AG11" s="86">
        <f t="shared" si="0"/>
        <v>3.6095679012345679E-2</v>
      </c>
    </row>
    <row r="12" spans="1:33" ht="21.75" customHeight="1">
      <c r="A12" s="118" t="s">
        <v>69</v>
      </c>
      <c r="B12" s="113"/>
      <c r="C12" s="113">
        <f>'02'!AD15</f>
        <v>9.8920863309352514E-2</v>
      </c>
      <c r="D12" s="84">
        <f>'03'!AD15</f>
        <v>0</v>
      </c>
      <c r="E12" s="84">
        <f>'04'!AD16</f>
        <v>0</v>
      </c>
      <c r="F12" s="84">
        <f>'05'!AD17</f>
        <v>0</v>
      </c>
      <c r="G12" s="84">
        <f>'06'!AD15</f>
        <v>0</v>
      </c>
      <c r="H12" s="84"/>
      <c r="I12" s="84"/>
      <c r="J12" s="84">
        <f>'09'!AD15</f>
        <v>0</v>
      </c>
      <c r="K12" s="84">
        <f>'10'!AD15</f>
        <v>0</v>
      </c>
      <c r="L12" s="84">
        <f>'11'!AD15</f>
        <v>0</v>
      </c>
      <c r="M12" s="84">
        <f>'12'!AD15</f>
        <v>0.70725683890577506</v>
      </c>
      <c r="N12" s="84">
        <f>'13'!AD15</f>
        <v>0.58160635964912288</v>
      </c>
      <c r="O12" s="84"/>
      <c r="P12" s="84"/>
      <c r="Q12" s="84">
        <f>'16'!AD15</f>
        <v>0</v>
      </c>
      <c r="R12" s="84">
        <f>'17'!AD15</f>
        <v>0.83283631544068926</v>
      </c>
      <c r="S12" s="84">
        <f>'18'!AD15</f>
        <v>0.24958677685950414</v>
      </c>
      <c r="T12" s="84">
        <f>'19'!AD15</f>
        <v>0.74848993288590604</v>
      </c>
      <c r="U12" s="84"/>
      <c r="V12" s="84"/>
      <c r="W12" s="84"/>
      <c r="X12" s="84">
        <f>'23'!AD15</f>
        <v>1</v>
      </c>
      <c r="Y12" s="84">
        <f>'24'!AD16</f>
        <v>0.58259180790960463</v>
      </c>
      <c r="Z12" s="84">
        <f>'25'!AD16</f>
        <v>0</v>
      </c>
      <c r="AA12" s="84">
        <f>'26'!AD17</f>
        <v>0.58333333333333337</v>
      </c>
      <c r="AB12" s="84">
        <f>'27'!AD15+'27'!AD16</f>
        <v>0.875</v>
      </c>
      <c r="AC12" s="84"/>
      <c r="AD12" s="84"/>
      <c r="AE12" s="84">
        <f>'30'!AD15</f>
        <v>0.49947643979057593</v>
      </c>
      <c r="AF12" s="85"/>
      <c r="AG12" s="86">
        <f t="shared" si="0"/>
        <v>0.22530328893612878</v>
      </c>
    </row>
    <row r="13" spans="1:33" ht="21.75" customHeight="1">
      <c r="A13" s="118" t="s">
        <v>70</v>
      </c>
      <c r="B13" s="113"/>
      <c r="C13" s="113">
        <f>'02'!AD16</f>
        <v>0.99896480331262938</v>
      </c>
      <c r="D13" s="84">
        <f>'03'!AD16+'03'!AD17</f>
        <v>0.95642857142857141</v>
      </c>
      <c r="E13" s="84">
        <f>'04'!AD17</f>
        <v>0.99899799599198402</v>
      </c>
      <c r="F13" s="84">
        <f>'05'!AD18+'05'!AD19</f>
        <v>0.49906367041198496</v>
      </c>
      <c r="G13" s="84">
        <f>'06'!AD16</f>
        <v>0.5</v>
      </c>
      <c r="H13" s="84"/>
      <c r="I13" s="84"/>
      <c r="J13" s="84">
        <f>'09'!AD16</f>
        <v>0.99854809437386571</v>
      </c>
      <c r="K13" s="84">
        <f>'10'!AD16</f>
        <v>0.99906367041198507</v>
      </c>
      <c r="L13" s="84">
        <f>'11'!AD16</f>
        <v>1</v>
      </c>
      <c r="M13" s="84">
        <f>'12'!AD16</f>
        <v>0.99872958257713251</v>
      </c>
      <c r="N13" s="84">
        <f>'13'!AD16+'13'!AD17</f>
        <v>0.95816631504922645</v>
      </c>
      <c r="O13" s="84"/>
      <c r="P13" s="84"/>
      <c r="Q13" s="84">
        <f>'16'!AD16</f>
        <v>0.99959141981613897</v>
      </c>
      <c r="R13" s="84">
        <f>'17'!AD16</f>
        <v>0.99925512104283054</v>
      </c>
      <c r="S13" s="84">
        <f>'18'!AD16</f>
        <v>0.99962441314553996</v>
      </c>
      <c r="T13" s="84">
        <f>'19'!AD16</f>
        <v>0.58287220026350461</v>
      </c>
      <c r="U13" s="84"/>
      <c r="V13" s="84"/>
      <c r="W13" s="84"/>
      <c r="X13" s="84">
        <f>'23'!AD16</f>
        <v>0.70833333333333337</v>
      </c>
      <c r="Y13" s="84">
        <f>'24'!AD17</f>
        <v>0.99867424242424241</v>
      </c>
      <c r="Z13" s="84">
        <f>'25'!AD17</f>
        <v>0.99957805907172992</v>
      </c>
      <c r="AA13" s="84">
        <f>'26'!AD18</f>
        <v>0.29166666666666669</v>
      </c>
      <c r="AB13" s="84">
        <f>'27'!AD17</f>
        <v>0.66626984126984123</v>
      </c>
      <c r="AC13" s="84"/>
      <c r="AD13" s="84"/>
      <c r="AE13" s="84">
        <f>'30'!AD16</f>
        <v>0.99877408056042027</v>
      </c>
      <c r="AF13" s="85"/>
      <c r="AG13" s="86">
        <f t="shared" si="0"/>
        <v>0.57175340270505426</v>
      </c>
    </row>
    <row r="14" spans="1:33" ht="21.75" customHeight="1">
      <c r="A14" s="118" t="s">
        <v>71</v>
      </c>
      <c r="B14" s="113"/>
      <c r="C14" s="113">
        <f>'02'!AD17</f>
        <v>0</v>
      </c>
      <c r="D14" s="84">
        <f>'03'!AD18</f>
        <v>0.37366071428571429</v>
      </c>
      <c r="E14" s="84">
        <f>'04'!AD18</f>
        <v>0</v>
      </c>
      <c r="F14" s="84">
        <f>'05'!AD20</f>
        <v>0</v>
      </c>
      <c r="G14" s="84">
        <f>'06'!AD17</f>
        <v>0</v>
      </c>
      <c r="H14" s="84"/>
      <c r="I14" s="84"/>
      <c r="J14" s="84">
        <f>'09'!AD17</f>
        <v>0</v>
      </c>
      <c r="K14" s="84">
        <f>'10'!AD17</f>
        <v>0</v>
      </c>
      <c r="L14" s="84">
        <f>'11'!AD17</f>
        <v>0</v>
      </c>
      <c r="M14" s="84">
        <f>'12'!AD17</f>
        <v>0</v>
      </c>
      <c r="N14" s="84">
        <f>'13'!AD18</f>
        <v>0.875</v>
      </c>
      <c r="O14" s="84"/>
      <c r="P14" s="84"/>
      <c r="Q14" s="84">
        <f>'16'!AD17</f>
        <v>1</v>
      </c>
      <c r="R14" s="84">
        <f>'17'!AD17</f>
        <v>0.99981651376146785</v>
      </c>
      <c r="S14" s="84">
        <f>'18'!AD17</f>
        <v>0.99984802431610942</v>
      </c>
      <c r="T14" s="84">
        <f>'19'!AD17</f>
        <v>0.91625375375375373</v>
      </c>
      <c r="U14" s="84"/>
      <c r="V14" s="84"/>
      <c r="W14" s="84"/>
      <c r="X14" s="84">
        <f>'23'!AD17</f>
        <v>0.99981900452488692</v>
      </c>
      <c r="Y14" s="84">
        <f>'24'!AD18</f>
        <v>0</v>
      </c>
      <c r="Z14" s="84">
        <f>'25'!AD18</f>
        <v>0.16666666666666666</v>
      </c>
      <c r="AA14" s="84">
        <f>'26'!AD19</f>
        <v>0</v>
      </c>
      <c r="AB14" s="84">
        <f>'27'!AD18</f>
        <v>0</v>
      </c>
      <c r="AC14" s="84"/>
      <c r="AD14" s="84"/>
      <c r="AE14" s="84">
        <f>'30'!AD17</f>
        <v>0</v>
      </c>
      <c r="AF14" s="85"/>
      <c r="AG14" s="86">
        <f t="shared" si="0"/>
        <v>0.21103548924361998</v>
      </c>
    </row>
    <row r="15" spans="1:33" ht="21.75" customHeight="1">
      <c r="A15" s="119" t="s">
        <v>72</v>
      </c>
      <c r="B15" s="114"/>
      <c r="C15" s="114">
        <f>'02'!AD18</f>
        <v>0.66604068857589982</v>
      </c>
      <c r="D15" s="87">
        <f>'03'!AD19</f>
        <v>0.33144654088050313</v>
      </c>
      <c r="E15" s="87">
        <f>'04'!AD19</f>
        <v>0.74948805460750856</v>
      </c>
      <c r="F15" s="87">
        <f>'05'!AD21</f>
        <v>0.9987364620938628</v>
      </c>
      <c r="G15" s="87">
        <f>'06'!AD18+'06'!AD19</f>
        <v>0.49820924318161885</v>
      </c>
      <c r="H15" s="87"/>
      <c r="I15" s="87"/>
      <c r="J15" s="87">
        <f>'09'!AD18</f>
        <v>0.99942748091603051</v>
      </c>
      <c r="K15" s="87">
        <f>'10'!AD18</f>
        <v>0.75</v>
      </c>
      <c r="L15" s="87">
        <f>'11'!AD18+'11'!AD19</f>
        <v>0.80971741637831607</v>
      </c>
      <c r="M15" s="87">
        <f>'12'!AD18</f>
        <v>0.99958419958419964</v>
      </c>
      <c r="N15" s="87">
        <f>'13'!AD19+'13'!AD20</f>
        <v>0.62476993865030672</v>
      </c>
      <c r="O15" s="87"/>
      <c r="P15" s="87"/>
      <c r="Q15" s="87">
        <f>'16'!AD18</f>
        <v>0</v>
      </c>
      <c r="R15" s="87">
        <f>'17'!AD18</f>
        <v>0.24902597402597404</v>
      </c>
      <c r="S15" s="87">
        <f>'18'!AD18</f>
        <v>0.79000250250250248</v>
      </c>
      <c r="T15" s="87">
        <f>'19'!AD18</f>
        <v>0.45791090629800307</v>
      </c>
      <c r="U15" s="87"/>
      <c r="V15" s="87"/>
      <c r="W15" s="87"/>
      <c r="X15" s="87">
        <f>'23'!AD18</f>
        <v>0.95786240786240784</v>
      </c>
      <c r="Y15" s="87">
        <f>'24'!AD19</f>
        <v>0.99902723735408561</v>
      </c>
      <c r="Z15" s="87">
        <f>'25'!AD19+'25'!AD20</f>
        <v>0.58333333333333337</v>
      </c>
      <c r="AA15" s="87">
        <f>'26'!AD20</f>
        <v>0.87454896907216495</v>
      </c>
      <c r="AB15" s="87">
        <f>'27'!AD19</f>
        <v>0.375</v>
      </c>
      <c r="AC15" s="87"/>
      <c r="AD15" s="87"/>
      <c r="AE15" s="87">
        <f>'30'!AD18</f>
        <v>0.84605788423153694</v>
      </c>
      <c r="AF15" s="88"/>
      <c r="AG15" s="89">
        <f t="shared" si="0"/>
        <v>0.45200630798494179</v>
      </c>
    </row>
    <row r="16" spans="1:33" ht="21.75" customHeight="1">
      <c r="A16" s="119" t="s">
        <v>73</v>
      </c>
      <c r="B16" s="114"/>
      <c r="C16" s="114">
        <f>'02'!AD19</f>
        <v>0</v>
      </c>
      <c r="D16" s="87">
        <f>'03'!AD20</f>
        <v>0</v>
      </c>
      <c r="E16" s="87">
        <f>'04'!AD20</f>
        <v>0</v>
      </c>
      <c r="F16" s="87">
        <f>'05'!AD22</f>
        <v>0.16627906976744183</v>
      </c>
      <c r="G16" s="87">
        <f>'06'!AD20</f>
        <v>0.49825000000000003</v>
      </c>
      <c r="H16" s="87"/>
      <c r="I16" s="87"/>
      <c r="J16" s="87">
        <f>'09'!AD19</f>
        <v>0.99811320754716981</v>
      </c>
      <c r="K16" s="87">
        <f>'10'!AD19</f>
        <v>0.95833333333333337</v>
      </c>
      <c r="L16" s="87">
        <f>'11'!AD20</f>
        <v>0.70667155425219952</v>
      </c>
      <c r="M16" s="87">
        <f>'12'!AD19</f>
        <v>0.78976666666666662</v>
      </c>
      <c r="N16" s="87">
        <f>'13'!AD21</f>
        <v>1</v>
      </c>
      <c r="O16" s="87"/>
      <c r="P16" s="87"/>
      <c r="Q16" s="87">
        <f>'16'!AD19</f>
        <v>0.83304940374787062</v>
      </c>
      <c r="R16" s="87">
        <f>'17'!AD19</f>
        <v>0.91609135285913523</v>
      </c>
      <c r="S16" s="87">
        <f>'18'!AD19</f>
        <v>0.99945355191256835</v>
      </c>
      <c r="T16" s="87">
        <f>'19'!AD19</f>
        <v>0.99940769990128331</v>
      </c>
      <c r="U16" s="87"/>
      <c r="V16" s="87"/>
      <c r="W16" s="87"/>
      <c r="X16" s="87">
        <f>'23'!AD19+'23'!AD20</f>
        <v>0.95706744826810608</v>
      </c>
      <c r="Y16" s="87">
        <f>'24'!AD20</f>
        <v>0.99981412639405209</v>
      </c>
      <c r="Z16" s="87">
        <f>'25'!AD21</f>
        <v>0.99926739926739927</v>
      </c>
      <c r="AA16" s="87">
        <f>'26'!AD21</f>
        <v>0.9990689013035382</v>
      </c>
      <c r="AB16" s="87">
        <f>'27'!AD20</f>
        <v>0.99878048780487805</v>
      </c>
      <c r="AC16" s="87"/>
      <c r="AD16" s="87"/>
      <c r="AE16" s="87">
        <f>'30'!AD19</f>
        <v>0.99960861056751471</v>
      </c>
      <c r="AF16" s="88"/>
      <c r="AG16" s="89">
        <f t="shared" si="0"/>
        <v>0.49396742711977187</v>
      </c>
    </row>
    <row r="17" spans="1:33" ht="21.75" customHeight="1" thickBot="1">
      <c r="A17" s="120" t="s">
        <v>111</v>
      </c>
      <c r="B17" s="115"/>
      <c r="C17" s="115">
        <f>'02'!AD20</f>
        <v>0.1662182361733931</v>
      </c>
      <c r="D17" s="90">
        <f>'03'!AD21</f>
        <v>0</v>
      </c>
      <c r="E17" s="90">
        <f>'04'!AD21</f>
        <v>0</v>
      </c>
      <c r="F17" s="90">
        <f>'05'!AD23</f>
        <v>0</v>
      </c>
      <c r="G17" s="90">
        <f>'06'!AD21</f>
        <v>0</v>
      </c>
      <c r="H17" s="90"/>
      <c r="I17" s="90"/>
      <c r="J17" s="90">
        <f>'09'!AD20</f>
        <v>0</v>
      </c>
      <c r="K17" s="90">
        <f>'10'!AD20</f>
        <v>0</v>
      </c>
      <c r="L17" s="90">
        <f>'11'!AD21</f>
        <v>0</v>
      </c>
      <c r="M17" s="90">
        <f>'12'!AD20</f>
        <v>0</v>
      </c>
      <c r="N17" s="90">
        <f>'13'!AD22</f>
        <v>0</v>
      </c>
      <c r="O17" s="90"/>
      <c r="P17" s="90"/>
      <c r="Q17" s="90">
        <f>'16'!AD20</f>
        <v>0</v>
      </c>
      <c r="R17" s="90">
        <f>'17'!AD20</f>
        <v>0</v>
      </c>
      <c r="S17" s="90">
        <f>'18'!AD20</f>
        <v>0</v>
      </c>
      <c r="T17" s="90">
        <f>'19'!AD20</f>
        <v>0</v>
      </c>
      <c r="U17" s="90"/>
      <c r="V17" s="90"/>
      <c r="W17" s="90"/>
      <c r="X17" s="90">
        <f>'23'!AD21</f>
        <v>0</v>
      </c>
      <c r="Y17" s="90">
        <f>'24'!AD21</f>
        <v>0</v>
      </c>
      <c r="Z17" s="90">
        <f>'25'!AD22</f>
        <v>0</v>
      </c>
      <c r="AA17" s="90">
        <f>'26'!AD22</f>
        <v>0</v>
      </c>
      <c r="AB17" s="90">
        <f>'27'!AD21</f>
        <v>0</v>
      </c>
      <c r="AC17" s="90"/>
      <c r="AD17" s="90"/>
      <c r="AE17" s="90">
        <f>'30'!AD20</f>
        <v>0</v>
      </c>
      <c r="AF17" s="91"/>
      <c r="AG17" s="92">
        <f t="shared" si="0"/>
        <v>5.5406078724464366E-3</v>
      </c>
    </row>
    <row r="18" spans="1:33" s="93" customFormat="1" ht="21.75" customHeight="1">
      <c r="A18" s="97" t="s">
        <v>105</v>
      </c>
      <c r="B18" s="101"/>
      <c r="C18" s="101">
        <f>'02'!AD21</f>
        <v>0.31736455244302159</v>
      </c>
      <c r="D18" s="102">
        <f>'03'!AD22</f>
        <v>0.37172290712802813</v>
      </c>
      <c r="E18" s="102">
        <f>'04'!AD22</f>
        <v>0.45528589369245259</v>
      </c>
      <c r="F18" s="102">
        <f>'05'!AD24</f>
        <v>0.37184504830027676</v>
      </c>
      <c r="G18" s="102">
        <f>'06'!AD22</f>
        <v>0.17746737788083988</v>
      </c>
      <c r="H18" s="102"/>
      <c r="I18" s="102"/>
      <c r="J18" s="102">
        <f>'09'!AD21</f>
        <v>0.36629321312127328</v>
      </c>
      <c r="K18" s="102">
        <f>'10'!AD21</f>
        <v>0.29976705520173852</v>
      </c>
      <c r="L18" s="102">
        <f>'11'!AD22</f>
        <v>0.34819987773552097</v>
      </c>
      <c r="M18" s="102">
        <f>'12'!AD21</f>
        <v>0.3801584480588176</v>
      </c>
      <c r="N18" s="102">
        <f>'13'!AD23</f>
        <v>0.52188722849656932</v>
      </c>
      <c r="O18" s="102"/>
      <c r="P18" s="102"/>
      <c r="Q18" s="102">
        <f>'16'!AD21</f>
        <v>0.37197535307555163</v>
      </c>
      <c r="R18" s="102">
        <f>'17'!AD21</f>
        <v>0.51068445336957247</v>
      </c>
      <c r="S18" s="102">
        <f>'18'!AD21</f>
        <v>0.5636250322526658</v>
      </c>
      <c r="T18" s="102">
        <f>'19'!AD21</f>
        <v>0.53561125257979647</v>
      </c>
      <c r="U18" s="102"/>
      <c r="V18" s="102"/>
      <c r="W18" s="102"/>
      <c r="X18" s="102">
        <f>'23'!AD22</f>
        <v>0.51917680512601849</v>
      </c>
      <c r="Y18" s="102">
        <f>'24'!AD22</f>
        <v>0.48568171960370804</v>
      </c>
      <c r="Z18" s="102">
        <f>'25'!AD23</f>
        <v>0.53020554363601147</v>
      </c>
      <c r="AA18" s="102">
        <f>'26'!AD23</f>
        <v>0.45116863176915395</v>
      </c>
      <c r="AB18" s="102">
        <f>'27'!AD22</f>
        <v>0.4913709822996023</v>
      </c>
      <c r="AC18" s="102"/>
      <c r="AD18" s="102"/>
      <c r="AE18" s="102">
        <f>'30'!AD21</f>
        <v>0.48384434200776655</v>
      </c>
      <c r="AF18" s="103"/>
      <c r="AG18" s="106">
        <f t="shared" si="0"/>
        <v>0.28511119059261281</v>
      </c>
    </row>
    <row r="19" spans="1:33" ht="21.75" customHeight="1" thickBot="1">
      <c r="A19" s="76" t="s">
        <v>109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160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125" t="s">
        <v>17</v>
      </c>
      <c r="L5" s="125" t="s">
        <v>18</v>
      </c>
      <c r="M5" s="125" t="s">
        <v>19</v>
      </c>
      <c r="N5" s="12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144</v>
      </c>
      <c r="F6" s="33" t="s">
        <v>131</v>
      </c>
      <c r="G6" s="36">
        <v>1</v>
      </c>
      <c r="H6" s="38">
        <v>25</v>
      </c>
      <c r="I6" s="7">
        <v>10000</v>
      </c>
      <c r="J6" s="5">
        <v>680</v>
      </c>
      <c r="K6" s="15">
        <f>L6+1076+4687+5154+680</f>
        <v>11597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0.31736455244302159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0.31736455244302159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151</v>
      </c>
      <c r="D8" s="55" t="s">
        <v>152</v>
      </c>
      <c r="E8" s="57" t="s">
        <v>153</v>
      </c>
      <c r="F8" s="33" t="s">
        <v>142</v>
      </c>
      <c r="G8" s="12">
        <v>1</v>
      </c>
      <c r="H8" s="13">
        <v>25</v>
      </c>
      <c r="I8" s="34">
        <v>16000</v>
      </c>
      <c r="J8" s="5">
        <v>4920</v>
      </c>
      <c r="K8" s="15">
        <f>L8+78</f>
        <v>4996</v>
      </c>
      <c r="L8" s="15">
        <f>2807+2111</f>
        <v>4918</v>
      </c>
      <c r="M8" s="16">
        <f t="shared" si="0"/>
        <v>4918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0.99959349593495939</v>
      </c>
      <c r="AC8" s="9">
        <f t="shared" si="5"/>
        <v>1</v>
      </c>
      <c r="AD8" s="10">
        <f t="shared" si="6"/>
        <v>0.99959349593495939</v>
      </c>
      <c r="AE8" s="39">
        <f t="shared" si="7"/>
        <v>0.31736455244302159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125</v>
      </c>
      <c r="D9" s="55" t="s">
        <v>129</v>
      </c>
      <c r="E9" s="57" t="s">
        <v>148</v>
      </c>
      <c r="F9" s="33" t="s">
        <v>135</v>
      </c>
      <c r="G9" s="36">
        <v>2</v>
      </c>
      <c r="H9" s="38">
        <v>25</v>
      </c>
      <c r="I9" s="7">
        <v>30000</v>
      </c>
      <c r="J9" s="5">
        <v>80</v>
      </c>
      <c r="K9" s="15">
        <f>L9+3546+9086+9662</f>
        <v>22294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0.31736455244302159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125</v>
      </c>
      <c r="D10" s="55" t="s">
        <v>129</v>
      </c>
      <c r="E10" s="57" t="s">
        <v>148</v>
      </c>
      <c r="F10" s="33" t="s">
        <v>135</v>
      </c>
      <c r="G10" s="36">
        <v>2</v>
      </c>
      <c r="H10" s="38">
        <v>25</v>
      </c>
      <c r="I10" s="7">
        <v>30000</v>
      </c>
      <c r="J10" s="5">
        <v>2950</v>
      </c>
      <c r="K10" s="15">
        <f>L10+3546+9086+9662+1112</f>
        <v>26352</v>
      </c>
      <c r="L10" s="15">
        <f>1473*2</f>
        <v>2946</v>
      </c>
      <c r="M10" s="16">
        <f t="shared" ref="M10" si="9">L10-N10</f>
        <v>2946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6</v>
      </c>
      <c r="Q10" s="43">
        <f t="shared" ref="Q10" si="12">SUM(R10:AA10)</f>
        <v>18</v>
      </c>
      <c r="R10" s="7"/>
      <c r="S10" s="6">
        <v>18</v>
      </c>
      <c r="T10" s="17"/>
      <c r="U10" s="17"/>
      <c r="V10" s="18"/>
      <c r="W10" s="19"/>
      <c r="X10" s="17"/>
      <c r="Y10" s="20"/>
      <c r="Z10" s="20"/>
      <c r="AA10" s="21"/>
      <c r="AB10" s="8">
        <f t="shared" ref="AB10" si="13">IF(J10=0,"0",(L10/J10))</f>
        <v>0.99864406779661019</v>
      </c>
      <c r="AC10" s="9">
        <f t="shared" ref="AC10" si="14">IF(P10=0,"0",(P10/24))</f>
        <v>0.25</v>
      </c>
      <c r="AD10" s="10">
        <f t="shared" ref="AD10" si="15">AC10*AB10*(1-O10)</f>
        <v>0.24966101694915255</v>
      </c>
      <c r="AE10" s="39">
        <f t="shared" si="7"/>
        <v>0.31736455244302159</v>
      </c>
      <c r="AF10" s="94">
        <f t="shared" ref="AF10" si="16">A10</f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161</v>
      </c>
      <c r="E11" s="57" t="s">
        <v>162</v>
      </c>
      <c r="F11" s="12" t="s">
        <v>163</v>
      </c>
      <c r="G11" s="12">
        <v>1</v>
      </c>
      <c r="H11" s="13">
        <v>25</v>
      </c>
      <c r="I11" s="34">
        <v>10000</v>
      </c>
      <c r="J11" s="14">
        <v>4490</v>
      </c>
      <c r="K11" s="15">
        <f>L11</f>
        <v>4490</v>
      </c>
      <c r="L11" s="15">
        <f>1699+1723+1068</f>
        <v>4490</v>
      </c>
      <c r="M11" s="16">
        <f t="shared" si="0"/>
        <v>4490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/>
      <c r="T11" s="17">
        <v>2</v>
      </c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9">
        <f t="shared" si="7"/>
        <v>0.31736455244302159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164</v>
      </c>
      <c r="D12" s="55"/>
      <c r="E12" s="57" t="s">
        <v>165</v>
      </c>
      <c r="F12" s="12">
        <v>7301</v>
      </c>
      <c r="G12" s="12">
        <v>1</v>
      </c>
      <c r="H12" s="13">
        <v>25</v>
      </c>
      <c r="I12" s="7">
        <v>2500</v>
      </c>
      <c r="J12" s="14">
        <v>2650</v>
      </c>
      <c r="K12" s="15">
        <f>L12</f>
        <v>2641</v>
      </c>
      <c r="L12" s="15">
        <f>868+1773</f>
        <v>2641</v>
      </c>
      <c r="M12" s="16">
        <f t="shared" si="0"/>
        <v>2641</v>
      </c>
      <c r="N12" s="16">
        <v>0</v>
      </c>
      <c r="O12" s="62">
        <f t="shared" si="1"/>
        <v>0</v>
      </c>
      <c r="P12" s="42">
        <f t="shared" si="2"/>
        <v>16</v>
      </c>
      <c r="Q12" s="43">
        <f t="shared" si="3"/>
        <v>8</v>
      </c>
      <c r="R12" s="7"/>
      <c r="S12" s="6"/>
      <c r="T12" s="17"/>
      <c r="U12" s="17"/>
      <c r="V12" s="18"/>
      <c r="W12" s="19">
        <v>8</v>
      </c>
      <c r="X12" s="17"/>
      <c r="Y12" s="20"/>
      <c r="Z12" s="20"/>
      <c r="AA12" s="21"/>
      <c r="AB12" s="8">
        <f t="shared" si="4"/>
        <v>0.99660377358490571</v>
      </c>
      <c r="AC12" s="9">
        <f t="shared" si="5"/>
        <v>0.66666666666666663</v>
      </c>
      <c r="AD12" s="10">
        <f t="shared" si="6"/>
        <v>0.66440251572327047</v>
      </c>
      <c r="AE12" s="39">
        <f t="shared" si="7"/>
        <v>0.31736455244302159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134</v>
      </c>
      <c r="D13" s="55" t="s">
        <v>154</v>
      </c>
      <c r="E13" s="57" t="s">
        <v>155</v>
      </c>
      <c r="F13" s="12" t="s">
        <v>156</v>
      </c>
      <c r="G13" s="12">
        <v>1</v>
      </c>
      <c r="H13" s="13">
        <v>25</v>
      </c>
      <c r="I13" s="7">
        <v>1000</v>
      </c>
      <c r="J13" s="14">
        <v>1270</v>
      </c>
      <c r="K13" s="15">
        <f>L13+1265</f>
        <v>1265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0.31736455244302159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137</v>
      </c>
      <c r="F14" s="33" t="s">
        <v>128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0.31736455244302159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166</v>
      </c>
      <c r="D15" s="55" t="s">
        <v>138</v>
      </c>
      <c r="E15" s="57" t="s">
        <v>167</v>
      </c>
      <c r="F15" s="12">
        <v>8301</v>
      </c>
      <c r="G15" s="12">
        <v>1</v>
      </c>
      <c r="H15" s="13">
        <v>24</v>
      </c>
      <c r="I15" s="34">
        <v>1000</v>
      </c>
      <c r="J15" s="14">
        <v>2780</v>
      </c>
      <c r="K15" s="15">
        <f>L15</f>
        <v>1100</v>
      </c>
      <c r="L15" s="15">
        <v>1100</v>
      </c>
      <c r="M15" s="16">
        <f t="shared" si="0"/>
        <v>1100</v>
      </c>
      <c r="N15" s="16">
        <v>0</v>
      </c>
      <c r="O15" s="62">
        <f t="shared" si="1"/>
        <v>0</v>
      </c>
      <c r="P15" s="42">
        <f t="shared" si="2"/>
        <v>6</v>
      </c>
      <c r="Q15" s="43">
        <f t="shared" si="3"/>
        <v>18</v>
      </c>
      <c r="R15" s="7"/>
      <c r="S15" s="6"/>
      <c r="T15" s="17"/>
      <c r="U15" s="17"/>
      <c r="V15" s="18"/>
      <c r="W15" s="19">
        <v>18</v>
      </c>
      <c r="X15" s="17"/>
      <c r="Y15" s="20"/>
      <c r="Z15" s="20"/>
      <c r="AA15" s="21"/>
      <c r="AB15" s="8">
        <f t="shared" si="4"/>
        <v>0.39568345323741005</v>
      </c>
      <c r="AC15" s="9">
        <f t="shared" si="5"/>
        <v>0.25</v>
      </c>
      <c r="AD15" s="10">
        <f t="shared" si="6"/>
        <v>9.8920863309352514E-2</v>
      </c>
      <c r="AE15" s="39">
        <f t="shared" si="7"/>
        <v>0.31736455244302159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114</v>
      </c>
      <c r="D16" s="55" t="s">
        <v>141</v>
      </c>
      <c r="E16" s="57" t="s">
        <v>150</v>
      </c>
      <c r="F16" s="12">
        <v>7301</v>
      </c>
      <c r="G16" s="12">
        <v>1</v>
      </c>
      <c r="H16" s="13">
        <v>24</v>
      </c>
      <c r="I16" s="34">
        <v>10000</v>
      </c>
      <c r="J16" s="14">
        <v>4830</v>
      </c>
      <c r="K16" s="15">
        <f>L16+3768+2510</f>
        <v>11103</v>
      </c>
      <c r="L16" s="15">
        <f>2746+2079</f>
        <v>4825</v>
      </c>
      <c r="M16" s="16">
        <f t="shared" si="0"/>
        <v>4825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0.99896480331262938</v>
      </c>
      <c r="AC16" s="9">
        <f t="shared" si="5"/>
        <v>1</v>
      </c>
      <c r="AD16" s="10">
        <f t="shared" si="6"/>
        <v>0.99896480331262938</v>
      </c>
      <c r="AE16" s="39">
        <f t="shared" si="7"/>
        <v>0.31736455244302159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126</v>
      </c>
      <c r="E17" s="57" t="s">
        <v>143</v>
      </c>
      <c r="F17" s="12" t="s">
        <v>140</v>
      </c>
      <c r="G17" s="12">
        <v>1</v>
      </c>
      <c r="H17" s="13">
        <v>25</v>
      </c>
      <c r="I17" s="34">
        <v>1700</v>
      </c>
      <c r="J17" s="5">
        <v>416</v>
      </c>
      <c r="K17" s="15">
        <f>L17+416</f>
        <v>416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>
        <v>24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0.31736455244302159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164</v>
      </c>
      <c r="D18" s="55"/>
      <c r="E18" s="57" t="s">
        <v>168</v>
      </c>
      <c r="F18" s="12">
        <v>7301</v>
      </c>
      <c r="G18" s="12">
        <v>4</v>
      </c>
      <c r="H18" s="13">
        <v>24</v>
      </c>
      <c r="I18" s="34">
        <v>2000</v>
      </c>
      <c r="J18" s="14">
        <v>8520</v>
      </c>
      <c r="K18" s="15">
        <f>L18</f>
        <v>8512</v>
      </c>
      <c r="L18" s="15">
        <f>2128*4</f>
        <v>8512</v>
      </c>
      <c r="M18" s="16">
        <f t="shared" si="0"/>
        <v>8512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/>
      <c r="T18" s="17">
        <v>8</v>
      </c>
      <c r="U18" s="17"/>
      <c r="V18" s="18"/>
      <c r="W18" s="19"/>
      <c r="X18" s="17"/>
      <c r="Y18" s="20"/>
      <c r="Z18" s="20"/>
      <c r="AA18" s="21"/>
      <c r="AB18" s="8">
        <f t="shared" si="4"/>
        <v>0.99906103286384973</v>
      </c>
      <c r="AC18" s="9">
        <f t="shared" si="5"/>
        <v>0.66666666666666663</v>
      </c>
      <c r="AD18" s="10">
        <f t="shared" si="6"/>
        <v>0.66604068857589982</v>
      </c>
      <c r="AE18" s="39">
        <f t="shared" si="7"/>
        <v>0.31736455244302159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121</v>
      </c>
      <c r="D19" s="55" t="s">
        <v>132</v>
      </c>
      <c r="E19" s="57" t="s">
        <v>149</v>
      </c>
      <c r="F19" s="12" t="s">
        <v>130</v>
      </c>
      <c r="G19" s="12">
        <v>1</v>
      </c>
      <c r="H19" s="13">
        <v>25</v>
      </c>
      <c r="I19" s="7">
        <v>3500</v>
      </c>
      <c r="J19" s="14">
        <v>2270</v>
      </c>
      <c r="K19" s="15">
        <f>L19+3767+2262</f>
        <v>6029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0.31736455244302159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</f>
        <v>375660</v>
      </c>
      <c r="L20" s="15">
        <f>556*4</f>
        <v>2224</v>
      </c>
      <c r="M20" s="16">
        <f t="shared" si="0"/>
        <v>2224</v>
      </c>
      <c r="N20" s="16">
        <v>0</v>
      </c>
      <c r="O20" s="62">
        <f t="shared" si="1"/>
        <v>0</v>
      </c>
      <c r="P20" s="42">
        <f t="shared" si="2"/>
        <v>4</v>
      </c>
      <c r="Q20" s="43">
        <f t="shared" si="3"/>
        <v>20</v>
      </c>
      <c r="R20" s="7"/>
      <c r="S20" s="6">
        <v>20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0.99730941704035869</v>
      </c>
      <c r="AC20" s="9">
        <f t="shared" si="5"/>
        <v>0.16666666666666666</v>
      </c>
      <c r="AD20" s="10">
        <f t="shared" si="6"/>
        <v>0.1662182361733931</v>
      </c>
      <c r="AE20" s="39">
        <f t="shared" si="7"/>
        <v>0.31736455244302159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17">SUM(I6:I20)</f>
        <v>922800</v>
      </c>
      <c r="J21" s="22">
        <f t="shared" si="17"/>
        <v>42006</v>
      </c>
      <c r="K21" s="23">
        <f t="shared" si="17"/>
        <v>484103</v>
      </c>
      <c r="L21" s="24">
        <f t="shared" si="17"/>
        <v>31656</v>
      </c>
      <c r="M21" s="23">
        <f t="shared" si="17"/>
        <v>31656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118</v>
      </c>
      <c r="Q21" s="46">
        <f t="shared" si="18"/>
        <v>242</v>
      </c>
      <c r="R21" s="26">
        <f t="shared" si="18"/>
        <v>0</v>
      </c>
      <c r="S21" s="27">
        <f t="shared" si="18"/>
        <v>62</v>
      </c>
      <c r="T21" s="27">
        <f t="shared" si="18"/>
        <v>10</v>
      </c>
      <c r="U21" s="27">
        <f t="shared" si="18"/>
        <v>0</v>
      </c>
      <c r="V21" s="28">
        <f t="shared" si="18"/>
        <v>0</v>
      </c>
      <c r="W21" s="29">
        <f t="shared" si="18"/>
        <v>146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24</v>
      </c>
      <c r="AB21" s="31">
        <f>SUM(AB6:AB20)/15</f>
        <v>0.49239066958471489</v>
      </c>
      <c r="AC21" s="4">
        <f>SUM(AC6:AC20)/15</f>
        <v>0.32777777777777778</v>
      </c>
      <c r="AD21" s="4">
        <f>SUM(AD6:AD20)/15</f>
        <v>0.31736455244302159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169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182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126" t="s">
        <v>46</v>
      </c>
      <c r="D50" s="126" t="s">
        <v>47</v>
      </c>
      <c r="E50" s="126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126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5" t="s">
        <v>170</v>
      </c>
      <c r="B51" s="396"/>
      <c r="C51" s="128" t="s">
        <v>171</v>
      </c>
      <c r="D51" s="128"/>
      <c r="E51" s="128" t="s">
        <v>172</v>
      </c>
      <c r="F51" s="397" t="s">
        <v>133</v>
      </c>
      <c r="G51" s="397"/>
      <c r="H51" s="397"/>
      <c r="I51" s="397"/>
      <c r="J51" s="397"/>
      <c r="K51" s="397"/>
      <c r="L51" s="397"/>
      <c r="M51" s="398"/>
      <c r="N51" s="132" t="s">
        <v>183</v>
      </c>
      <c r="O51" s="74" t="s">
        <v>171</v>
      </c>
      <c r="P51" s="396" t="s">
        <v>184</v>
      </c>
      <c r="Q51" s="396"/>
      <c r="R51" s="396" t="s">
        <v>185</v>
      </c>
      <c r="S51" s="396"/>
      <c r="T51" s="396"/>
      <c r="U51" s="396"/>
      <c r="V51" s="397" t="s">
        <v>133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170</v>
      </c>
      <c r="B52" s="396"/>
      <c r="C52" s="128" t="s">
        <v>173</v>
      </c>
      <c r="D52" s="128"/>
      <c r="E52" s="128" t="s">
        <v>168</v>
      </c>
      <c r="F52" s="397" t="s">
        <v>133</v>
      </c>
      <c r="G52" s="397"/>
      <c r="H52" s="397"/>
      <c r="I52" s="397"/>
      <c r="J52" s="397"/>
      <c r="K52" s="397"/>
      <c r="L52" s="397"/>
      <c r="M52" s="398"/>
      <c r="N52" s="132" t="s">
        <v>158</v>
      </c>
      <c r="O52" s="74" t="s">
        <v>187</v>
      </c>
      <c r="P52" s="396" t="s">
        <v>157</v>
      </c>
      <c r="Q52" s="396"/>
      <c r="R52" s="396" t="s">
        <v>186</v>
      </c>
      <c r="S52" s="396"/>
      <c r="T52" s="396"/>
      <c r="U52" s="396"/>
      <c r="V52" s="397" t="s">
        <v>133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174</v>
      </c>
      <c r="B53" s="396"/>
      <c r="C53" s="128" t="s">
        <v>175</v>
      </c>
      <c r="D53" s="128" t="s">
        <v>176</v>
      </c>
      <c r="E53" s="128" t="s">
        <v>177</v>
      </c>
      <c r="F53" s="397" t="s">
        <v>133</v>
      </c>
      <c r="G53" s="397"/>
      <c r="H53" s="397"/>
      <c r="I53" s="397"/>
      <c r="J53" s="397"/>
      <c r="K53" s="397"/>
      <c r="L53" s="397"/>
      <c r="M53" s="398"/>
      <c r="N53" s="132"/>
      <c r="O53" s="74"/>
      <c r="P53" s="396"/>
      <c r="Q53" s="396"/>
      <c r="R53" s="396"/>
      <c r="S53" s="396"/>
      <c r="T53" s="396"/>
      <c r="U53" s="396"/>
      <c r="V53" s="397"/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178</v>
      </c>
      <c r="B54" s="396"/>
      <c r="C54" s="128" t="s">
        <v>179</v>
      </c>
      <c r="D54" s="128" t="s">
        <v>180</v>
      </c>
      <c r="E54" s="128" t="s">
        <v>181</v>
      </c>
      <c r="F54" s="397" t="s">
        <v>133</v>
      </c>
      <c r="G54" s="397"/>
      <c r="H54" s="397"/>
      <c r="I54" s="397"/>
      <c r="J54" s="397"/>
      <c r="K54" s="397"/>
      <c r="L54" s="397"/>
      <c r="M54" s="398"/>
      <c r="N54" s="132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128"/>
      <c r="D55" s="128"/>
      <c r="E55" s="128"/>
      <c r="F55" s="397"/>
      <c r="G55" s="397"/>
      <c r="H55" s="397"/>
      <c r="I55" s="397"/>
      <c r="J55" s="397"/>
      <c r="K55" s="397"/>
      <c r="L55" s="397"/>
      <c r="M55" s="398"/>
      <c r="N55" s="132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9"/>
      <c r="B56" s="400"/>
      <c r="C56" s="127"/>
      <c r="D56" s="128"/>
      <c r="E56" s="127"/>
      <c r="F56" s="397"/>
      <c r="G56" s="397"/>
      <c r="H56" s="397"/>
      <c r="I56" s="397"/>
      <c r="J56" s="397"/>
      <c r="K56" s="397"/>
      <c r="L56" s="397"/>
      <c r="M56" s="398"/>
      <c r="N56" s="132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/>
      <c r="B57" s="400"/>
      <c r="C57" s="127"/>
      <c r="D57" s="128"/>
      <c r="E57" s="127"/>
      <c r="F57" s="397"/>
      <c r="G57" s="397"/>
      <c r="H57" s="397"/>
      <c r="I57" s="397"/>
      <c r="J57" s="397"/>
      <c r="K57" s="397"/>
      <c r="L57" s="397"/>
      <c r="M57" s="398"/>
      <c r="N57" s="132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127"/>
      <c r="D58" s="128"/>
      <c r="E58" s="127"/>
      <c r="F58" s="397"/>
      <c r="G58" s="397"/>
      <c r="H58" s="397"/>
      <c r="I58" s="397"/>
      <c r="J58" s="397"/>
      <c r="K58" s="397"/>
      <c r="L58" s="397"/>
      <c r="M58" s="398"/>
      <c r="N58" s="132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128"/>
      <c r="D59" s="128"/>
      <c r="E59" s="128"/>
      <c r="F59" s="397"/>
      <c r="G59" s="397"/>
      <c r="H59" s="397"/>
      <c r="I59" s="397"/>
      <c r="J59" s="397"/>
      <c r="K59" s="397"/>
      <c r="L59" s="397"/>
      <c r="M59" s="398"/>
      <c r="N59" s="132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130"/>
      <c r="D60" s="130"/>
      <c r="E60" s="130"/>
      <c r="F60" s="403"/>
      <c r="G60" s="403"/>
      <c r="H60" s="403"/>
      <c r="I60" s="403"/>
      <c r="J60" s="403"/>
      <c r="K60" s="403"/>
      <c r="L60" s="403"/>
      <c r="M60" s="404"/>
      <c r="N60" s="129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188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131" t="s">
        <v>2</v>
      </c>
      <c r="D62" s="131" t="s">
        <v>37</v>
      </c>
      <c r="E62" s="131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31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189</v>
      </c>
      <c r="D63" s="135"/>
      <c r="E63" s="133" t="s">
        <v>190</v>
      </c>
      <c r="F63" s="416" t="s">
        <v>191</v>
      </c>
      <c r="G63" s="417"/>
      <c r="H63" s="417"/>
      <c r="I63" s="417"/>
      <c r="J63" s="417"/>
      <c r="K63" s="417" t="s">
        <v>192</v>
      </c>
      <c r="L63" s="417"/>
      <c r="M63" s="54" t="s">
        <v>139</v>
      </c>
      <c r="N63" s="417">
        <v>4</v>
      </c>
      <c r="O63" s="417"/>
      <c r="P63" s="418">
        <v>50</v>
      </c>
      <c r="Q63" s="418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/>
      <c r="D64" s="135"/>
      <c r="E64" s="133"/>
      <c r="F64" s="416"/>
      <c r="G64" s="417"/>
      <c r="H64" s="417"/>
      <c r="I64" s="417"/>
      <c r="J64" s="417"/>
      <c r="K64" s="417"/>
      <c r="L64" s="417"/>
      <c r="M64" s="54"/>
      <c r="N64" s="417"/>
      <c r="O64" s="417"/>
      <c r="P64" s="418"/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/>
      <c r="D65" s="135"/>
      <c r="E65" s="133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/>
      <c r="D66" s="135"/>
      <c r="E66" s="133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/>
      <c r="D67" s="135"/>
      <c r="E67" s="133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/>
      <c r="D68" s="135"/>
      <c r="E68" s="133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135"/>
      <c r="E69" s="133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135"/>
      <c r="E70" s="133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193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134" t="s">
        <v>2</v>
      </c>
      <c r="D72" s="134" t="s">
        <v>37</v>
      </c>
      <c r="E72" s="134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136" t="s">
        <v>114</v>
      </c>
      <c r="D73" s="136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135" t="s">
        <v>114</v>
      </c>
      <c r="D74" s="135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9">A74+1</f>
        <v>3</v>
      </c>
      <c r="B75" s="428"/>
      <c r="C75" s="135"/>
      <c r="D75" s="135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9"/>
        <v>4</v>
      </c>
      <c r="B76" s="428"/>
      <c r="C76" s="135"/>
      <c r="D76" s="135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9"/>
        <v>5</v>
      </c>
      <c r="B77" s="428"/>
      <c r="C77" s="135"/>
      <c r="D77" s="135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9"/>
        <v>6</v>
      </c>
      <c r="B78" s="428"/>
      <c r="C78" s="135"/>
      <c r="D78" s="135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9"/>
        <v>7</v>
      </c>
      <c r="B79" s="428"/>
      <c r="C79" s="135"/>
      <c r="D79" s="135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9"/>
        <v>8</v>
      </c>
      <c r="B80" s="428"/>
      <c r="C80" s="135"/>
      <c r="D80" s="135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9"/>
        <v>9</v>
      </c>
      <c r="B81" s="428"/>
      <c r="C81" s="135"/>
      <c r="D81" s="135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194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F80" sqref="F80:J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195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137" t="s">
        <v>17</v>
      </c>
      <c r="L5" s="137" t="s">
        <v>18</v>
      </c>
      <c r="M5" s="137" t="s">
        <v>19</v>
      </c>
      <c r="N5" s="13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196</v>
      </c>
      <c r="F6" s="33" t="s">
        <v>131</v>
      </c>
      <c r="G6" s="36">
        <v>1</v>
      </c>
      <c r="H6" s="38">
        <v>25</v>
      </c>
      <c r="I6" s="7">
        <v>5000</v>
      </c>
      <c r="J6" s="5">
        <v>1950</v>
      </c>
      <c r="K6" s="15">
        <f>L6</f>
        <v>1949</v>
      </c>
      <c r="L6" s="15">
        <f>1949</f>
        <v>1949</v>
      </c>
      <c r="M6" s="16">
        <f t="shared" ref="M6:M21" si="0">L6-N6</f>
        <v>1949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12</v>
      </c>
      <c r="Q6" s="43">
        <f t="shared" ref="Q6:Q21" si="3">SUM(R6:AA6)</f>
        <v>12</v>
      </c>
      <c r="R6" s="7"/>
      <c r="S6" s="6"/>
      <c r="T6" s="17">
        <v>12</v>
      </c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0.99948717948717947</v>
      </c>
      <c r="AC6" s="9">
        <f t="shared" ref="AC6:AC21" si="5">IF(P6=0,"0",(P6/24))</f>
        <v>0.5</v>
      </c>
      <c r="AD6" s="10">
        <f t="shared" ref="AD6:AD21" si="6">AC6*AB6*(1-O6)</f>
        <v>0.49974358974358973</v>
      </c>
      <c r="AE6" s="39">
        <f t="shared" ref="AE6:AE21" si="7">$AD$22</f>
        <v>0.37172290712802813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0.37172290712802813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151</v>
      </c>
      <c r="D8" s="55" t="s">
        <v>152</v>
      </c>
      <c r="E8" s="57" t="s">
        <v>153</v>
      </c>
      <c r="F8" s="33" t="s">
        <v>142</v>
      </c>
      <c r="G8" s="12">
        <v>1</v>
      </c>
      <c r="H8" s="13">
        <v>25</v>
      </c>
      <c r="I8" s="34">
        <v>16000</v>
      </c>
      <c r="J8" s="5">
        <v>4890</v>
      </c>
      <c r="K8" s="15">
        <f>L8+78+4918</f>
        <v>9883</v>
      </c>
      <c r="L8" s="15">
        <f>2452+2435</f>
        <v>4887</v>
      </c>
      <c r="M8" s="16">
        <f t="shared" si="0"/>
        <v>4887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0.99938650306748467</v>
      </c>
      <c r="AC8" s="9">
        <f t="shared" si="5"/>
        <v>1</v>
      </c>
      <c r="AD8" s="10">
        <f t="shared" si="6"/>
        <v>0.99938650306748467</v>
      </c>
      <c r="AE8" s="39">
        <f t="shared" si="7"/>
        <v>0.37172290712802813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125</v>
      </c>
      <c r="D9" s="55" t="s">
        <v>129</v>
      </c>
      <c r="E9" s="57" t="s">
        <v>148</v>
      </c>
      <c r="F9" s="33" t="s">
        <v>135</v>
      </c>
      <c r="G9" s="36">
        <v>2</v>
      </c>
      <c r="H9" s="38">
        <v>25</v>
      </c>
      <c r="I9" s="7">
        <v>30000</v>
      </c>
      <c r="J9" s="5">
        <v>80</v>
      </c>
      <c r="K9" s="15">
        <f>L9+3546+9086+9662</f>
        <v>22294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0.37172290712802813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125</v>
      </c>
      <c r="D10" s="55" t="s">
        <v>129</v>
      </c>
      <c r="E10" s="57" t="s">
        <v>148</v>
      </c>
      <c r="F10" s="33" t="s">
        <v>135</v>
      </c>
      <c r="G10" s="36">
        <v>2</v>
      </c>
      <c r="H10" s="38">
        <v>25</v>
      </c>
      <c r="I10" s="7">
        <v>30000</v>
      </c>
      <c r="J10" s="5">
        <v>2950</v>
      </c>
      <c r="K10" s="15">
        <f>L10+3546+9086+9662+1112+2946</f>
        <v>26352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0.37172290712802813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161</v>
      </c>
      <c r="E11" s="57" t="s">
        <v>162</v>
      </c>
      <c r="F11" s="12" t="s">
        <v>163</v>
      </c>
      <c r="G11" s="12">
        <v>1</v>
      </c>
      <c r="H11" s="13">
        <v>25</v>
      </c>
      <c r="I11" s="34">
        <v>10000</v>
      </c>
      <c r="J11" s="14">
        <v>5182</v>
      </c>
      <c r="K11" s="15">
        <f>L11+4490</f>
        <v>9672</v>
      </c>
      <c r="L11" s="15">
        <f>2492+2690</f>
        <v>5182</v>
      </c>
      <c r="M11" s="16">
        <f t="shared" si="0"/>
        <v>5182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 t="shared" si="7"/>
        <v>0.37172290712802813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197</v>
      </c>
      <c r="D12" s="55" t="s">
        <v>198</v>
      </c>
      <c r="E12" s="57" t="s">
        <v>199</v>
      </c>
      <c r="F12" s="12" t="s">
        <v>200</v>
      </c>
      <c r="G12" s="12">
        <v>1</v>
      </c>
      <c r="H12" s="13">
        <v>25</v>
      </c>
      <c r="I12" s="7">
        <v>20000</v>
      </c>
      <c r="J12" s="14">
        <v>4240</v>
      </c>
      <c r="K12" s="15">
        <f>L12</f>
        <v>4234</v>
      </c>
      <c r="L12" s="15">
        <f>2887+1347</f>
        <v>4234</v>
      </c>
      <c r="M12" s="16">
        <f t="shared" si="0"/>
        <v>4234</v>
      </c>
      <c r="N12" s="16">
        <v>0</v>
      </c>
      <c r="O12" s="62">
        <f t="shared" si="1"/>
        <v>0</v>
      </c>
      <c r="P12" s="42">
        <f t="shared" si="2"/>
        <v>21</v>
      </c>
      <c r="Q12" s="43">
        <f t="shared" si="3"/>
        <v>3</v>
      </c>
      <c r="R12" s="7"/>
      <c r="S12" s="6">
        <v>3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0.99858490566037739</v>
      </c>
      <c r="AC12" s="9">
        <f t="shared" si="5"/>
        <v>0.875</v>
      </c>
      <c r="AD12" s="10">
        <f t="shared" si="6"/>
        <v>0.87376179245283025</v>
      </c>
      <c r="AE12" s="39">
        <f t="shared" si="7"/>
        <v>0.37172290712802813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201</v>
      </c>
      <c r="D13" s="55" t="s">
        <v>202</v>
      </c>
      <c r="E13" s="57" t="s">
        <v>203</v>
      </c>
      <c r="F13" s="12">
        <v>7301</v>
      </c>
      <c r="G13" s="12">
        <v>1</v>
      </c>
      <c r="H13" s="13">
        <v>25</v>
      </c>
      <c r="I13" s="7">
        <v>2000</v>
      </c>
      <c r="J13" s="14">
        <v>2160</v>
      </c>
      <c r="K13" s="15">
        <f>L13</f>
        <v>2159</v>
      </c>
      <c r="L13" s="15">
        <f>1067+1092</f>
        <v>2159</v>
      </c>
      <c r="M13" s="16">
        <f t="shared" si="0"/>
        <v>2159</v>
      </c>
      <c r="N13" s="16">
        <v>0</v>
      </c>
      <c r="O13" s="62">
        <f t="shared" si="1"/>
        <v>0</v>
      </c>
      <c r="P13" s="42">
        <f t="shared" si="2"/>
        <v>13</v>
      </c>
      <c r="Q13" s="43">
        <f t="shared" si="3"/>
        <v>11</v>
      </c>
      <c r="R13" s="7"/>
      <c r="S13" s="6"/>
      <c r="T13" s="17">
        <v>11</v>
      </c>
      <c r="U13" s="17"/>
      <c r="V13" s="18"/>
      <c r="W13" s="19"/>
      <c r="X13" s="17"/>
      <c r="Y13" s="20"/>
      <c r="Z13" s="20"/>
      <c r="AA13" s="21"/>
      <c r="AB13" s="8">
        <f t="shared" si="4"/>
        <v>0.999537037037037</v>
      </c>
      <c r="AC13" s="9">
        <f t="shared" si="5"/>
        <v>0.54166666666666663</v>
      </c>
      <c r="AD13" s="10">
        <f t="shared" si="6"/>
        <v>0.54141589506172838</v>
      </c>
      <c r="AE13" s="39">
        <f t="shared" si="7"/>
        <v>0.37172290712802813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137</v>
      </c>
      <c r="F14" s="33" t="s">
        <v>128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0.37172290712802813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166</v>
      </c>
      <c r="D15" s="55" t="s">
        <v>138</v>
      </c>
      <c r="E15" s="57" t="s">
        <v>167</v>
      </c>
      <c r="F15" s="12">
        <v>8301</v>
      </c>
      <c r="G15" s="12">
        <v>1</v>
      </c>
      <c r="H15" s="13">
        <v>24</v>
      </c>
      <c r="I15" s="34">
        <v>1000</v>
      </c>
      <c r="J15" s="14">
        <v>2780</v>
      </c>
      <c r="K15" s="15">
        <f>L15+1100</f>
        <v>1100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0.37172290712802813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114</v>
      </c>
      <c r="D16" s="55" t="s">
        <v>141</v>
      </c>
      <c r="E16" s="57" t="s">
        <v>150</v>
      </c>
      <c r="F16" s="12">
        <v>7301</v>
      </c>
      <c r="G16" s="12">
        <v>1</v>
      </c>
      <c r="H16" s="13">
        <v>24</v>
      </c>
      <c r="I16" s="34">
        <v>10000</v>
      </c>
      <c r="J16" s="14">
        <v>1440</v>
      </c>
      <c r="K16" s="15">
        <f>L16+3768+2510+4825</f>
        <v>12543</v>
      </c>
      <c r="L16" s="15">
        <f>1440</f>
        <v>1440</v>
      </c>
      <c r="M16" s="16">
        <f t="shared" si="0"/>
        <v>1440</v>
      </c>
      <c r="N16" s="16">
        <v>0</v>
      </c>
      <c r="O16" s="62">
        <f t="shared" si="1"/>
        <v>0</v>
      </c>
      <c r="P16" s="42">
        <f t="shared" si="2"/>
        <v>7</v>
      </c>
      <c r="Q16" s="43">
        <f t="shared" si="3"/>
        <v>17</v>
      </c>
      <c r="R16" s="7"/>
      <c r="S16" s="6"/>
      <c r="T16" s="17"/>
      <c r="U16" s="17"/>
      <c r="V16" s="18"/>
      <c r="W16" s="19">
        <v>17</v>
      </c>
      <c r="X16" s="17"/>
      <c r="Y16" s="20"/>
      <c r="Z16" s="20"/>
      <c r="AA16" s="21"/>
      <c r="AB16" s="8">
        <f t="shared" si="4"/>
        <v>1</v>
      </c>
      <c r="AC16" s="9">
        <f t="shared" si="5"/>
        <v>0.29166666666666669</v>
      </c>
      <c r="AD16" s="10">
        <f t="shared" si="6"/>
        <v>0.29166666666666669</v>
      </c>
      <c r="AE16" s="39">
        <f t="shared" si="7"/>
        <v>0.37172290712802813</v>
      </c>
      <c r="AF16" s="94">
        <f t="shared" si="8"/>
        <v>11</v>
      </c>
    </row>
    <row r="17" spans="1:32" ht="27" customHeight="1">
      <c r="A17" s="109">
        <v>11</v>
      </c>
      <c r="B17" s="11" t="s">
        <v>57</v>
      </c>
      <c r="C17" s="11" t="s">
        <v>197</v>
      </c>
      <c r="D17" s="55" t="s">
        <v>204</v>
      </c>
      <c r="E17" s="57" t="s">
        <v>206</v>
      </c>
      <c r="F17" s="12" t="s">
        <v>207</v>
      </c>
      <c r="G17" s="12">
        <v>1</v>
      </c>
      <c r="H17" s="13">
        <v>24</v>
      </c>
      <c r="I17" s="34">
        <v>6500</v>
      </c>
      <c r="J17" s="14">
        <v>3150</v>
      </c>
      <c r="K17" s="15">
        <f>L17</f>
        <v>3141</v>
      </c>
      <c r="L17" s="15">
        <f>590+2551</f>
        <v>3141</v>
      </c>
      <c r="M17" s="16">
        <f t="shared" ref="M17" si="9">L17-N17</f>
        <v>3141</v>
      </c>
      <c r="N17" s="16">
        <v>0</v>
      </c>
      <c r="O17" s="62">
        <f t="shared" ref="O17" si="10">IF(L17=0,"0",N17/L17)</f>
        <v>0</v>
      </c>
      <c r="P17" s="42">
        <f t="shared" ref="P17" si="11">IF(L17=0,"0",(24-Q17))</f>
        <v>16</v>
      </c>
      <c r="Q17" s="43">
        <f t="shared" ref="Q17" si="12">SUM(R17:AA17)</f>
        <v>8</v>
      </c>
      <c r="R17" s="7"/>
      <c r="S17" s="6"/>
      <c r="T17" s="17">
        <v>8</v>
      </c>
      <c r="U17" s="17"/>
      <c r="V17" s="18"/>
      <c r="W17" s="19"/>
      <c r="X17" s="17"/>
      <c r="Y17" s="20"/>
      <c r="Z17" s="20"/>
      <c r="AA17" s="21"/>
      <c r="AB17" s="8">
        <f t="shared" ref="AB17" si="13">IF(J17=0,"0",(L17/J17))</f>
        <v>0.99714285714285711</v>
      </c>
      <c r="AC17" s="9">
        <f t="shared" ref="AC17" si="14">IF(P17=0,"0",(P17/24))</f>
        <v>0.66666666666666663</v>
      </c>
      <c r="AD17" s="10">
        <f t="shared" ref="AD17" si="15">AC17*AB17*(1-O17)</f>
        <v>0.66476190476190467</v>
      </c>
      <c r="AE17" s="39">
        <f t="shared" si="7"/>
        <v>0.37172290712802813</v>
      </c>
      <c r="AF17" s="94">
        <f t="shared" ref="AF17" si="16">A17</f>
        <v>11</v>
      </c>
    </row>
    <row r="18" spans="1:32" ht="27" customHeight="1">
      <c r="A18" s="109">
        <v>12</v>
      </c>
      <c r="B18" s="11" t="s">
        <v>57</v>
      </c>
      <c r="C18" s="37" t="s">
        <v>121</v>
      </c>
      <c r="D18" s="55" t="s">
        <v>126</v>
      </c>
      <c r="E18" s="57" t="s">
        <v>143</v>
      </c>
      <c r="F18" s="12" t="s">
        <v>140</v>
      </c>
      <c r="G18" s="12">
        <v>1</v>
      </c>
      <c r="H18" s="13">
        <v>25</v>
      </c>
      <c r="I18" s="34">
        <v>1700</v>
      </c>
      <c r="J18" s="5">
        <v>1680</v>
      </c>
      <c r="K18" s="15">
        <f>L18+416</f>
        <v>2090</v>
      </c>
      <c r="L18" s="15">
        <f>1674</f>
        <v>1674</v>
      </c>
      <c r="M18" s="16">
        <f t="shared" si="0"/>
        <v>1674</v>
      </c>
      <c r="N18" s="16">
        <v>0</v>
      </c>
      <c r="O18" s="62">
        <f t="shared" si="1"/>
        <v>0</v>
      </c>
      <c r="P18" s="42">
        <f t="shared" si="2"/>
        <v>9</v>
      </c>
      <c r="Q18" s="43">
        <f t="shared" si="3"/>
        <v>15</v>
      </c>
      <c r="R18" s="7"/>
      <c r="S18" s="6"/>
      <c r="T18" s="17"/>
      <c r="U18" s="17"/>
      <c r="V18" s="18"/>
      <c r="W18" s="19">
        <v>15</v>
      </c>
      <c r="X18" s="17"/>
      <c r="Y18" s="20"/>
      <c r="Z18" s="20"/>
      <c r="AA18" s="21"/>
      <c r="AB18" s="8">
        <f t="shared" si="4"/>
        <v>0.99642857142857144</v>
      </c>
      <c r="AC18" s="9">
        <f t="shared" si="5"/>
        <v>0.375</v>
      </c>
      <c r="AD18" s="10">
        <f t="shared" si="6"/>
        <v>0.37366071428571429</v>
      </c>
      <c r="AE18" s="39">
        <f t="shared" si="7"/>
        <v>0.37172290712802813</v>
      </c>
      <c r="AF18" s="94">
        <f t="shared" si="8"/>
        <v>12</v>
      </c>
    </row>
    <row r="19" spans="1:32" ht="27" customHeight="1">
      <c r="A19" s="110">
        <v>13</v>
      </c>
      <c r="B19" s="11" t="s">
        <v>57</v>
      </c>
      <c r="C19" s="11" t="s">
        <v>201</v>
      </c>
      <c r="D19" s="55" t="s">
        <v>208</v>
      </c>
      <c r="E19" s="57" t="s">
        <v>209</v>
      </c>
      <c r="F19" s="12" t="s">
        <v>210</v>
      </c>
      <c r="G19" s="12" t="s">
        <v>211</v>
      </c>
      <c r="H19" s="13">
        <v>24</v>
      </c>
      <c r="I19" s="34">
        <v>1000</v>
      </c>
      <c r="J19" s="14">
        <v>1060</v>
      </c>
      <c r="K19" s="15">
        <f>L19</f>
        <v>1054</v>
      </c>
      <c r="L19" s="15">
        <v>1054</v>
      </c>
      <c r="M19" s="16">
        <f t="shared" si="0"/>
        <v>1054</v>
      </c>
      <c r="N19" s="16">
        <v>0</v>
      </c>
      <c r="O19" s="62">
        <f t="shared" si="1"/>
        <v>0</v>
      </c>
      <c r="P19" s="42">
        <f t="shared" si="2"/>
        <v>8</v>
      </c>
      <c r="Q19" s="43">
        <f t="shared" si="3"/>
        <v>16</v>
      </c>
      <c r="R19" s="7"/>
      <c r="S19" s="6">
        <v>16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0.99433962264150944</v>
      </c>
      <c r="AC19" s="9">
        <f t="shared" si="5"/>
        <v>0.33333333333333331</v>
      </c>
      <c r="AD19" s="10">
        <f t="shared" si="6"/>
        <v>0.33144654088050313</v>
      </c>
      <c r="AE19" s="39">
        <f t="shared" si="7"/>
        <v>0.37172290712802813</v>
      </c>
      <c r="AF19" s="94">
        <f t="shared" si="8"/>
        <v>13</v>
      </c>
    </row>
    <row r="20" spans="1:32" ht="27" customHeight="1">
      <c r="A20" s="110">
        <v>14</v>
      </c>
      <c r="B20" s="11" t="s">
        <v>57</v>
      </c>
      <c r="C20" s="11" t="s">
        <v>121</v>
      </c>
      <c r="D20" s="55" t="s">
        <v>132</v>
      </c>
      <c r="E20" s="57" t="s">
        <v>149</v>
      </c>
      <c r="F20" s="12" t="s">
        <v>130</v>
      </c>
      <c r="G20" s="12">
        <v>1</v>
      </c>
      <c r="H20" s="13">
        <v>25</v>
      </c>
      <c r="I20" s="7">
        <v>3500</v>
      </c>
      <c r="J20" s="14">
        <v>2270</v>
      </c>
      <c r="K20" s="15">
        <f>L20+3767+2262</f>
        <v>6029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0.37172290712802813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122</v>
      </c>
      <c r="D21" s="55"/>
      <c r="E21" s="56" t="s">
        <v>127</v>
      </c>
      <c r="F21" s="12" t="s">
        <v>123</v>
      </c>
      <c r="G21" s="12">
        <v>4</v>
      </c>
      <c r="H21" s="38">
        <v>20</v>
      </c>
      <c r="I21" s="7">
        <v>800000</v>
      </c>
      <c r="J21" s="14">
        <v>2230</v>
      </c>
      <c r="K21" s="15">
        <f>L21+29128+42972+45096+45728+43064+5640+29816+42972+44600+38336+6084+2224</f>
        <v>375660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0.37172290712802813</v>
      </c>
      <c r="AF21" s="94">
        <f t="shared" si="8"/>
        <v>15</v>
      </c>
    </row>
    <row r="22" spans="1:32" ht="31.5" customHeight="1" thickBot="1">
      <c r="A22" s="368" t="s">
        <v>34</v>
      </c>
      <c r="B22" s="369"/>
      <c r="C22" s="369"/>
      <c r="D22" s="369"/>
      <c r="E22" s="369"/>
      <c r="F22" s="369"/>
      <c r="G22" s="369"/>
      <c r="H22" s="370"/>
      <c r="I22" s="25">
        <f t="shared" ref="I22:N22" si="17">SUM(I6:I21)</f>
        <v>941800</v>
      </c>
      <c r="J22" s="22">
        <f t="shared" si="17"/>
        <v>39982</v>
      </c>
      <c r="K22" s="23">
        <f t="shared" si="17"/>
        <v>485808</v>
      </c>
      <c r="L22" s="24">
        <f t="shared" si="17"/>
        <v>25720</v>
      </c>
      <c r="M22" s="23">
        <f t="shared" si="17"/>
        <v>25720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134</v>
      </c>
      <c r="Q22" s="46">
        <f t="shared" si="18"/>
        <v>250</v>
      </c>
      <c r="R22" s="26">
        <f t="shared" si="18"/>
        <v>0</v>
      </c>
      <c r="S22" s="27">
        <f t="shared" si="18"/>
        <v>43</v>
      </c>
      <c r="T22" s="27">
        <f t="shared" si="18"/>
        <v>31</v>
      </c>
      <c r="U22" s="27">
        <f t="shared" si="18"/>
        <v>0</v>
      </c>
      <c r="V22" s="28">
        <f t="shared" si="18"/>
        <v>0</v>
      </c>
      <c r="W22" s="29">
        <f t="shared" si="18"/>
        <v>152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24</v>
      </c>
      <c r="AB22" s="31">
        <f>SUM(AB6:AB21)/15</f>
        <v>0.59899377843100121</v>
      </c>
      <c r="AC22" s="4">
        <f>SUM(AC6:AC21)/15</f>
        <v>0.37222222222222218</v>
      </c>
      <c r="AD22" s="4">
        <f>SUM(AD6:AD21)/15</f>
        <v>0.37172290712802813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1" t="s">
        <v>45</v>
      </c>
      <c r="B49" s="371"/>
      <c r="C49" s="371"/>
      <c r="D49" s="371"/>
      <c r="E49" s="37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2" t="s">
        <v>212</v>
      </c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4"/>
      <c r="N50" s="375" t="s">
        <v>228</v>
      </c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7"/>
    </row>
    <row r="51" spans="1:32" ht="27" customHeight="1">
      <c r="A51" s="378" t="s">
        <v>2</v>
      </c>
      <c r="B51" s="379"/>
      <c r="C51" s="138" t="s">
        <v>46</v>
      </c>
      <c r="D51" s="138" t="s">
        <v>47</v>
      </c>
      <c r="E51" s="138" t="s">
        <v>108</v>
      </c>
      <c r="F51" s="379" t="s">
        <v>107</v>
      </c>
      <c r="G51" s="379"/>
      <c r="H51" s="379"/>
      <c r="I51" s="379"/>
      <c r="J51" s="379"/>
      <c r="K51" s="379"/>
      <c r="L51" s="379"/>
      <c r="M51" s="380"/>
      <c r="N51" s="73" t="s">
        <v>112</v>
      </c>
      <c r="O51" s="138" t="s">
        <v>46</v>
      </c>
      <c r="P51" s="381" t="s">
        <v>47</v>
      </c>
      <c r="Q51" s="382"/>
      <c r="R51" s="381" t="s">
        <v>38</v>
      </c>
      <c r="S51" s="383"/>
      <c r="T51" s="383"/>
      <c r="U51" s="382"/>
      <c r="V51" s="381" t="s">
        <v>48</v>
      </c>
      <c r="W51" s="383"/>
      <c r="X51" s="383"/>
      <c r="Y51" s="383"/>
      <c r="Z51" s="383"/>
      <c r="AA51" s="383"/>
      <c r="AB51" s="383"/>
      <c r="AC51" s="383"/>
      <c r="AD51" s="384"/>
    </row>
    <row r="52" spans="1:32" ht="27" customHeight="1">
      <c r="A52" s="395" t="s">
        <v>213</v>
      </c>
      <c r="B52" s="396"/>
      <c r="C52" s="140" t="s">
        <v>214</v>
      </c>
      <c r="D52" s="140" t="s">
        <v>215</v>
      </c>
      <c r="E52" s="140" t="s">
        <v>196</v>
      </c>
      <c r="F52" s="397" t="s">
        <v>133</v>
      </c>
      <c r="G52" s="397"/>
      <c r="H52" s="397"/>
      <c r="I52" s="397"/>
      <c r="J52" s="397"/>
      <c r="K52" s="397"/>
      <c r="L52" s="397"/>
      <c r="M52" s="398"/>
      <c r="N52" s="144" t="s">
        <v>183</v>
      </c>
      <c r="O52" s="74" t="s">
        <v>229</v>
      </c>
      <c r="P52" s="396" t="s">
        <v>184</v>
      </c>
      <c r="Q52" s="396"/>
      <c r="R52" s="396" t="s">
        <v>230</v>
      </c>
      <c r="S52" s="396"/>
      <c r="T52" s="396"/>
      <c r="U52" s="396"/>
      <c r="V52" s="397" t="s">
        <v>133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213</v>
      </c>
      <c r="B53" s="396"/>
      <c r="C53" s="140" t="s">
        <v>216</v>
      </c>
      <c r="D53" s="140" t="s">
        <v>198</v>
      </c>
      <c r="E53" s="140" t="s">
        <v>199</v>
      </c>
      <c r="F53" s="397" t="s">
        <v>217</v>
      </c>
      <c r="G53" s="397"/>
      <c r="H53" s="397"/>
      <c r="I53" s="397"/>
      <c r="J53" s="397"/>
      <c r="K53" s="397"/>
      <c r="L53" s="397"/>
      <c r="M53" s="398"/>
      <c r="N53" s="144" t="s">
        <v>197</v>
      </c>
      <c r="O53" s="74" t="s">
        <v>225</v>
      </c>
      <c r="P53" s="396" t="s">
        <v>232</v>
      </c>
      <c r="Q53" s="396"/>
      <c r="R53" s="396" t="s">
        <v>231</v>
      </c>
      <c r="S53" s="396"/>
      <c r="T53" s="396"/>
      <c r="U53" s="396"/>
      <c r="V53" s="397" t="s">
        <v>133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218</v>
      </c>
      <c r="B54" s="396"/>
      <c r="C54" s="140" t="s">
        <v>219</v>
      </c>
      <c r="D54" s="140" t="s">
        <v>220</v>
      </c>
      <c r="E54" s="140" t="s">
        <v>203</v>
      </c>
      <c r="F54" s="397" t="s">
        <v>133</v>
      </c>
      <c r="G54" s="397"/>
      <c r="H54" s="397"/>
      <c r="I54" s="397"/>
      <c r="J54" s="397"/>
      <c r="K54" s="397"/>
      <c r="L54" s="397"/>
      <c r="M54" s="398"/>
      <c r="N54" s="144" t="s">
        <v>197</v>
      </c>
      <c r="O54" s="74" t="s">
        <v>233</v>
      </c>
      <c r="P54" s="396" t="s">
        <v>234</v>
      </c>
      <c r="Q54" s="396"/>
      <c r="R54" s="396" t="s">
        <v>235</v>
      </c>
      <c r="S54" s="396"/>
      <c r="T54" s="396"/>
      <c r="U54" s="396"/>
      <c r="V54" s="397" t="s">
        <v>133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213</v>
      </c>
      <c r="B55" s="396"/>
      <c r="C55" s="140" t="s">
        <v>221</v>
      </c>
      <c r="D55" s="140" t="s">
        <v>204</v>
      </c>
      <c r="E55" s="140" t="s">
        <v>206</v>
      </c>
      <c r="F55" s="397" t="s">
        <v>133</v>
      </c>
      <c r="G55" s="397"/>
      <c r="H55" s="397"/>
      <c r="I55" s="397"/>
      <c r="J55" s="397"/>
      <c r="K55" s="397"/>
      <c r="L55" s="397"/>
      <c r="M55" s="398"/>
      <c r="N55" s="144" t="s">
        <v>197</v>
      </c>
      <c r="O55" s="74" t="s">
        <v>219</v>
      </c>
      <c r="P55" s="396" t="s">
        <v>236</v>
      </c>
      <c r="Q55" s="396"/>
      <c r="R55" s="396" t="s">
        <v>205</v>
      </c>
      <c r="S55" s="396"/>
      <c r="T55" s="396"/>
      <c r="U55" s="396"/>
      <c r="V55" s="397" t="s">
        <v>133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197</v>
      </c>
      <c r="B56" s="396"/>
      <c r="C56" s="140" t="s">
        <v>222</v>
      </c>
      <c r="D56" s="140" t="s">
        <v>223</v>
      </c>
      <c r="E56" s="140" t="s">
        <v>224</v>
      </c>
      <c r="F56" s="397" t="s">
        <v>133</v>
      </c>
      <c r="G56" s="397"/>
      <c r="H56" s="397"/>
      <c r="I56" s="397"/>
      <c r="J56" s="397"/>
      <c r="K56" s="397"/>
      <c r="L56" s="397"/>
      <c r="M56" s="398"/>
      <c r="N56" s="144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 t="s">
        <v>201</v>
      </c>
      <c r="B57" s="400"/>
      <c r="C57" s="139" t="s">
        <v>225</v>
      </c>
      <c r="D57" s="140" t="s">
        <v>226</v>
      </c>
      <c r="E57" s="139" t="s">
        <v>227</v>
      </c>
      <c r="F57" s="397" t="s">
        <v>133</v>
      </c>
      <c r="G57" s="397"/>
      <c r="H57" s="397"/>
      <c r="I57" s="397"/>
      <c r="J57" s="397"/>
      <c r="K57" s="397"/>
      <c r="L57" s="397"/>
      <c r="M57" s="398"/>
      <c r="N57" s="144"/>
      <c r="O57" s="74"/>
      <c r="P57" s="396"/>
      <c r="Q57" s="39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139"/>
      <c r="D58" s="140"/>
      <c r="E58" s="139"/>
      <c r="F58" s="397"/>
      <c r="G58" s="397"/>
      <c r="H58" s="397"/>
      <c r="I58" s="397"/>
      <c r="J58" s="397"/>
      <c r="K58" s="397"/>
      <c r="L58" s="397"/>
      <c r="M58" s="398"/>
      <c r="N58" s="144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9"/>
      <c r="B59" s="400"/>
      <c r="C59" s="139"/>
      <c r="D59" s="140"/>
      <c r="E59" s="139"/>
      <c r="F59" s="397"/>
      <c r="G59" s="397"/>
      <c r="H59" s="397"/>
      <c r="I59" s="397"/>
      <c r="J59" s="397"/>
      <c r="K59" s="397"/>
      <c r="L59" s="397"/>
      <c r="M59" s="398"/>
      <c r="N59" s="144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/>
      <c r="B60" s="396"/>
      <c r="C60" s="140"/>
      <c r="D60" s="140"/>
      <c r="E60" s="140"/>
      <c r="F60" s="397"/>
      <c r="G60" s="397"/>
      <c r="H60" s="397"/>
      <c r="I60" s="397"/>
      <c r="J60" s="397"/>
      <c r="K60" s="397"/>
      <c r="L60" s="397"/>
      <c r="M60" s="398"/>
      <c r="N60" s="144"/>
      <c r="O60" s="74"/>
      <c r="P60" s="396"/>
      <c r="Q60" s="39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  <c r="AF60" s="94">
        <f>8*3000</f>
        <v>24000</v>
      </c>
    </row>
    <row r="61" spans="1:32" ht="27" customHeight="1" thickBot="1">
      <c r="A61" s="401"/>
      <c r="B61" s="402"/>
      <c r="C61" s="142"/>
      <c r="D61" s="142"/>
      <c r="E61" s="142"/>
      <c r="F61" s="403"/>
      <c r="G61" s="403"/>
      <c r="H61" s="403"/>
      <c r="I61" s="403"/>
      <c r="J61" s="403"/>
      <c r="K61" s="403"/>
      <c r="L61" s="403"/>
      <c r="M61" s="404"/>
      <c r="N61" s="141"/>
      <c r="O61" s="121"/>
      <c r="P61" s="402"/>
      <c r="Q61" s="402"/>
      <c r="R61" s="402"/>
      <c r="S61" s="402"/>
      <c r="T61" s="402"/>
      <c r="U61" s="402"/>
      <c r="V61" s="403"/>
      <c r="W61" s="403"/>
      <c r="X61" s="403"/>
      <c r="Y61" s="403"/>
      <c r="Z61" s="403"/>
      <c r="AA61" s="403"/>
      <c r="AB61" s="403"/>
      <c r="AC61" s="403"/>
      <c r="AD61" s="404"/>
      <c r="AF61" s="94">
        <f>16*3000</f>
        <v>48000</v>
      </c>
    </row>
    <row r="62" spans="1:32" ht="27.75" thickBot="1">
      <c r="A62" s="407" t="s">
        <v>237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143" t="s">
        <v>2</v>
      </c>
      <c r="D63" s="143" t="s">
        <v>37</v>
      </c>
      <c r="E63" s="143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143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2"/>
      <c r="T63" s="412"/>
      <c r="U63" s="412"/>
      <c r="V63" s="412"/>
      <c r="W63" s="412"/>
      <c r="X63" s="412"/>
      <c r="Y63" s="412"/>
      <c r="Z63" s="412"/>
      <c r="AA63" s="411"/>
      <c r="AB63" s="409" t="s">
        <v>44</v>
      </c>
      <c r="AC63" s="409"/>
      <c r="AD63" s="413"/>
      <c r="AF63" s="94">
        <f>SUM(AF60:AF62)</f>
        <v>96000</v>
      </c>
    </row>
    <row r="64" spans="1:32" ht="25.5" customHeight="1">
      <c r="A64" s="414">
        <v>1</v>
      </c>
      <c r="B64" s="415"/>
      <c r="C64" s="124"/>
      <c r="D64" s="147"/>
      <c r="E64" s="145"/>
      <c r="F64" s="416"/>
      <c r="G64" s="417"/>
      <c r="H64" s="417"/>
      <c r="I64" s="417"/>
      <c r="J64" s="417"/>
      <c r="K64" s="417"/>
      <c r="L64" s="417"/>
      <c r="M64" s="54"/>
      <c r="N64" s="417"/>
      <c r="O64" s="417"/>
      <c r="P64" s="418"/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2</v>
      </c>
      <c r="B65" s="415"/>
      <c r="C65" s="124"/>
      <c r="D65" s="147"/>
      <c r="E65" s="145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3</v>
      </c>
      <c r="B66" s="415"/>
      <c r="C66" s="124"/>
      <c r="D66" s="147"/>
      <c r="E66" s="145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4</v>
      </c>
      <c r="B67" s="415"/>
      <c r="C67" s="124"/>
      <c r="D67" s="147"/>
      <c r="E67" s="145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5</v>
      </c>
      <c r="B68" s="415"/>
      <c r="C68" s="124"/>
      <c r="D68" s="147"/>
      <c r="E68" s="145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6</v>
      </c>
      <c r="B69" s="415"/>
      <c r="C69" s="124"/>
      <c r="D69" s="147"/>
      <c r="E69" s="145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7</v>
      </c>
      <c r="B70" s="415"/>
      <c r="C70" s="124"/>
      <c r="D70" s="147"/>
      <c r="E70" s="145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8</v>
      </c>
      <c r="B71" s="415"/>
      <c r="C71" s="124"/>
      <c r="D71" s="147"/>
      <c r="E71" s="145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6.25" customHeight="1" thickBot="1">
      <c r="A72" s="420" t="s">
        <v>238</v>
      </c>
      <c r="B72" s="420"/>
      <c r="C72" s="420"/>
      <c r="D72" s="420"/>
      <c r="E72" s="42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1" t="s">
        <v>113</v>
      </c>
      <c r="B73" s="422"/>
      <c r="C73" s="146" t="s">
        <v>2</v>
      </c>
      <c r="D73" s="146" t="s">
        <v>37</v>
      </c>
      <c r="E73" s="146" t="s">
        <v>3</v>
      </c>
      <c r="F73" s="422" t="s">
        <v>38</v>
      </c>
      <c r="G73" s="422"/>
      <c r="H73" s="422"/>
      <c r="I73" s="422"/>
      <c r="J73" s="422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22" t="s">
        <v>49</v>
      </c>
      <c r="U73" s="422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435">
        <v>1</v>
      </c>
      <c r="B74" s="436"/>
      <c r="C74" s="148" t="s">
        <v>114</v>
      </c>
      <c r="D74" s="148"/>
      <c r="E74" s="71" t="s">
        <v>119</v>
      </c>
      <c r="F74" s="437" t="s">
        <v>120</v>
      </c>
      <c r="G74" s="438"/>
      <c r="H74" s="438"/>
      <c r="I74" s="438"/>
      <c r="J74" s="439"/>
      <c r="K74" s="440" t="s">
        <v>115</v>
      </c>
      <c r="L74" s="441"/>
      <c r="M74" s="441"/>
      <c r="N74" s="441"/>
      <c r="O74" s="441"/>
      <c r="P74" s="441"/>
      <c r="Q74" s="441"/>
      <c r="R74" s="441"/>
      <c r="S74" s="442"/>
      <c r="T74" s="443">
        <v>42901</v>
      </c>
      <c r="U74" s="444"/>
      <c r="V74" s="445"/>
      <c r="W74" s="445"/>
      <c r="X74" s="446"/>
      <c r="Y74" s="446"/>
      <c r="Z74" s="446"/>
      <c r="AA74" s="446"/>
      <c r="AB74" s="446"/>
      <c r="AC74" s="446"/>
      <c r="AD74" s="447"/>
      <c r="AF74" s="53"/>
    </row>
    <row r="75" spans="1:32" ht="30" customHeight="1">
      <c r="A75" s="427">
        <f>A74+1</f>
        <v>2</v>
      </c>
      <c r="B75" s="428"/>
      <c r="C75" s="147" t="s">
        <v>114</v>
      </c>
      <c r="D75" s="147"/>
      <c r="E75" s="35" t="s">
        <v>116</v>
      </c>
      <c r="F75" s="428" t="s">
        <v>117</v>
      </c>
      <c r="G75" s="428"/>
      <c r="H75" s="428"/>
      <c r="I75" s="428"/>
      <c r="J75" s="428"/>
      <c r="K75" s="429" t="s">
        <v>118</v>
      </c>
      <c r="L75" s="430"/>
      <c r="M75" s="430"/>
      <c r="N75" s="430"/>
      <c r="O75" s="430"/>
      <c r="P75" s="430"/>
      <c r="Q75" s="430"/>
      <c r="R75" s="430"/>
      <c r="S75" s="431"/>
      <c r="T75" s="432">
        <v>42867</v>
      </c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ref="A76:A82" si="19">A75+1</f>
        <v>3</v>
      </c>
      <c r="B76" s="428"/>
      <c r="C76" s="147"/>
      <c r="D76" s="147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9"/>
        <v>4</v>
      </c>
      <c r="B77" s="428"/>
      <c r="C77" s="147"/>
      <c r="D77" s="147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9"/>
        <v>5</v>
      </c>
      <c r="B78" s="428"/>
      <c r="C78" s="147"/>
      <c r="D78" s="147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9"/>
        <v>6</v>
      </c>
      <c r="B79" s="428"/>
      <c r="C79" s="147"/>
      <c r="D79" s="147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9"/>
        <v>7</v>
      </c>
      <c r="B80" s="428"/>
      <c r="C80" s="147"/>
      <c r="D80" s="147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9"/>
        <v>8</v>
      </c>
      <c r="B81" s="428"/>
      <c r="C81" s="147"/>
      <c r="D81" s="147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19"/>
        <v>9</v>
      </c>
      <c r="B82" s="428"/>
      <c r="C82" s="147"/>
      <c r="D82" s="147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6" thickBot="1">
      <c r="A83" s="420" t="s">
        <v>239</v>
      </c>
      <c r="B83" s="420"/>
      <c r="C83" s="420"/>
      <c r="D83" s="420"/>
      <c r="E83" s="42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1" t="s">
        <v>113</v>
      </c>
      <c r="B84" s="422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3"/>
    </row>
    <row r="85" spans="1:32" ht="30.75" customHeight="1">
      <c r="A85" s="435">
        <v>1</v>
      </c>
      <c r="B85" s="436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450"/>
      <c r="U85" s="450"/>
      <c r="V85" s="451"/>
      <c r="W85" s="451"/>
      <c r="X85" s="451"/>
      <c r="Y85" s="452"/>
      <c r="Z85" s="452"/>
      <c r="AA85" s="452"/>
      <c r="AB85" s="452"/>
      <c r="AC85" s="452"/>
      <c r="AD85" s="453"/>
      <c r="AF85" s="53"/>
    </row>
    <row r="86" spans="1:32" ht="30.75" customHeight="1">
      <c r="A86" s="427">
        <v>2</v>
      </c>
      <c r="B86" s="428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4"/>
      <c r="Z86" s="454"/>
      <c r="AA86" s="454"/>
      <c r="AB86" s="454"/>
      <c r="AC86" s="454"/>
      <c r="AD86" s="455"/>
      <c r="AF86" s="53"/>
    </row>
    <row r="87" spans="1:32" ht="30.75" customHeight="1" thickBot="1">
      <c r="A87" s="456">
        <v>3</v>
      </c>
      <c r="B87" s="457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240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149" t="s">
        <v>17</v>
      </c>
      <c r="L5" s="149" t="s">
        <v>18</v>
      </c>
      <c r="M5" s="149" t="s">
        <v>19</v>
      </c>
      <c r="N5" s="14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196</v>
      </c>
      <c r="F6" s="33" t="s">
        <v>131</v>
      </c>
      <c r="G6" s="36">
        <v>1</v>
      </c>
      <c r="H6" s="38">
        <v>25</v>
      </c>
      <c r="I6" s="7">
        <v>5000</v>
      </c>
      <c r="J6" s="5">
        <v>4410</v>
      </c>
      <c r="K6" s="15">
        <f>L6+1949</f>
        <v>6358</v>
      </c>
      <c r="L6" s="15">
        <f>2315+2094</f>
        <v>4409</v>
      </c>
      <c r="M6" s="16">
        <f t="shared" ref="M6:M21" si="0">L6-N6</f>
        <v>4409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0.99977324263038547</v>
      </c>
      <c r="AC6" s="9">
        <f t="shared" ref="AC6:AC21" si="5">IF(P6=0,"0",(P6/24))</f>
        <v>1</v>
      </c>
      <c r="AD6" s="10">
        <f t="shared" ref="AD6:AD21" si="6">AC6*AB6*(1-O6)</f>
        <v>0.99977324263038547</v>
      </c>
      <c r="AE6" s="39">
        <f t="shared" ref="AE6:AE21" si="7">$AD$22</f>
        <v>0.45528589369245259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0.45528589369245259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151</v>
      </c>
      <c r="D8" s="55" t="s">
        <v>152</v>
      </c>
      <c r="E8" s="57" t="s">
        <v>153</v>
      </c>
      <c r="F8" s="33" t="s">
        <v>142</v>
      </c>
      <c r="G8" s="12">
        <v>1</v>
      </c>
      <c r="H8" s="13">
        <v>25</v>
      </c>
      <c r="I8" s="34">
        <v>16000</v>
      </c>
      <c r="J8" s="5">
        <v>1830</v>
      </c>
      <c r="K8" s="15">
        <f>L8+78+4918+4887</f>
        <v>11712</v>
      </c>
      <c r="L8" s="15">
        <f>1829</f>
        <v>1829</v>
      </c>
      <c r="M8" s="16">
        <f t="shared" si="0"/>
        <v>1829</v>
      </c>
      <c r="N8" s="16">
        <v>0</v>
      </c>
      <c r="O8" s="62">
        <f t="shared" si="1"/>
        <v>0</v>
      </c>
      <c r="P8" s="42">
        <f t="shared" si="2"/>
        <v>9</v>
      </c>
      <c r="Q8" s="43">
        <f t="shared" si="3"/>
        <v>15</v>
      </c>
      <c r="R8" s="7"/>
      <c r="S8" s="6">
        <v>15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0.99945355191256835</v>
      </c>
      <c r="AC8" s="9">
        <f t="shared" si="5"/>
        <v>0.375</v>
      </c>
      <c r="AD8" s="10">
        <f t="shared" si="6"/>
        <v>0.37479508196721312</v>
      </c>
      <c r="AE8" s="39">
        <f t="shared" si="7"/>
        <v>0.45528589369245259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241</v>
      </c>
      <c r="E9" s="57" t="s">
        <v>242</v>
      </c>
      <c r="F9" s="33" t="s">
        <v>243</v>
      </c>
      <c r="G9" s="36">
        <v>1</v>
      </c>
      <c r="H9" s="38">
        <v>25</v>
      </c>
      <c r="I9" s="7">
        <v>6500</v>
      </c>
      <c r="J9" s="5">
        <v>5260</v>
      </c>
      <c r="K9" s="15">
        <f>L9</f>
        <v>5257</v>
      </c>
      <c r="L9" s="15">
        <f>2124+3133</f>
        <v>5257</v>
      </c>
      <c r="M9" s="16">
        <f t="shared" si="0"/>
        <v>5257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0.99942965779467685</v>
      </c>
      <c r="AC9" s="9">
        <f t="shared" si="5"/>
        <v>1</v>
      </c>
      <c r="AD9" s="10">
        <f t="shared" si="6"/>
        <v>0.99942965779467685</v>
      </c>
      <c r="AE9" s="39">
        <f t="shared" si="7"/>
        <v>0.45528589369245259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244</v>
      </c>
      <c r="E10" s="57" t="s">
        <v>245</v>
      </c>
      <c r="F10" s="33" t="s">
        <v>246</v>
      </c>
      <c r="G10" s="36">
        <v>1</v>
      </c>
      <c r="H10" s="38">
        <v>25</v>
      </c>
      <c r="I10" s="7">
        <v>200</v>
      </c>
      <c r="J10" s="5">
        <v>252</v>
      </c>
      <c r="K10" s="15">
        <f>L10</f>
        <v>252</v>
      </c>
      <c r="L10" s="15">
        <v>252</v>
      </c>
      <c r="M10" s="16">
        <f t="shared" si="0"/>
        <v>252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 t="shared" si="7"/>
        <v>0.45528589369245259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161</v>
      </c>
      <c r="E11" s="57" t="s">
        <v>162</v>
      </c>
      <c r="F11" s="12" t="s">
        <v>163</v>
      </c>
      <c r="G11" s="12">
        <v>1</v>
      </c>
      <c r="H11" s="13">
        <v>25</v>
      </c>
      <c r="I11" s="34">
        <v>10000</v>
      </c>
      <c r="J11" s="14">
        <v>2330</v>
      </c>
      <c r="K11" s="15">
        <f>L11+4490+5182</f>
        <v>12000</v>
      </c>
      <c r="L11" s="15">
        <v>2328</v>
      </c>
      <c r="M11" s="16">
        <f t="shared" si="0"/>
        <v>2328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/>
      <c r="T11" s="17"/>
      <c r="U11" s="17"/>
      <c r="V11" s="18"/>
      <c r="W11" s="19">
        <v>10</v>
      </c>
      <c r="X11" s="17"/>
      <c r="Y11" s="20"/>
      <c r="Z11" s="20"/>
      <c r="AA11" s="21"/>
      <c r="AB11" s="8">
        <f t="shared" si="4"/>
        <v>0.9991416309012876</v>
      </c>
      <c r="AC11" s="9">
        <f t="shared" si="5"/>
        <v>0.58333333333333337</v>
      </c>
      <c r="AD11" s="10">
        <f t="shared" si="6"/>
        <v>0.58283261802575115</v>
      </c>
      <c r="AE11" s="39">
        <f t="shared" si="7"/>
        <v>0.45528589369245259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197</v>
      </c>
      <c r="D12" s="55" t="s">
        <v>198</v>
      </c>
      <c r="E12" s="57" t="s">
        <v>199</v>
      </c>
      <c r="F12" s="12" t="s">
        <v>200</v>
      </c>
      <c r="G12" s="12">
        <v>1</v>
      </c>
      <c r="H12" s="13">
        <v>25</v>
      </c>
      <c r="I12" s="7">
        <v>20000</v>
      </c>
      <c r="J12" s="14">
        <v>5650</v>
      </c>
      <c r="K12" s="15">
        <f>L12+4234</f>
        <v>9883</v>
      </c>
      <c r="L12" s="15">
        <f>2933+2716</f>
        <v>5649</v>
      </c>
      <c r="M12" s="16">
        <f t="shared" si="0"/>
        <v>5649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0.99982300884955755</v>
      </c>
      <c r="AC12" s="9">
        <f t="shared" si="5"/>
        <v>1</v>
      </c>
      <c r="AD12" s="10">
        <f t="shared" si="6"/>
        <v>0.99982300884955755</v>
      </c>
      <c r="AE12" s="39">
        <f t="shared" si="7"/>
        <v>0.45528589369245259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247</v>
      </c>
      <c r="E13" s="57" t="s">
        <v>248</v>
      </c>
      <c r="F13" s="12" t="s">
        <v>246</v>
      </c>
      <c r="G13" s="12">
        <v>1</v>
      </c>
      <c r="H13" s="13">
        <v>25</v>
      </c>
      <c r="I13" s="7">
        <v>200</v>
      </c>
      <c r="J13" s="14">
        <v>200</v>
      </c>
      <c r="K13" s="15">
        <f>L13</f>
        <v>200</v>
      </c>
      <c r="L13" s="15">
        <v>200</v>
      </c>
      <c r="M13" s="16">
        <f t="shared" si="0"/>
        <v>200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9">
        <f t="shared" si="7"/>
        <v>0.45528589369245259</v>
      </c>
      <c r="AF13" s="94">
        <f t="shared" si="8"/>
        <v>8</v>
      </c>
    </row>
    <row r="14" spans="1:32" ht="27" customHeight="1">
      <c r="A14" s="110">
        <v>8</v>
      </c>
      <c r="B14" s="11" t="s">
        <v>57</v>
      </c>
      <c r="C14" s="11" t="s">
        <v>121</v>
      </c>
      <c r="D14" s="55" t="s">
        <v>247</v>
      </c>
      <c r="E14" s="57" t="s">
        <v>249</v>
      </c>
      <c r="F14" s="12" t="s">
        <v>243</v>
      </c>
      <c r="G14" s="12">
        <v>1</v>
      </c>
      <c r="H14" s="13">
        <v>25</v>
      </c>
      <c r="I14" s="7">
        <v>6500</v>
      </c>
      <c r="J14" s="14">
        <v>3720</v>
      </c>
      <c r="K14" s="15">
        <f>L14</f>
        <v>3716</v>
      </c>
      <c r="L14" s="15">
        <f>768+2948</f>
        <v>3716</v>
      </c>
      <c r="M14" s="16">
        <f t="shared" ref="M14" si="9">L14-N14</f>
        <v>3716</v>
      </c>
      <c r="N14" s="16">
        <v>0</v>
      </c>
      <c r="O14" s="62">
        <f t="shared" ref="O14" si="10">IF(L14=0,"0",N14/L14)</f>
        <v>0</v>
      </c>
      <c r="P14" s="42">
        <f t="shared" ref="P14" si="11">IF(L14=0,"0",(24-Q14))</f>
        <v>19</v>
      </c>
      <c r="Q14" s="43">
        <f t="shared" ref="Q14" si="12">SUM(R14:AA14)</f>
        <v>5</v>
      </c>
      <c r="R14" s="7"/>
      <c r="S14" s="6"/>
      <c r="T14" s="17">
        <v>5</v>
      </c>
      <c r="U14" s="17"/>
      <c r="V14" s="18"/>
      <c r="W14" s="19"/>
      <c r="X14" s="17"/>
      <c r="Y14" s="20"/>
      <c r="Z14" s="20"/>
      <c r="AA14" s="21"/>
      <c r="AB14" s="8">
        <f t="shared" ref="AB14" si="13">IF(J14=0,"0",(L14/J14))</f>
        <v>0.99892473118279568</v>
      </c>
      <c r="AC14" s="9">
        <f t="shared" ref="AC14" si="14">IF(P14=0,"0",(P14/24))</f>
        <v>0.79166666666666663</v>
      </c>
      <c r="AD14" s="10">
        <f t="shared" ref="AD14" si="15">AC14*AB14*(1-O14)</f>
        <v>0.79081541218637985</v>
      </c>
      <c r="AE14" s="39">
        <f t="shared" si="7"/>
        <v>0.45528589369245259</v>
      </c>
      <c r="AF14" s="94">
        <f t="shared" ref="AF14" si="16">A14</f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124</v>
      </c>
      <c r="E15" s="57" t="s">
        <v>137</v>
      </c>
      <c r="F15" s="33" t="s">
        <v>128</v>
      </c>
      <c r="G15" s="36">
        <v>1</v>
      </c>
      <c r="H15" s="38">
        <v>25</v>
      </c>
      <c r="I15" s="7">
        <v>2600</v>
      </c>
      <c r="J15" s="5">
        <v>2780</v>
      </c>
      <c r="K15" s="15">
        <f>L15+362+578+779+823+778+542</f>
        <v>3862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0.45528589369245259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166</v>
      </c>
      <c r="D16" s="55" t="s">
        <v>138</v>
      </c>
      <c r="E16" s="57" t="s">
        <v>167</v>
      </c>
      <c r="F16" s="12">
        <v>8301</v>
      </c>
      <c r="G16" s="12">
        <v>1</v>
      </c>
      <c r="H16" s="13">
        <v>24</v>
      </c>
      <c r="I16" s="34">
        <v>1000</v>
      </c>
      <c r="J16" s="14">
        <v>2780</v>
      </c>
      <c r="K16" s="15">
        <f>L16+1100</f>
        <v>1100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0.45528589369245259</v>
      </c>
      <c r="AF16" s="94">
        <f t="shared" si="8"/>
        <v>10</v>
      </c>
    </row>
    <row r="17" spans="1:32" ht="27" customHeight="1">
      <c r="A17" s="109">
        <v>11</v>
      </c>
      <c r="B17" s="11" t="s">
        <v>57</v>
      </c>
      <c r="C17" s="11" t="s">
        <v>197</v>
      </c>
      <c r="D17" s="55" t="s">
        <v>204</v>
      </c>
      <c r="E17" s="57" t="s">
        <v>206</v>
      </c>
      <c r="F17" s="12" t="s">
        <v>207</v>
      </c>
      <c r="G17" s="12">
        <v>1</v>
      </c>
      <c r="H17" s="13">
        <v>24</v>
      </c>
      <c r="I17" s="34">
        <v>6500</v>
      </c>
      <c r="J17" s="14">
        <v>4990</v>
      </c>
      <c r="K17" s="15">
        <f>L17+3141</f>
        <v>8126</v>
      </c>
      <c r="L17" s="15">
        <f>2605+2380</f>
        <v>4985</v>
      </c>
      <c r="M17" s="16">
        <f t="shared" si="0"/>
        <v>4985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0.99899799599198402</v>
      </c>
      <c r="AC17" s="9">
        <f t="shared" si="5"/>
        <v>1</v>
      </c>
      <c r="AD17" s="10">
        <f t="shared" si="6"/>
        <v>0.99899799599198402</v>
      </c>
      <c r="AE17" s="39">
        <f t="shared" si="7"/>
        <v>0.45528589369245259</v>
      </c>
      <c r="AF17" s="94">
        <f t="shared" si="8"/>
        <v>11</v>
      </c>
    </row>
    <row r="18" spans="1:32" ht="27" customHeight="1">
      <c r="A18" s="109">
        <v>12</v>
      </c>
      <c r="B18" s="11" t="s">
        <v>57</v>
      </c>
      <c r="C18" s="37" t="s">
        <v>121</v>
      </c>
      <c r="D18" s="55" t="s">
        <v>126</v>
      </c>
      <c r="E18" s="57" t="s">
        <v>143</v>
      </c>
      <c r="F18" s="12" t="s">
        <v>140</v>
      </c>
      <c r="G18" s="12">
        <v>1</v>
      </c>
      <c r="H18" s="13">
        <v>25</v>
      </c>
      <c r="I18" s="34">
        <v>1700</v>
      </c>
      <c r="J18" s="5">
        <v>1680</v>
      </c>
      <c r="K18" s="15">
        <f>L18+416+1674</f>
        <v>2090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0.45528589369245259</v>
      </c>
      <c r="AF18" s="94">
        <f t="shared" si="8"/>
        <v>12</v>
      </c>
    </row>
    <row r="19" spans="1:32" ht="27" customHeight="1">
      <c r="A19" s="110">
        <v>13</v>
      </c>
      <c r="B19" s="11" t="s">
        <v>57</v>
      </c>
      <c r="C19" s="11" t="s">
        <v>121</v>
      </c>
      <c r="D19" s="55" t="s">
        <v>250</v>
      </c>
      <c r="E19" s="57" t="s">
        <v>251</v>
      </c>
      <c r="F19" s="12" t="s">
        <v>246</v>
      </c>
      <c r="G19" s="12">
        <v>1</v>
      </c>
      <c r="H19" s="13">
        <v>24</v>
      </c>
      <c r="I19" s="34">
        <v>6500</v>
      </c>
      <c r="J19" s="14">
        <v>2930</v>
      </c>
      <c r="K19" s="15">
        <f>L19</f>
        <v>2928</v>
      </c>
      <c r="L19" s="15">
        <f>2445+483</f>
        <v>2928</v>
      </c>
      <c r="M19" s="16">
        <f t="shared" si="0"/>
        <v>2928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>
        <v>6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0.99931740614334474</v>
      </c>
      <c r="AC19" s="9">
        <f t="shared" si="5"/>
        <v>0.75</v>
      </c>
      <c r="AD19" s="10">
        <f t="shared" si="6"/>
        <v>0.74948805460750856</v>
      </c>
      <c r="AE19" s="39">
        <f t="shared" si="7"/>
        <v>0.45528589369245259</v>
      </c>
      <c r="AF19" s="94">
        <f t="shared" si="8"/>
        <v>13</v>
      </c>
    </row>
    <row r="20" spans="1:32" ht="27" customHeight="1">
      <c r="A20" s="110">
        <v>14</v>
      </c>
      <c r="B20" s="11" t="s">
        <v>57</v>
      </c>
      <c r="C20" s="11" t="s">
        <v>121</v>
      </c>
      <c r="D20" s="55" t="s">
        <v>124</v>
      </c>
      <c r="E20" s="57" t="s">
        <v>252</v>
      </c>
      <c r="F20" s="12" t="s">
        <v>135</v>
      </c>
      <c r="G20" s="12">
        <v>1</v>
      </c>
      <c r="H20" s="13">
        <v>25</v>
      </c>
      <c r="I20" s="7">
        <v>6500</v>
      </c>
      <c r="J20" s="14">
        <v>2270</v>
      </c>
      <c r="K20" s="15">
        <f>L20</f>
        <v>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0.45528589369245259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122</v>
      </c>
      <c r="D21" s="55"/>
      <c r="E21" s="56" t="s">
        <v>127</v>
      </c>
      <c r="F21" s="12" t="s">
        <v>123</v>
      </c>
      <c r="G21" s="12">
        <v>4</v>
      </c>
      <c r="H21" s="38">
        <v>20</v>
      </c>
      <c r="I21" s="7">
        <v>800000</v>
      </c>
      <c r="J21" s="14">
        <v>2230</v>
      </c>
      <c r="K21" s="15">
        <f>L21+29128+42972+45096+45728+43064+5640+29816+42972+44600+38336+6084+2224</f>
        <v>375660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0.45528589369245259</v>
      </c>
      <c r="AF21" s="94">
        <f t="shared" si="8"/>
        <v>15</v>
      </c>
    </row>
    <row r="22" spans="1:32" ht="31.5" customHeight="1" thickBot="1">
      <c r="A22" s="368" t="s">
        <v>34</v>
      </c>
      <c r="B22" s="369"/>
      <c r="C22" s="369"/>
      <c r="D22" s="369"/>
      <c r="E22" s="369"/>
      <c r="F22" s="369"/>
      <c r="G22" s="369"/>
      <c r="H22" s="370"/>
      <c r="I22" s="25">
        <f t="shared" ref="I22:N22" si="17">SUM(I6:I21)</f>
        <v>891700</v>
      </c>
      <c r="J22" s="22">
        <f t="shared" si="17"/>
        <v>44452</v>
      </c>
      <c r="K22" s="23">
        <f t="shared" si="17"/>
        <v>446930</v>
      </c>
      <c r="L22" s="24">
        <f t="shared" si="17"/>
        <v>31553</v>
      </c>
      <c r="M22" s="23">
        <f t="shared" si="17"/>
        <v>31553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164</v>
      </c>
      <c r="Q22" s="46">
        <f t="shared" si="18"/>
        <v>220</v>
      </c>
      <c r="R22" s="26">
        <f t="shared" si="18"/>
        <v>0</v>
      </c>
      <c r="S22" s="27">
        <f t="shared" si="18"/>
        <v>69</v>
      </c>
      <c r="T22" s="27">
        <f t="shared" si="18"/>
        <v>5</v>
      </c>
      <c r="U22" s="27">
        <f t="shared" si="18"/>
        <v>0</v>
      </c>
      <c r="V22" s="28">
        <f t="shared" si="18"/>
        <v>0</v>
      </c>
      <c r="W22" s="29">
        <f t="shared" si="18"/>
        <v>146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0.66632408169377333</v>
      </c>
      <c r="AC22" s="4">
        <f>SUM(AC6:AC21)/15</f>
        <v>0.4555555555555556</v>
      </c>
      <c r="AD22" s="4">
        <f>SUM(AD6:AD21)/15</f>
        <v>0.45528589369245259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1" t="s">
        <v>45</v>
      </c>
      <c r="B49" s="371"/>
      <c r="C49" s="371"/>
      <c r="D49" s="371"/>
      <c r="E49" s="37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2" t="s">
        <v>253</v>
      </c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4"/>
      <c r="N50" s="375" t="s">
        <v>266</v>
      </c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7"/>
    </row>
    <row r="51" spans="1:32" ht="27" customHeight="1">
      <c r="A51" s="378" t="s">
        <v>2</v>
      </c>
      <c r="B51" s="379"/>
      <c r="C51" s="150" t="s">
        <v>46</v>
      </c>
      <c r="D51" s="150" t="s">
        <v>47</v>
      </c>
      <c r="E51" s="150" t="s">
        <v>108</v>
      </c>
      <c r="F51" s="379" t="s">
        <v>107</v>
      </c>
      <c r="G51" s="379"/>
      <c r="H51" s="379"/>
      <c r="I51" s="379"/>
      <c r="J51" s="379"/>
      <c r="K51" s="379"/>
      <c r="L51" s="379"/>
      <c r="M51" s="380"/>
      <c r="N51" s="73" t="s">
        <v>112</v>
      </c>
      <c r="O51" s="150" t="s">
        <v>46</v>
      </c>
      <c r="P51" s="381" t="s">
        <v>47</v>
      </c>
      <c r="Q51" s="382"/>
      <c r="R51" s="381" t="s">
        <v>38</v>
      </c>
      <c r="S51" s="383"/>
      <c r="T51" s="383"/>
      <c r="U51" s="382"/>
      <c r="V51" s="381" t="s">
        <v>48</v>
      </c>
      <c r="W51" s="383"/>
      <c r="X51" s="383"/>
      <c r="Y51" s="383"/>
      <c r="Z51" s="383"/>
      <c r="AA51" s="383"/>
      <c r="AB51" s="383"/>
      <c r="AC51" s="383"/>
      <c r="AD51" s="384"/>
    </row>
    <row r="52" spans="1:32" ht="27" customHeight="1">
      <c r="A52" s="395" t="s">
        <v>121</v>
      </c>
      <c r="B52" s="396"/>
      <c r="C52" s="152" t="s">
        <v>254</v>
      </c>
      <c r="D52" s="152" t="s">
        <v>247</v>
      </c>
      <c r="E52" s="152" t="s">
        <v>248</v>
      </c>
      <c r="F52" s="397" t="s">
        <v>255</v>
      </c>
      <c r="G52" s="397"/>
      <c r="H52" s="397"/>
      <c r="I52" s="397"/>
      <c r="J52" s="397"/>
      <c r="K52" s="397"/>
      <c r="L52" s="397"/>
      <c r="M52" s="398"/>
      <c r="N52" s="151" t="s">
        <v>183</v>
      </c>
      <c r="O52" s="74" t="s">
        <v>265</v>
      </c>
      <c r="P52" s="396"/>
      <c r="Q52" s="396"/>
      <c r="R52" s="396" t="s">
        <v>268</v>
      </c>
      <c r="S52" s="396"/>
      <c r="T52" s="396"/>
      <c r="U52" s="396"/>
      <c r="V52" s="397" t="s">
        <v>272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121</v>
      </c>
      <c r="B53" s="396"/>
      <c r="C53" s="152" t="s">
        <v>256</v>
      </c>
      <c r="D53" s="152" t="s">
        <v>124</v>
      </c>
      <c r="E53" s="152" t="s">
        <v>257</v>
      </c>
      <c r="F53" s="397" t="s">
        <v>133</v>
      </c>
      <c r="G53" s="397"/>
      <c r="H53" s="397"/>
      <c r="I53" s="397"/>
      <c r="J53" s="397"/>
      <c r="K53" s="397"/>
      <c r="L53" s="397"/>
      <c r="M53" s="398"/>
      <c r="N53" s="151" t="s">
        <v>197</v>
      </c>
      <c r="O53" s="74" t="s">
        <v>233</v>
      </c>
      <c r="P53" s="396" t="s">
        <v>234</v>
      </c>
      <c r="Q53" s="396"/>
      <c r="R53" s="396" t="s">
        <v>235</v>
      </c>
      <c r="S53" s="396"/>
      <c r="T53" s="396"/>
      <c r="U53" s="396"/>
      <c r="V53" s="397" t="s">
        <v>267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258</v>
      </c>
      <c r="B54" s="396"/>
      <c r="C54" s="152" t="s">
        <v>259</v>
      </c>
      <c r="D54" s="152" t="s">
        <v>124</v>
      </c>
      <c r="E54" s="152" t="s">
        <v>252</v>
      </c>
      <c r="F54" s="397" t="s">
        <v>260</v>
      </c>
      <c r="G54" s="397"/>
      <c r="H54" s="397"/>
      <c r="I54" s="397"/>
      <c r="J54" s="397"/>
      <c r="K54" s="397"/>
      <c r="L54" s="397"/>
      <c r="M54" s="398"/>
      <c r="N54" s="151" t="s">
        <v>183</v>
      </c>
      <c r="O54" s="74" t="s">
        <v>265</v>
      </c>
      <c r="P54" s="396"/>
      <c r="Q54" s="396"/>
      <c r="R54" s="396" t="s">
        <v>269</v>
      </c>
      <c r="S54" s="396"/>
      <c r="T54" s="396"/>
      <c r="U54" s="396"/>
      <c r="V54" s="397" t="s">
        <v>272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213</v>
      </c>
      <c r="B55" s="396"/>
      <c r="C55" s="152" t="s">
        <v>261</v>
      </c>
      <c r="D55" s="152" t="s">
        <v>262</v>
      </c>
      <c r="E55" s="152" t="s">
        <v>263</v>
      </c>
      <c r="F55" s="397" t="s">
        <v>264</v>
      </c>
      <c r="G55" s="397"/>
      <c r="H55" s="397"/>
      <c r="I55" s="397"/>
      <c r="J55" s="397"/>
      <c r="K55" s="397"/>
      <c r="L55" s="397"/>
      <c r="M55" s="398"/>
      <c r="N55" s="151" t="s">
        <v>183</v>
      </c>
      <c r="O55" s="74" t="s">
        <v>265</v>
      </c>
      <c r="P55" s="396"/>
      <c r="Q55" s="396"/>
      <c r="R55" s="396" t="s">
        <v>270</v>
      </c>
      <c r="S55" s="396"/>
      <c r="T55" s="396"/>
      <c r="U55" s="396"/>
      <c r="V55" s="397" t="s">
        <v>272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121</v>
      </c>
      <c r="B56" s="396"/>
      <c r="C56" s="152" t="s">
        <v>265</v>
      </c>
      <c r="D56" s="152" t="s">
        <v>244</v>
      </c>
      <c r="E56" s="152" t="s">
        <v>245</v>
      </c>
      <c r="F56" s="397" t="s">
        <v>133</v>
      </c>
      <c r="G56" s="397"/>
      <c r="H56" s="397"/>
      <c r="I56" s="397"/>
      <c r="J56" s="397"/>
      <c r="K56" s="397"/>
      <c r="L56" s="397"/>
      <c r="M56" s="398"/>
      <c r="N56" s="151" t="s">
        <v>183</v>
      </c>
      <c r="O56" s="74" t="s">
        <v>265</v>
      </c>
      <c r="P56" s="396"/>
      <c r="Q56" s="396"/>
      <c r="R56" s="396" t="s">
        <v>271</v>
      </c>
      <c r="S56" s="396"/>
      <c r="T56" s="396"/>
      <c r="U56" s="396"/>
      <c r="V56" s="397" t="s">
        <v>272</v>
      </c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 t="s">
        <v>121</v>
      </c>
      <c r="B57" s="400"/>
      <c r="C57" s="153" t="s">
        <v>273</v>
      </c>
      <c r="D57" s="152" t="s">
        <v>274</v>
      </c>
      <c r="E57" s="153" t="s">
        <v>277</v>
      </c>
      <c r="F57" s="397" t="s">
        <v>278</v>
      </c>
      <c r="G57" s="397"/>
      <c r="H57" s="397"/>
      <c r="I57" s="397"/>
      <c r="J57" s="397"/>
      <c r="K57" s="397"/>
      <c r="L57" s="397"/>
      <c r="M57" s="398"/>
      <c r="N57" s="151" t="s">
        <v>121</v>
      </c>
      <c r="O57" s="74" t="s">
        <v>273</v>
      </c>
      <c r="P57" s="396" t="s">
        <v>274</v>
      </c>
      <c r="Q57" s="396"/>
      <c r="R57" s="396" t="s">
        <v>275</v>
      </c>
      <c r="S57" s="396"/>
      <c r="T57" s="396"/>
      <c r="U57" s="396"/>
      <c r="V57" s="397" t="s">
        <v>276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153"/>
      <c r="D58" s="152"/>
      <c r="E58" s="153"/>
      <c r="F58" s="397"/>
      <c r="G58" s="397"/>
      <c r="H58" s="397"/>
      <c r="I58" s="397"/>
      <c r="J58" s="397"/>
      <c r="K58" s="397"/>
      <c r="L58" s="397"/>
      <c r="M58" s="398"/>
      <c r="N58" s="151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9"/>
      <c r="B59" s="400"/>
      <c r="C59" s="153"/>
      <c r="D59" s="152"/>
      <c r="E59" s="153"/>
      <c r="F59" s="397"/>
      <c r="G59" s="397"/>
      <c r="H59" s="397"/>
      <c r="I59" s="397"/>
      <c r="J59" s="397"/>
      <c r="K59" s="397"/>
      <c r="L59" s="397"/>
      <c r="M59" s="398"/>
      <c r="N59" s="151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/>
      <c r="B60" s="396"/>
      <c r="C60" s="152"/>
      <c r="D60" s="152"/>
      <c r="E60" s="152"/>
      <c r="F60" s="397"/>
      <c r="G60" s="397"/>
      <c r="H60" s="397"/>
      <c r="I60" s="397"/>
      <c r="J60" s="397"/>
      <c r="K60" s="397"/>
      <c r="L60" s="397"/>
      <c r="M60" s="398"/>
      <c r="N60" s="151"/>
      <c r="O60" s="74"/>
      <c r="P60" s="396"/>
      <c r="Q60" s="39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  <c r="AF60" s="94">
        <f>8*3000</f>
        <v>24000</v>
      </c>
    </row>
    <row r="61" spans="1:32" ht="27" customHeight="1" thickBot="1">
      <c r="A61" s="401"/>
      <c r="B61" s="402"/>
      <c r="C61" s="155"/>
      <c r="D61" s="155"/>
      <c r="E61" s="155"/>
      <c r="F61" s="403"/>
      <c r="G61" s="403"/>
      <c r="H61" s="403"/>
      <c r="I61" s="403"/>
      <c r="J61" s="403"/>
      <c r="K61" s="403"/>
      <c r="L61" s="403"/>
      <c r="M61" s="404"/>
      <c r="N61" s="154"/>
      <c r="O61" s="121"/>
      <c r="P61" s="402"/>
      <c r="Q61" s="402"/>
      <c r="R61" s="402"/>
      <c r="S61" s="402"/>
      <c r="T61" s="402"/>
      <c r="U61" s="402"/>
      <c r="V61" s="403"/>
      <c r="W61" s="403"/>
      <c r="X61" s="403"/>
      <c r="Y61" s="403"/>
      <c r="Z61" s="403"/>
      <c r="AA61" s="403"/>
      <c r="AB61" s="403"/>
      <c r="AC61" s="403"/>
      <c r="AD61" s="404"/>
      <c r="AF61" s="94">
        <f>16*3000</f>
        <v>48000</v>
      </c>
    </row>
    <row r="62" spans="1:32" ht="27.75" thickBot="1">
      <c r="A62" s="407" t="s">
        <v>279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156" t="s">
        <v>2</v>
      </c>
      <c r="D63" s="156" t="s">
        <v>37</v>
      </c>
      <c r="E63" s="156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156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2"/>
      <c r="T63" s="412"/>
      <c r="U63" s="412"/>
      <c r="V63" s="412"/>
      <c r="W63" s="412"/>
      <c r="X63" s="412"/>
      <c r="Y63" s="412"/>
      <c r="Z63" s="412"/>
      <c r="AA63" s="411"/>
      <c r="AB63" s="409" t="s">
        <v>44</v>
      </c>
      <c r="AC63" s="409"/>
      <c r="AD63" s="413"/>
      <c r="AF63" s="94">
        <f>SUM(AF60:AF62)</f>
        <v>96000</v>
      </c>
    </row>
    <row r="64" spans="1:32" ht="25.5" customHeight="1">
      <c r="A64" s="414">
        <v>1</v>
      </c>
      <c r="B64" s="415"/>
      <c r="C64" s="124" t="s">
        <v>280</v>
      </c>
      <c r="D64" s="159"/>
      <c r="E64" s="157" t="s">
        <v>247</v>
      </c>
      <c r="F64" s="416" t="s">
        <v>248</v>
      </c>
      <c r="G64" s="417"/>
      <c r="H64" s="417"/>
      <c r="I64" s="417"/>
      <c r="J64" s="417"/>
      <c r="K64" s="417" t="s">
        <v>243</v>
      </c>
      <c r="L64" s="417"/>
      <c r="M64" s="54" t="s">
        <v>281</v>
      </c>
      <c r="N64" s="417">
        <v>8</v>
      </c>
      <c r="O64" s="417"/>
      <c r="P64" s="418">
        <v>50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2</v>
      </c>
      <c r="B65" s="415"/>
      <c r="C65" s="124" t="s">
        <v>282</v>
      </c>
      <c r="D65" s="159"/>
      <c r="E65" s="157" t="s">
        <v>283</v>
      </c>
      <c r="F65" s="416" t="s">
        <v>284</v>
      </c>
      <c r="G65" s="417"/>
      <c r="H65" s="417"/>
      <c r="I65" s="417"/>
      <c r="J65" s="417"/>
      <c r="K65" s="417" t="s">
        <v>285</v>
      </c>
      <c r="L65" s="417"/>
      <c r="M65" s="54" t="s">
        <v>281</v>
      </c>
      <c r="N65" s="417">
        <v>10</v>
      </c>
      <c r="O65" s="417"/>
      <c r="P65" s="418">
        <v>200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3</v>
      </c>
      <c r="B66" s="415"/>
      <c r="C66" s="124" t="s">
        <v>286</v>
      </c>
      <c r="D66" s="159"/>
      <c r="E66" s="157" t="s">
        <v>287</v>
      </c>
      <c r="F66" s="416" t="s">
        <v>288</v>
      </c>
      <c r="G66" s="417"/>
      <c r="H66" s="417"/>
      <c r="I66" s="417"/>
      <c r="J66" s="417"/>
      <c r="K66" s="417" t="s">
        <v>285</v>
      </c>
      <c r="L66" s="417"/>
      <c r="M66" s="54" t="s">
        <v>281</v>
      </c>
      <c r="N66" s="417">
        <v>12</v>
      </c>
      <c r="O66" s="417"/>
      <c r="P66" s="418">
        <v>200</v>
      </c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4</v>
      </c>
      <c r="B67" s="415"/>
      <c r="C67" s="124"/>
      <c r="D67" s="159"/>
      <c r="E67" s="157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5</v>
      </c>
      <c r="B68" s="415"/>
      <c r="C68" s="124"/>
      <c r="D68" s="159"/>
      <c r="E68" s="157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6</v>
      </c>
      <c r="B69" s="415"/>
      <c r="C69" s="124"/>
      <c r="D69" s="159"/>
      <c r="E69" s="157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7</v>
      </c>
      <c r="B70" s="415"/>
      <c r="C70" s="124"/>
      <c r="D70" s="159"/>
      <c r="E70" s="157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8</v>
      </c>
      <c r="B71" s="415"/>
      <c r="C71" s="124"/>
      <c r="D71" s="159"/>
      <c r="E71" s="157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6.25" customHeight="1" thickBot="1">
      <c r="A72" s="420" t="s">
        <v>289</v>
      </c>
      <c r="B72" s="420"/>
      <c r="C72" s="420"/>
      <c r="D72" s="420"/>
      <c r="E72" s="42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1" t="s">
        <v>113</v>
      </c>
      <c r="B73" s="422"/>
      <c r="C73" s="158" t="s">
        <v>2</v>
      </c>
      <c r="D73" s="158" t="s">
        <v>37</v>
      </c>
      <c r="E73" s="158" t="s">
        <v>3</v>
      </c>
      <c r="F73" s="422" t="s">
        <v>38</v>
      </c>
      <c r="G73" s="422"/>
      <c r="H73" s="422"/>
      <c r="I73" s="422"/>
      <c r="J73" s="422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22" t="s">
        <v>49</v>
      </c>
      <c r="U73" s="422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435">
        <v>1</v>
      </c>
      <c r="B74" s="436"/>
      <c r="C74" s="160" t="s">
        <v>114</v>
      </c>
      <c r="D74" s="160"/>
      <c r="E74" s="71" t="s">
        <v>119</v>
      </c>
      <c r="F74" s="437" t="s">
        <v>120</v>
      </c>
      <c r="G74" s="438"/>
      <c r="H74" s="438"/>
      <c r="I74" s="438"/>
      <c r="J74" s="439"/>
      <c r="K74" s="440" t="s">
        <v>115</v>
      </c>
      <c r="L74" s="441"/>
      <c r="M74" s="441"/>
      <c r="N74" s="441"/>
      <c r="O74" s="441"/>
      <c r="P74" s="441"/>
      <c r="Q74" s="441"/>
      <c r="R74" s="441"/>
      <c r="S74" s="442"/>
      <c r="T74" s="443">
        <v>42901</v>
      </c>
      <c r="U74" s="444"/>
      <c r="V74" s="445"/>
      <c r="W74" s="445"/>
      <c r="X74" s="446"/>
      <c r="Y74" s="446"/>
      <c r="Z74" s="446"/>
      <c r="AA74" s="446"/>
      <c r="AB74" s="446"/>
      <c r="AC74" s="446"/>
      <c r="AD74" s="447"/>
      <c r="AF74" s="53"/>
    </row>
    <row r="75" spans="1:32" ht="30" customHeight="1">
      <c r="A75" s="427">
        <f>A74+1</f>
        <v>2</v>
      </c>
      <c r="B75" s="428"/>
      <c r="C75" s="159" t="s">
        <v>114</v>
      </c>
      <c r="D75" s="159"/>
      <c r="E75" s="35" t="s">
        <v>116</v>
      </c>
      <c r="F75" s="428" t="s">
        <v>117</v>
      </c>
      <c r="G75" s="428"/>
      <c r="H75" s="428"/>
      <c r="I75" s="428"/>
      <c r="J75" s="428"/>
      <c r="K75" s="429" t="s">
        <v>118</v>
      </c>
      <c r="L75" s="430"/>
      <c r="M75" s="430"/>
      <c r="N75" s="430"/>
      <c r="O75" s="430"/>
      <c r="P75" s="430"/>
      <c r="Q75" s="430"/>
      <c r="R75" s="430"/>
      <c r="S75" s="431"/>
      <c r="T75" s="432">
        <v>42867</v>
      </c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ref="A76:A82" si="19">A75+1</f>
        <v>3</v>
      </c>
      <c r="B76" s="428"/>
      <c r="C76" s="159"/>
      <c r="D76" s="159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9"/>
        <v>4</v>
      </c>
      <c r="B77" s="428"/>
      <c r="C77" s="159"/>
      <c r="D77" s="159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9"/>
        <v>5</v>
      </c>
      <c r="B78" s="428"/>
      <c r="C78" s="159"/>
      <c r="D78" s="159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9"/>
        <v>6</v>
      </c>
      <c r="B79" s="428"/>
      <c r="C79" s="159"/>
      <c r="D79" s="159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9"/>
        <v>7</v>
      </c>
      <c r="B80" s="428"/>
      <c r="C80" s="159"/>
      <c r="D80" s="159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9"/>
        <v>8</v>
      </c>
      <c r="B81" s="428"/>
      <c r="C81" s="159"/>
      <c r="D81" s="159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19"/>
        <v>9</v>
      </c>
      <c r="B82" s="428"/>
      <c r="C82" s="159"/>
      <c r="D82" s="159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6" thickBot="1">
      <c r="A83" s="420" t="s">
        <v>290</v>
      </c>
      <c r="B83" s="420"/>
      <c r="C83" s="420"/>
      <c r="D83" s="420"/>
      <c r="E83" s="42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1" t="s">
        <v>113</v>
      </c>
      <c r="B84" s="422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3"/>
    </row>
    <row r="85" spans="1:32" ht="30.75" customHeight="1">
      <c r="A85" s="435">
        <v>1</v>
      </c>
      <c r="B85" s="436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450"/>
      <c r="U85" s="450"/>
      <c r="V85" s="451"/>
      <c r="W85" s="451"/>
      <c r="X85" s="451"/>
      <c r="Y85" s="452"/>
      <c r="Z85" s="452"/>
      <c r="AA85" s="452"/>
      <c r="AB85" s="452"/>
      <c r="AC85" s="452"/>
      <c r="AD85" s="453"/>
      <c r="AF85" s="53"/>
    </row>
    <row r="86" spans="1:32" ht="30.75" customHeight="1">
      <c r="A86" s="427">
        <v>2</v>
      </c>
      <c r="B86" s="428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4"/>
      <c r="Z86" s="454"/>
      <c r="AA86" s="454"/>
      <c r="AB86" s="454"/>
      <c r="AC86" s="454"/>
      <c r="AD86" s="455"/>
      <c r="AF86" s="53"/>
    </row>
    <row r="87" spans="1:32" ht="30.75" customHeight="1" thickBot="1">
      <c r="A87" s="456">
        <v>3</v>
      </c>
      <c r="B87" s="457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9"/>
  <sheetViews>
    <sheetView zoomScale="72" zoomScaleNormal="72" zoomScaleSheetLayoutView="70" workbookViewId="0">
      <selection activeCell="K81" sqref="K81:S8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291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172" t="s">
        <v>17</v>
      </c>
      <c r="L5" s="172" t="s">
        <v>18</v>
      </c>
      <c r="M5" s="172" t="s">
        <v>19</v>
      </c>
      <c r="N5" s="17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292</v>
      </c>
      <c r="F6" s="33" t="s">
        <v>131</v>
      </c>
      <c r="G6" s="36">
        <v>1</v>
      </c>
      <c r="H6" s="38">
        <v>25</v>
      </c>
      <c r="I6" s="7">
        <v>20000</v>
      </c>
      <c r="J6" s="5">
        <v>4245</v>
      </c>
      <c r="K6" s="15">
        <f>L6</f>
        <v>4245</v>
      </c>
      <c r="L6" s="15">
        <f>2453+1792</f>
        <v>4245</v>
      </c>
      <c r="M6" s="16">
        <f t="shared" ref="M6:M23" si="0">L6-N6</f>
        <v>4245</v>
      </c>
      <c r="N6" s="16">
        <v>0</v>
      </c>
      <c r="O6" s="62">
        <f t="shared" ref="O6:O24" si="1">IF(L6=0,"0",N6/L6)</f>
        <v>0</v>
      </c>
      <c r="P6" s="42">
        <f t="shared" ref="P6:P23" si="2">IF(L6=0,"0",(24-Q6))</f>
        <v>23</v>
      </c>
      <c r="Q6" s="43">
        <f t="shared" ref="Q6:Q23" si="3">SUM(R6:AA6)</f>
        <v>1</v>
      </c>
      <c r="R6" s="7"/>
      <c r="S6" s="6"/>
      <c r="T6" s="17">
        <v>1</v>
      </c>
      <c r="U6" s="17"/>
      <c r="V6" s="18"/>
      <c r="W6" s="19"/>
      <c r="X6" s="17"/>
      <c r="Y6" s="20"/>
      <c r="Z6" s="20"/>
      <c r="AA6" s="21"/>
      <c r="AB6" s="8">
        <f t="shared" ref="AB6:AB23" si="4">IF(J6=0,"0",(L6/J6))</f>
        <v>1</v>
      </c>
      <c r="AC6" s="9">
        <f t="shared" ref="AC6:AC23" si="5">IF(P6=0,"0",(P6/24))</f>
        <v>0.95833333333333337</v>
      </c>
      <c r="AD6" s="10">
        <f t="shared" ref="AD6:AD23" si="6">AC6*AB6*(1-O6)</f>
        <v>0.95833333333333337</v>
      </c>
      <c r="AE6" s="39">
        <f t="shared" ref="AE6:AE23" si="7">$AD$24</f>
        <v>0.37184504830027676</v>
      </c>
      <c r="AF6" s="94">
        <f t="shared" ref="AF6:AF23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0.37184504830027676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151</v>
      </c>
      <c r="D8" s="55" t="s">
        <v>152</v>
      </c>
      <c r="E8" s="57" t="s">
        <v>153</v>
      </c>
      <c r="F8" s="33" t="s">
        <v>142</v>
      </c>
      <c r="G8" s="12">
        <v>1</v>
      </c>
      <c r="H8" s="13">
        <v>25</v>
      </c>
      <c r="I8" s="34">
        <v>16000</v>
      </c>
      <c r="J8" s="5">
        <v>3681</v>
      </c>
      <c r="K8" s="15">
        <f>L8+78+4918+4887+1829</f>
        <v>15393</v>
      </c>
      <c r="L8" s="15">
        <f>1088+2593</f>
        <v>3681</v>
      </c>
      <c r="M8" s="16">
        <f t="shared" si="0"/>
        <v>3681</v>
      </c>
      <c r="N8" s="16">
        <v>0</v>
      </c>
      <c r="O8" s="62">
        <f t="shared" si="1"/>
        <v>0</v>
      </c>
      <c r="P8" s="42">
        <f t="shared" si="2"/>
        <v>19</v>
      </c>
      <c r="Q8" s="43">
        <f t="shared" si="3"/>
        <v>5</v>
      </c>
      <c r="R8" s="7"/>
      <c r="S8" s="6">
        <v>5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0.79166666666666663</v>
      </c>
      <c r="AD8" s="10">
        <f t="shared" si="6"/>
        <v>0.79166666666666663</v>
      </c>
      <c r="AE8" s="39">
        <f t="shared" si="7"/>
        <v>0.37184504830027676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241</v>
      </c>
      <c r="E9" s="57" t="s">
        <v>242</v>
      </c>
      <c r="F9" s="33" t="s">
        <v>243</v>
      </c>
      <c r="G9" s="36">
        <v>1</v>
      </c>
      <c r="H9" s="38">
        <v>25</v>
      </c>
      <c r="I9" s="7">
        <v>6500</v>
      </c>
      <c r="J9" s="5">
        <v>3290</v>
      </c>
      <c r="K9" s="15">
        <f>L9+5257</f>
        <v>8539</v>
      </c>
      <c r="L9" s="15">
        <f>2863+419</f>
        <v>3282</v>
      </c>
      <c r="M9" s="16">
        <f t="shared" si="0"/>
        <v>3282</v>
      </c>
      <c r="N9" s="16">
        <v>0</v>
      </c>
      <c r="O9" s="62">
        <f t="shared" si="1"/>
        <v>0</v>
      </c>
      <c r="P9" s="42">
        <f t="shared" si="2"/>
        <v>15</v>
      </c>
      <c r="Q9" s="43">
        <f t="shared" si="3"/>
        <v>9</v>
      </c>
      <c r="R9" s="7"/>
      <c r="S9" s="6"/>
      <c r="T9" s="17"/>
      <c r="U9" s="17"/>
      <c r="V9" s="18"/>
      <c r="W9" s="19">
        <v>9</v>
      </c>
      <c r="X9" s="17"/>
      <c r="Y9" s="20"/>
      <c r="Z9" s="20"/>
      <c r="AA9" s="21"/>
      <c r="AB9" s="8">
        <f t="shared" si="4"/>
        <v>0.9975683890577508</v>
      </c>
      <c r="AC9" s="9">
        <f t="shared" si="5"/>
        <v>0.625</v>
      </c>
      <c r="AD9" s="10">
        <f t="shared" si="6"/>
        <v>0.62348024316109429</v>
      </c>
      <c r="AE9" s="39">
        <f t="shared" si="7"/>
        <v>0.37184504830027676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293</v>
      </c>
      <c r="E10" s="57" t="s">
        <v>294</v>
      </c>
      <c r="F10" s="33" t="s">
        <v>246</v>
      </c>
      <c r="G10" s="36">
        <v>1</v>
      </c>
      <c r="H10" s="38">
        <v>25</v>
      </c>
      <c r="I10" s="7">
        <v>200</v>
      </c>
      <c r="J10" s="5">
        <v>244</v>
      </c>
      <c r="K10" s="15">
        <f>L10</f>
        <v>244</v>
      </c>
      <c r="L10" s="15">
        <v>244</v>
      </c>
      <c r="M10" s="16">
        <f t="shared" si="0"/>
        <v>244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 t="shared" si="7"/>
        <v>0.37184504830027676</v>
      </c>
      <c r="AF10" s="94">
        <f t="shared" si="8"/>
        <v>5</v>
      </c>
    </row>
    <row r="11" spans="1:32" ht="27" customHeight="1">
      <c r="A11" s="110">
        <v>5</v>
      </c>
      <c r="B11" s="11" t="s">
        <v>57</v>
      </c>
      <c r="C11" s="37" t="s">
        <v>121</v>
      </c>
      <c r="D11" s="55" t="s">
        <v>297</v>
      </c>
      <c r="E11" s="57" t="s">
        <v>298</v>
      </c>
      <c r="F11" s="33" t="s">
        <v>246</v>
      </c>
      <c r="G11" s="36">
        <v>1</v>
      </c>
      <c r="H11" s="38">
        <v>25</v>
      </c>
      <c r="I11" s="7">
        <v>200</v>
      </c>
      <c r="J11" s="5">
        <v>231</v>
      </c>
      <c r="K11" s="15">
        <f>L11</f>
        <v>231</v>
      </c>
      <c r="L11" s="15">
        <v>231</v>
      </c>
      <c r="M11" s="16">
        <f t="shared" ref="M11" si="9">L11-N11</f>
        <v>231</v>
      </c>
      <c r="N11" s="16">
        <v>0</v>
      </c>
      <c r="O11" s="62">
        <f t="shared" ref="O11" si="10">IF(L11=0,"0",N11/L11)</f>
        <v>0</v>
      </c>
      <c r="P11" s="42">
        <f t="shared" ref="P11" si="11">IF(L11=0,"0",(24-Q11))</f>
        <v>4</v>
      </c>
      <c r="Q11" s="43">
        <f t="shared" ref="Q11" si="12">SUM(R11:AA11)</f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ref="AB11" si="13">IF(J11=0,"0",(L11/J11))</f>
        <v>1</v>
      </c>
      <c r="AC11" s="9">
        <f t="shared" ref="AC11" si="14">IF(P11=0,"0",(P11/24))</f>
        <v>0.16666666666666666</v>
      </c>
      <c r="AD11" s="10">
        <f t="shared" ref="AD11" si="15">AC11*AB11*(1-O11)</f>
        <v>0.16666666666666666</v>
      </c>
      <c r="AE11" s="39">
        <f t="shared" si="7"/>
        <v>0.37184504830027676</v>
      </c>
      <c r="AF11" s="94">
        <f t="shared" ref="AF11" si="16">A11</f>
        <v>5</v>
      </c>
    </row>
    <row r="12" spans="1:32" ht="27" customHeight="1">
      <c r="A12" s="110">
        <v>6</v>
      </c>
      <c r="B12" s="11" t="s">
        <v>57</v>
      </c>
      <c r="C12" s="11" t="s">
        <v>114</v>
      </c>
      <c r="D12" s="55" t="s">
        <v>161</v>
      </c>
      <c r="E12" s="57" t="s">
        <v>162</v>
      </c>
      <c r="F12" s="12" t="s">
        <v>163</v>
      </c>
      <c r="G12" s="12">
        <v>1</v>
      </c>
      <c r="H12" s="13">
        <v>25</v>
      </c>
      <c r="I12" s="34">
        <v>10000</v>
      </c>
      <c r="J12" s="14">
        <v>2330</v>
      </c>
      <c r="K12" s="15">
        <f>L12+4490+5182+2328</f>
        <v>12000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0.37184504830027676</v>
      </c>
      <c r="AF12" s="94">
        <f t="shared" si="8"/>
        <v>6</v>
      </c>
    </row>
    <row r="13" spans="1:32" ht="27" customHeight="1">
      <c r="A13" s="110">
        <v>7</v>
      </c>
      <c r="B13" s="11" t="s">
        <v>57</v>
      </c>
      <c r="C13" s="11" t="s">
        <v>197</v>
      </c>
      <c r="D13" s="55" t="s">
        <v>198</v>
      </c>
      <c r="E13" s="57" t="s">
        <v>199</v>
      </c>
      <c r="F13" s="12" t="s">
        <v>200</v>
      </c>
      <c r="G13" s="12">
        <v>1</v>
      </c>
      <c r="H13" s="13">
        <v>25</v>
      </c>
      <c r="I13" s="7">
        <v>20000</v>
      </c>
      <c r="J13" s="14">
        <v>725</v>
      </c>
      <c r="K13" s="15">
        <f>L13+4234+5649</f>
        <v>10608</v>
      </c>
      <c r="L13" s="15">
        <v>725</v>
      </c>
      <c r="M13" s="16">
        <f t="shared" si="0"/>
        <v>725</v>
      </c>
      <c r="N13" s="16">
        <v>0</v>
      </c>
      <c r="O13" s="62">
        <f t="shared" si="1"/>
        <v>0</v>
      </c>
      <c r="P13" s="42">
        <f t="shared" si="2"/>
        <v>5</v>
      </c>
      <c r="Q13" s="43">
        <f t="shared" si="3"/>
        <v>19</v>
      </c>
      <c r="R13" s="7"/>
      <c r="S13" s="6">
        <v>19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0.20833333333333334</v>
      </c>
      <c r="AD13" s="10">
        <f t="shared" si="6"/>
        <v>0.20833333333333334</v>
      </c>
      <c r="AE13" s="39">
        <f t="shared" si="7"/>
        <v>0.37184504830027676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121</v>
      </c>
      <c r="D14" s="55" t="s">
        <v>124</v>
      </c>
      <c r="E14" s="57" t="s">
        <v>252</v>
      </c>
      <c r="F14" s="12" t="s">
        <v>135</v>
      </c>
      <c r="G14" s="12">
        <v>1</v>
      </c>
      <c r="H14" s="13">
        <v>25</v>
      </c>
      <c r="I14" s="7">
        <v>6500</v>
      </c>
      <c r="J14" s="14">
        <v>901</v>
      </c>
      <c r="K14" s="15">
        <f>L14+429</f>
        <v>1330</v>
      </c>
      <c r="L14" s="15">
        <v>901</v>
      </c>
      <c r="M14" s="16">
        <f t="shared" ref="M14" si="17">L14-N14</f>
        <v>901</v>
      </c>
      <c r="N14" s="16">
        <v>0</v>
      </c>
      <c r="O14" s="62">
        <f t="shared" ref="O14" si="18">IF(L14=0,"0",N14/L14)</f>
        <v>0</v>
      </c>
      <c r="P14" s="42">
        <f t="shared" ref="P14" si="19">IF(L14=0,"0",(24-Q14))</f>
        <v>6</v>
      </c>
      <c r="Q14" s="43">
        <f t="shared" ref="Q14" si="20">SUM(R14:AA14)</f>
        <v>18</v>
      </c>
      <c r="R14" s="7"/>
      <c r="S14" s="6">
        <v>18</v>
      </c>
      <c r="T14" s="17"/>
      <c r="U14" s="17"/>
      <c r="V14" s="18"/>
      <c r="W14" s="19"/>
      <c r="X14" s="17"/>
      <c r="Y14" s="20"/>
      <c r="Z14" s="20"/>
      <c r="AA14" s="21"/>
      <c r="AB14" s="8">
        <f t="shared" ref="AB14" si="21">IF(J14=0,"0",(L14/J14))</f>
        <v>1</v>
      </c>
      <c r="AC14" s="9">
        <f t="shared" ref="AC14" si="22">IF(P14=0,"0",(P14/24))</f>
        <v>0.25</v>
      </c>
      <c r="AD14" s="10">
        <f t="shared" ref="AD14" si="23">AC14*AB14*(1-O14)</f>
        <v>0.25</v>
      </c>
      <c r="AE14" s="39">
        <f t="shared" si="7"/>
        <v>0.37184504830027676</v>
      </c>
      <c r="AF14" s="94">
        <f t="shared" ref="AF14" si="24">A14</f>
        <v>8</v>
      </c>
    </row>
    <row r="15" spans="1:32" ht="27" customHeight="1">
      <c r="A15" s="110">
        <v>8</v>
      </c>
      <c r="B15" s="11" t="s">
        <v>57</v>
      </c>
      <c r="C15" s="11" t="s">
        <v>121</v>
      </c>
      <c r="D15" s="55" t="s">
        <v>247</v>
      </c>
      <c r="E15" s="57" t="s">
        <v>249</v>
      </c>
      <c r="F15" s="12" t="s">
        <v>243</v>
      </c>
      <c r="G15" s="12">
        <v>1</v>
      </c>
      <c r="H15" s="13">
        <v>25</v>
      </c>
      <c r="I15" s="7">
        <v>6500</v>
      </c>
      <c r="J15" s="14">
        <v>3870</v>
      </c>
      <c r="K15" s="15">
        <f>L15+3716</f>
        <v>7578</v>
      </c>
      <c r="L15" s="15">
        <f>2752+1110</f>
        <v>3862</v>
      </c>
      <c r="M15" s="16">
        <f t="shared" si="0"/>
        <v>3862</v>
      </c>
      <c r="N15" s="16">
        <v>0</v>
      </c>
      <c r="O15" s="62">
        <f t="shared" si="1"/>
        <v>0</v>
      </c>
      <c r="P15" s="42">
        <f t="shared" si="2"/>
        <v>18</v>
      </c>
      <c r="Q15" s="43">
        <f t="shared" si="3"/>
        <v>6</v>
      </c>
      <c r="R15" s="7"/>
      <c r="S15" s="6"/>
      <c r="T15" s="17"/>
      <c r="U15" s="17"/>
      <c r="V15" s="18"/>
      <c r="W15" s="19">
        <v>6</v>
      </c>
      <c r="X15" s="17"/>
      <c r="Y15" s="20"/>
      <c r="Z15" s="20"/>
      <c r="AA15" s="21"/>
      <c r="AB15" s="8">
        <f t="shared" si="4"/>
        <v>0.99793281653746768</v>
      </c>
      <c r="AC15" s="9">
        <f t="shared" si="5"/>
        <v>0.75</v>
      </c>
      <c r="AD15" s="10">
        <f t="shared" si="6"/>
        <v>0.74844961240310082</v>
      </c>
      <c r="AE15" s="39">
        <f t="shared" si="7"/>
        <v>0.37184504830027676</v>
      </c>
      <c r="AF15" s="94">
        <f t="shared" si="8"/>
        <v>8</v>
      </c>
    </row>
    <row r="16" spans="1:32" ht="27" customHeight="1">
      <c r="A16" s="109">
        <v>9</v>
      </c>
      <c r="B16" s="11" t="s">
        <v>57</v>
      </c>
      <c r="C16" s="37" t="s">
        <v>114</v>
      </c>
      <c r="D16" s="55" t="s">
        <v>124</v>
      </c>
      <c r="E16" s="57" t="s">
        <v>137</v>
      </c>
      <c r="F16" s="33" t="s">
        <v>128</v>
      </c>
      <c r="G16" s="36">
        <v>1</v>
      </c>
      <c r="H16" s="38">
        <v>25</v>
      </c>
      <c r="I16" s="7">
        <v>2600</v>
      </c>
      <c r="J16" s="5">
        <v>2780</v>
      </c>
      <c r="K16" s="15">
        <f>L16+362+578+779+823+778+542</f>
        <v>3862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0.37184504830027676</v>
      </c>
      <c r="AF16" s="94">
        <f t="shared" si="8"/>
        <v>9</v>
      </c>
    </row>
    <row r="17" spans="1:32" ht="27" customHeight="1">
      <c r="A17" s="109">
        <v>10</v>
      </c>
      <c r="B17" s="11" t="s">
        <v>57</v>
      </c>
      <c r="C17" s="11" t="s">
        <v>166</v>
      </c>
      <c r="D17" s="55" t="s">
        <v>138</v>
      </c>
      <c r="E17" s="57" t="s">
        <v>167</v>
      </c>
      <c r="F17" s="12">
        <v>8301</v>
      </c>
      <c r="G17" s="12">
        <v>1</v>
      </c>
      <c r="H17" s="13">
        <v>24</v>
      </c>
      <c r="I17" s="34">
        <v>1000</v>
      </c>
      <c r="J17" s="14">
        <v>2780</v>
      </c>
      <c r="K17" s="15">
        <f>L17+1100</f>
        <v>1100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0.37184504830027676</v>
      </c>
      <c r="AF17" s="94">
        <f t="shared" si="8"/>
        <v>10</v>
      </c>
    </row>
    <row r="18" spans="1:32" ht="27" customHeight="1">
      <c r="A18" s="109">
        <v>11</v>
      </c>
      <c r="B18" s="11" t="s">
        <v>57</v>
      </c>
      <c r="C18" s="11" t="s">
        <v>197</v>
      </c>
      <c r="D18" s="55" t="s">
        <v>204</v>
      </c>
      <c r="E18" s="57" t="s">
        <v>206</v>
      </c>
      <c r="F18" s="12" t="s">
        <v>207</v>
      </c>
      <c r="G18" s="12">
        <v>1</v>
      </c>
      <c r="H18" s="13">
        <v>24</v>
      </c>
      <c r="I18" s="34">
        <v>6500</v>
      </c>
      <c r="J18" s="14">
        <v>1780</v>
      </c>
      <c r="K18" s="15">
        <f>L18+3141+4985</f>
        <v>9901</v>
      </c>
      <c r="L18" s="15">
        <v>1775</v>
      </c>
      <c r="M18" s="16">
        <f t="shared" si="0"/>
        <v>1775</v>
      </c>
      <c r="N18" s="16">
        <v>0</v>
      </c>
      <c r="O18" s="62">
        <f t="shared" si="1"/>
        <v>0</v>
      </c>
      <c r="P18" s="42">
        <f t="shared" si="2"/>
        <v>8</v>
      </c>
      <c r="Q18" s="43">
        <f t="shared" si="3"/>
        <v>16</v>
      </c>
      <c r="R18" s="7"/>
      <c r="S18" s="6"/>
      <c r="T18" s="17"/>
      <c r="U18" s="17"/>
      <c r="V18" s="18"/>
      <c r="W18" s="19">
        <v>16</v>
      </c>
      <c r="X18" s="17"/>
      <c r="Y18" s="20"/>
      <c r="Z18" s="20"/>
      <c r="AA18" s="21"/>
      <c r="AB18" s="8">
        <f t="shared" si="4"/>
        <v>0.9971910112359551</v>
      </c>
      <c r="AC18" s="9">
        <f t="shared" si="5"/>
        <v>0.33333333333333331</v>
      </c>
      <c r="AD18" s="10">
        <f t="shared" si="6"/>
        <v>0.33239700374531833</v>
      </c>
      <c r="AE18" s="39">
        <f t="shared" si="7"/>
        <v>0.37184504830027676</v>
      </c>
      <c r="AF18" s="94">
        <f t="shared" si="8"/>
        <v>11</v>
      </c>
    </row>
    <row r="19" spans="1:32" ht="27" customHeight="1">
      <c r="A19" s="109">
        <v>11</v>
      </c>
      <c r="B19" s="11" t="s">
        <v>57</v>
      </c>
      <c r="C19" s="11" t="s">
        <v>197</v>
      </c>
      <c r="D19" s="55" t="s">
        <v>295</v>
      </c>
      <c r="E19" s="57" t="s">
        <v>296</v>
      </c>
      <c r="F19" s="12" t="s">
        <v>207</v>
      </c>
      <c r="G19" s="12">
        <v>1</v>
      </c>
      <c r="H19" s="13">
        <v>24</v>
      </c>
      <c r="I19" s="34">
        <v>200</v>
      </c>
      <c r="J19" s="14">
        <v>230</v>
      </c>
      <c r="K19" s="15">
        <f>L19</f>
        <v>230</v>
      </c>
      <c r="L19" s="15">
        <v>230</v>
      </c>
      <c r="M19" s="16">
        <f t="shared" ref="M19" si="25">L19-N19</f>
        <v>230</v>
      </c>
      <c r="N19" s="16">
        <v>0</v>
      </c>
      <c r="O19" s="62">
        <f t="shared" ref="O19" si="26">IF(L19=0,"0",N19/L19)</f>
        <v>0</v>
      </c>
      <c r="P19" s="42">
        <f t="shared" ref="P19" si="27">IF(L19=0,"0",(24-Q19))</f>
        <v>4</v>
      </c>
      <c r="Q19" s="43">
        <f t="shared" ref="Q19" si="28">SUM(R19:AA19)</f>
        <v>20</v>
      </c>
      <c r="R19" s="7"/>
      <c r="S19" s="6"/>
      <c r="T19" s="17"/>
      <c r="U19" s="17"/>
      <c r="V19" s="18"/>
      <c r="W19" s="19">
        <v>20</v>
      </c>
      <c r="X19" s="17"/>
      <c r="Y19" s="20"/>
      <c r="Z19" s="20"/>
      <c r="AA19" s="21"/>
      <c r="AB19" s="8">
        <f t="shared" ref="AB19" si="29">IF(J19=0,"0",(L19/J19))</f>
        <v>1</v>
      </c>
      <c r="AC19" s="9">
        <f t="shared" ref="AC19" si="30">IF(P19=0,"0",(P19/24))</f>
        <v>0.16666666666666666</v>
      </c>
      <c r="AD19" s="10">
        <f t="shared" ref="AD19" si="31">AC19*AB19*(1-O19)</f>
        <v>0.16666666666666666</v>
      </c>
      <c r="AE19" s="39">
        <f t="shared" si="7"/>
        <v>0.37184504830027676</v>
      </c>
      <c r="AF19" s="94">
        <f t="shared" ref="AF19" si="32">A19</f>
        <v>11</v>
      </c>
    </row>
    <row r="20" spans="1:32" ht="27" customHeight="1">
      <c r="A20" s="109">
        <v>12</v>
      </c>
      <c r="B20" s="11" t="s">
        <v>57</v>
      </c>
      <c r="C20" s="37" t="s">
        <v>121</v>
      </c>
      <c r="D20" s="55" t="s">
        <v>126</v>
      </c>
      <c r="E20" s="57" t="s">
        <v>143</v>
      </c>
      <c r="F20" s="12" t="s">
        <v>140</v>
      </c>
      <c r="G20" s="12">
        <v>1</v>
      </c>
      <c r="H20" s="13">
        <v>25</v>
      </c>
      <c r="I20" s="34">
        <v>1700</v>
      </c>
      <c r="J20" s="5">
        <v>1680</v>
      </c>
      <c r="K20" s="15">
        <f>L20+416+1674</f>
        <v>2090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0.37184504830027676</v>
      </c>
      <c r="AF20" s="94">
        <f t="shared" si="8"/>
        <v>12</v>
      </c>
    </row>
    <row r="21" spans="1:32" ht="27" customHeight="1">
      <c r="A21" s="110">
        <v>13</v>
      </c>
      <c r="B21" s="11" t="s">
        <v>57</v>
      </c>
      <c r="C21" s="11" t="s">
        <v>121</v>
      </c>
      <c r="D21" s="55" t="s">
        <v>250</v>
      </c>
      <c r="E21" s="57" t="s">
        <v>251</v>
      </c>
      <c r="F21" s="12" t="s">
        <v>246</v>
      </c>
      <c r="G21" s="12">
        <v>1</v>
      </c>
      <c r="H21" s="13">
        <v>24</v>
      </c>
      <c r="I21" s="34">
        <v>6500</v>
      </c>
      <c r="J21" s="14">
        <v>5540</v>
      </c>
      <c r="K21" s="15">
        <f>L21+2928</f>
        <v>8461</v>
      </c>
      <c r="L21" s="15">
        <f>2663+2870</f>
        <v>5533</v>
      </c>
      <c r="M21" s="16">
        <f t="shared" si="0"/>
        <v>5533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0.9987364620938628</v>
      </c>
      <c r="AC21" s="9">
        <f t="shared" si="5"/>
        <v>1</v>
      </c>
      <c r="AD21" s="10">
        <f t="shared" si="6"/>
        <v>0.9987364620938628</v>
      </c>
      <c r="AE21" s="39">
        <f t="shared" si="7"/>
        <v>0.37184504830027676</v>
      </c>
      <c r="AF21" s="94">
        <f t="shared" si="8"/>
        <v>13</v>
      </c>
    </row>
    <row r="22" spans="1:32" ht="27" customHeight="1">
      <c r="A22" s="110">
        <v>14</v>
      </c>
      <c r="B22" s="11" t="s">
        <v>57</v>
      </c>
      <c r="C22" s="11" t="s">
        <v>121</v>
      </c>
      <c r="D22" s="55" t="s">
        <v>124</v>
      </c>
      <c r="E22" s="57" t="s">
        <v>252</v>
      </c>
      <c r="F22" s="12" t="s">
        <v>135</v>
      </c>
      <c r="G22" s="12">
        <v>1</v>
      </c>
      <c r="H22" s="13">
        <v>25</v>
      </c>
      <c r="I22" s="7">
        <v>6500</v>
      </c>
      <c r="J22" s="14">
        <v>430</v>
      </c>
      <c r="K22" s="15">
        <f>L22</f>
        <v>429</v>
      </c>
      <c r="L22" s="15">
        <v>429</v>
      </c>
      <c r="M22" s="16">
        <f t="shared" si="0"/>
        <v>429</v>
      </c>
      <c r="N22" s="16">
        <v>0</v>
      </c>
      <c r="O22" s="62">
        <f t="shared" si="1"/>
        <v>0</v>
      </c>
      <c r="P22" s="42">
        <f t="shared" si="2"/>
        <v>4</v>
      </c>
      <c r="Q22" s="43">
        <f t="shared" si="3"/>
        <v>20</v>
      </c>
      <c r="R22" s="7">
        <v>10</v>
      </c>
      <c r="S22" s="6">
        <v>10</v>
      </c>
      <c r="T22" s="17"/>
      <c r="U22" s="17"/>
      <c r="V22" s="18"/>
      <c r="W22" s="19"/>
      <c r="X22" s="17"/>
      <c r="Y22" s="20"/>
      <c r="Z22" s="20"/>
      <c r="AA22" s="21"/>
      <c r="AB22" s="8">
        <f t="shared" si="4"/>
        <v>0.99767441860465111</v>
      </c>
      <c r="AC22" s="9">
        <f t="shared" si="5"/>
        <v>0.16666666666666666</v>
      </c>
      <c r="AD22" s="10">
        <f t="shared" si="6"/>
        <v>0.16627906976744183</v>
      </c>
      <c r="AE22" s="39">
        <f t="shared" si="7"/>
        <v>0.37184504830027676</v>
      </c>
      <c r="AF22" s="94">
        <f t="shared" si="8"/>
        <v>14</v>
      </c>
    </row>
    <row r="23" spans="1:32" ht="27" customHeight="1" thickBot="1">
      <c r="A23" s="110">
        <v>15</v>
      </c>
      <c r="B23" s="11" t="s">
        <v>57</v>
      </c>
      <c r="C23" s="11" t="s">
        <v>122</v>
      </c>
      <c r="D23" s="55"/>
      <c r="E23" s="56" t="s">
        <v>127</v>
      </c>
      <c r="F23" s="12" t="s">
        <v>123</v>
      </c>
      <c r="G23" s="12">
        <v>4</v>
      </c>
      <c r="H23" s="38">
        <v>20</v>
      </c>
      <c r="I23" s="7">
        <v>800000</v>
      </c>
      <c r="J23" s="14">
        <v>2230</v>
      </c>
      <c r="K23" s="15">
        <f>L23+29128+42972+45096+45728+43064+5640+29816+42972+44600+38336+6084+2224</f>
        <v>375660</v>
      </c>
      <c r="L23" s="15"/>
      <c r="M23" s="16">
        <f t="shared" si="0"/>
        <v>0</v>
      </c>
      <c r="N23" s="16">
        <v>0</v>
      </c>
      <c r="O23" s="62" t="str">
        <f t="shared" si="1"/>
        <v>0</v>
      </c>
      <c r="P23" s="42" t="str">
        <f t="shared" si="2"/>
        <v>0</v>
      </c>
      <c r="Q23" s="43">
        <f t="shared" si="3"/>
        <v>24</v>
      </c>
      <c r="R23" s="7"/>
      <c r="S23" s="6">
        <v>24</v>
      </c>
      <c r="T23" s="17"/>
      <c r="U23" s="17"/>
      <c r="V23" s="18"/>
      <c r="W23" s="19"/>
      <c r="X23" s="17"/>
      <c r="Y23" s="20"/>
      <c r="Z23" s="20"/>
      <c r="AA23" s="21"/>
      <c r="AB23" s="8">
        <f t="shared" si="4"/>
        <v>0</v>
      </c>
      <c r="AC23" s="9">
        <f t="shared" si="5"/>
        <v>0</v>
      </c>
      <c r="AD23" s="10">
        <f t="shared" si="6"/>
        <v>0</v>
      </c>
      <c r="AE23" s="39">
        <f t="shared" si="7"/>
        <v>0.37184504830027676</v>
      </c>
      <c r="AF23" s="94">
        <f t="shared" si="8"/>
        <v>15</v>
      </c>
    </row>
    <row r="24" spans="1:32" ht="31.5" customHeight="1" thickBot="1">
      <c r="A24" s="368" t="s">
        <v>34</v>
      </c>
      <c r="B24" s="369"/>
      <c r="C24" s="369"/>
      <c r="D24" s="369"/>
      <c r="E24" s="369"/>
      <c r="F24" s="369"/>
      <c r="G24" s="369"/>
      <c r="H24" s="370"/>
      <c r="I24" s="25">
        <f t="shared" ref="I24:N24" si="33">SUM(I6:I23)</f>
        <v>913400</v>
      </c>
      <c r="J24" s="22">
        <f t="shared" si="33"/>
        <v>38107</v>
      </c>
      <c r="K24" s="23">
        <f t="shared" si="33"/>
        <v>465687</v>
      </c>
      <c r="L24" s="24">
        <f t="shared" si="33"/>
        <v>25138</v>
      </c>
      <c r="M24" s="23">
        <f t="shared" si="33"/>
        <v>25138</v>
      </c>
      <c r="N24" s="24">
        <f t="shared" si="33"/>
        <v>0</v>
      </c>
      <c r="O24" s="44">
        <f t="shared" si="1"/>
        <v>0</v>
      </c>
      <c r="P24" s="45">
        <f t="shared" ref="P24:AA24" si="34">SUM(P6:P23)</f>
        <v>134</v>
      </c>
      <c r="Q24" s="46">
        <f t="shared" si="34"/>
        <v>298</v>
      </c>
      <c r="R24" s="26">
        <f t="shared" si="34"/>
        <v>10</v>
      </c>
      <c r="S24" s="27">
        <f t="shared" si="34"/>
        <v>76</v>
      </c>
      <c r="T24" s="27">
        <f t="shared" si="34"/>
        <v>1</v>
      </c>
      <c r="U24" s="27">
        <f t="shared" si="34"/>
        <v>0</v>
      </c>
      <c r="V24" s="28">
        <f t="shared" si="34"/>
        <v>0</v>
      </c>
      <c r="W24" s="29">
        <f t="shared" si="34"/>
        <v>211</v>
      </c>
      <c r="X24" s="30">
        <f t="shared" si="34"/>
        <v>0</v>
      </c>
      <c r="Y24" s="30">
        <f t="shared" si="34"/>
        <v>0</v>
      </c>
      <c r="Z24" s="30">
        <f t="shared" si="34"/>
        <v>0</v>
      </c>
      <c r="AA24" s="30">
        <f t="shared" si="34"/>
        <v>0</v>
      </c>
      <c r="AB24" s="31">
        <f>SUM(AB6:AB23)/15</f>
        <v>0.79927353983531246</v>
      </c>
      <c r="AC24" s="4">
        <f>SUM(AC6:AC23)/15</f>
        <v>0.37222222222222229</v>
      </c>
      <c r="AD24" s="4">
        <f>SUM(AD6:AD23)/15</f>
        <v>0.37184504830027676</v>
      </c>
      <c r="AE24" s="32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1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</row>
    <row r="35" spans="1:3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95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F40" s="53"/>
    </row>
    <row r="41" spans="1:32" ht="27">
      <c r="A41" s="63"/>
      <c r="B41" s="63"/>
      <c r="C41" s="63"/>
      <c r="D41" s="63"/>
      <c r="E41" s="63"/>
      <c r="F41" s="64"/>
      <c r="G41" s="64"/>
      <c r="H41" s="65"/>
      <c r="I41" s="65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F41" s="53"/>
    </row>
    <row r="42" spans="1:32" ht="29.25" customHeight="1">
      <c r="A42" s="66"/>
      <c r="B42" s="66"/>
      <c r="C42" s="67"/>
      <c r="D42" s="67"/>
      <c r="E42" s="67"/>
      <c r="F42" s="66"/>
      <c r="G42" s="66"/>
      <c r="H42" s="66"/>
      <c r="I42" s="66"/>
      <c r="J42" s="66"/>
      <c r="K42" s="66"/>
      <c r="L42" s="66"/>
      <c r="M42" s="67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29.25" customHeight="1">
      <c r="A49" s="66"/>
      <c r="B49" s="66"/>
      <c r="C49" s="68"/>
      <c r="D49" s="67"/>
      <c r="E49" s="67"/>
      <c r="F49" s="66"/>
      <c r="G49" s="66"/>
      <c r="H49" s="66"/>
      <c r="I49" s="66"/>
      <c r="J49" s="66"/>
      <c r="K49" s="66"/>
      <c r="L49" s="66"/>
      <c r="M49" s="68"/>
      <c r="N49" s="66"/>
      <c r="O49" s="66"/>
      <c r="P49" s="69"/>
      <c r="Q49" s="69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66"/>
      <c r="AC49" s="66"/>
      <c r="AD49" s="66"/>
      <c r="AF49" s="53"/>
    </row>
    <row r="50" spans="1:32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36" thickBot="1">
      <c r="A51" s="371" t="s">
        <v>45</v>
      </c>
      <c r="B51" s="371"/>
      <c r="C51" s="371"/>
      <c r="D51" s="371"/>
      <c r="E51" s="371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F51" s="53"/>
    </row>
    <row r="52" spans="1:32" ht="26.25" thickBot="1">
      <c r="A52" s="372" t="s">
        <v>299</v>
      </c>
      <c r="B52" s="373"/>
      <c r="C52" s="373"/>
      <c r="D52" s="373"/>
      <c r="E52" s="373"/>
      <c r="F52" s="373"/>
      <c r="G52" s="373"/>
      <c r="H52" s="373"/>
      <c r="I52" s="373"/>
      <c r="J52" s="373"/>
      <c r="K52" s="373"/>
      <c r="L52" s="373"/>
      <c r="M52" s="374"/>
      <c r="N52" s="375" t="s">
        <v>312</v>
      </c>
      <c r="O52" s="376"/>
      <c r="P52" s="376"/>
      <c r="Q52" s="376"/>
      <c r="R52" s="376"/>
      <c r="S52" s="376"/>
      <c r="T52" s="376"/>
      <c r="U52" s="376"/>
      <c r="V52" s="376"/>
      <c r="W52" s="376"/>
      <c r="X52" s="376"/>
      <c r="Y52" s="376"/>
      <c r="Z52" s="376"/>
      <c r="AA52" s="376"/>
      <c r="AB52" s="376"/>
      <c r="AC52" s="376"/>
      <c r="AD52" s="377"/>
    </row>
    <row r="53" spans="1:32" ht="27" customHeight="1">
      <c r="A53" s="378" t="s">
        <v>2</v>
      </c>
      <c r="B53" s="379"/>
      <c r="C53" s="171" t="s">
        <v>46</v>
      </c>
      <c r="D53" s="171" t="s">
        <v>47</v>
      </c>
      <c r="E53" s="171" t="s">
        <v>108</v>
      </c>
      <c r="F53" s="379" t="s">
        <v>107</v>
      </c>
      <c r="G53" s="379"/>
      <c r="H53" s="379"/>
      <c r="I53" s="379"/>
      <c r="J53" s="379"/>
      <c r="K53" s="379"/>
      <c r="L53" s="379"/>
      <c r="M53" s="380"/>
      <c r="N53" s="73" t="s">
        <v>112</v>
      </c>
      <c r="O53" s="171" t="s">
        <v>46</v>
      </c>
      <c r="P53" s="381" t="s">
        <v>47</v>
      </c>
      <c r="Q53" s="382"/>
      <c r="R53" s="381" t="s">
        <v>38</v>
      </c>
      <c r="S53" s="383"/>
      <c r="T53" s="383"/>
      <c r="U53" s="382"/>
      <c r="V53" s="381" t="s">
        <v>48</v>
      </c>
      <c r="W53" s="383"/>
      <c r="X53" s="383"/>
      <c r="Y53" s="383"/>
      <c r="Z53" s="383"/>
      <c r="AA53" s="383"/>
      <c r="AB53" s="383"/>
      <c r="AC53" s="383"/>
      <c r="AD53" s="384"/>
    </row>
    <row r="54" spans="1:32" ht="27" customHeight="1">
      <c r="A54" s="399" t="s">
        <v>121</v>
      </c>
      <c r="B54" s="400"/>
      <c r="C54" s="170" t="s">
        <v>273</v>
      </c>
      <c r="D54" s="167" t="s">
        <v>274</v>
      </c>
      <c r="E54" s="170" t="s">
        <v>277</v>
      </c>
      <c r="F54" s="397" t="s">
        <v>300</v>
      </c>
      <c r="G54" s="397"/>
      <c r="H54" s="397"/>
      <c r="I54" s="397"/>
      <c r="J54" s="397"/>
      <c r="K54" s="397"/>
      <c r="L54" s="397"/>
      <c r="M54" s="398"/>
      <c r="N54" s="166" t="s">
        <v>183</v>
      </c>
      <c r="O54" s="74" t="s">
        <v>265</v>
      </c>
      <c r="P54" s="396"/>
      <c r="Q54" s="396"/>
      <c r="R54" s="396" t="s">
        <v>313</v>
      </c>
      <c r="S54" s="396"/>
      <c r="T54" s="396"/>
      <c r="U54" s="396"/>
      <c r="V54" s="397" t="s">
        <v>272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121</v>
      </c>
      <c r="B55" s="396"/>
      <c r="C55" s="167" t="s">
        <v>256</v>
      </c>
      <c r="D55" s="167" t="s">
        <v>124</v>
      </c>
      <c r="E55" s="167" t="s">
        <v>252</v>
      </c>
      <c r="F55" s="397" t="s">
        <v>302</v>
      </c>
      <c r="G55" s="397"/>
      <c r="H55" s="397"/>
      <c r="I55" s="397"/>
      <c r="J55" s="397"/>
      <c r="K55" s="397"/>
      <c r="L55" s="397"/>
      <c r="M55" s="398"/>
      <c r="N55" s="166" t="s">
        <v>197</v>
      </c>
      <c r="O55" s="74" t="s">
        <v>233</v>
      </c>
      <c r="P55" s="396" t="s">
        <v>234</v>
      </c>
      <c r="Q55" s="396"/>
      <c r="R55" s="396" t="s">
        <v>235</v>
      </c>
      <c r="S55" s="396"/>
      <c r="T55" s="396"/>
      <c r="U55" s="396"/>
      <c r="V55" s="397" t="s">
        <v>267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258</v>
      </c>
      <c r="B56" s="396"/>
      <c r="C56" s="167" t="s">
        <v>259</v>
      </c>
      <c r="D56" s="167" t="s">
        <v>124</v>
      </c>
      <c r="E56" s="167" t="s">
        <v>252</v>
      </c>
      <c r="F56" s="397" t="s">
        <v>301</v>
      </c>
      <c r="G56" s="397"/>
      <c r="H56" s="397"/>
      <c r="I56" s="397"/>
      <c r="J56" s="397"/>
      <c r="K56" s="397"/>
      <c r="L56" s="397"/>
      <c r="M56" s="398"/>
      <c r="N56" s="166" t="s">
        <v>311</v>
      </c>
      <c r="O56" s="74" t="s">
        <v>309</v>
      </c>
      <c r="P56" s="396" t="s">
        <v>315</v>
      </c>
      <c r="Q56" s="396"/>
      <c r="R56" s="396" t="s">
        <v>314</v>
      </c>
      <c r="S56" s="396"/>
      <c r="T56" s="396"/>
      <c r="U56" s="396"/>
      <c r="V56" s="397" t="s">
        <v>272</v>
      </c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 t="s">
        <v>213</v>
      </c>
      <c r="B57" s="396"/>
      <c r="C57" s="167" t="s">
        <v>303</v>
      </c>
      <c r="D57" s="167" t="s">
        <v>304</v>
      </c>
      <c r="E57" s="167" t="s">
        <v>305</v>
      </c>
      <c r="F57" s="397" t="s">
        <v>306</v>
      </c>
      <c r="G57" s="397"/>
      <c r="H57" s="397"/>
      <c r="I57" s="397"/>
      <c r="J57" s="397"/>
      <c r="K57" s="397"/>
      <c r="L57" s="397"/>
      <c r="M57" s="398"/>
      <c r="N57" s="166" t="s">
        <v>311</v>
      </c>
      <c r="O57" s="74" t="s">
        <v>317</v>
      </c>
      <c r="P57" s="396" t="s">
        <v>318</v>
      </c>
      <c r="Q57" s="396"/>
      <c r="R57" s="396" t="s">
        <v>316</v>
      </c>
      <c r="S57" s="396"/>
      <c r="T57" s="396"/>
      <c r="U57" s="396"/>
      <c r="V57" s="397" t="s">
        <v>272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 t="s">
        <v>121</v>
      </c>
      <c r="B58" s="396"/>
      <c r="C58" s="167" t="s">
        <v>307</v>
      </c>
      <c r="D58" s="167" t="s">
        <v>308</v>
      </c>
      <c r="E58" s="167" t="s">
        <v>292</v>
      </c>
      <c r="F58" s="397" t="s">
        <v>133</v>
      </c>
      <c r="G58" s="397"/>
      <c r="H58" s="397"/>
      <c r="I58" s="397"/>
      <c r="J58" s="397"/>
      <c r="K58" s="397"/>
      <c r="L58" s="397"/>
      <c r="M58" s="398"/>
      <c r="N58" s="166"/>
      <c r="O58" s="74"/>
      <c r="P58" s="396"/>
      <c r="Q58" s="39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9" t="s">
        <v>121</v>
      </c>
      <c r="B59" s="400"/>
      <c r="C59" s="170" t="s">
        <v>309</v>
      </c>
      <c r="D59" s="167" t="s">
        <v>295</v>
      </c>
      <c r="E59" s="170" t="s">
        <v>310</v>
      </c>
      <c r="F59" s="397" t="s">
        <v>306</v>
      </c>
      <c r="G59" s="397"/>
      <c r="H59" s="397"/>
      <c r="I59" s="397"/>
      <c r="J59" s="397"/>
      <c r="K59" s="397"/>
      <c r="L59" s="397"/>
      <c r="M59" s="398"/>
      <c r="N59" s="166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9" t="s">
        <v>311</v>
      </c>
      <c r="B60" s="400"/>
      <c r="C60" s="170" t="s">
        <v>303</v>
      </c>
      <c r="D60" s="167" t="s">
        <v>297</v>
      </c>
      <c r="E60" s="170" t="s">
        <v>298</v>
      </c>
      <c r="F60" s="397" t="s">
        <v>133</v>
      </c>
      <c r="G60" s="397"/>
      <c r="H60" s="397"/>
      <c r="I60" s="397"/>
      <c r="J60" s="397"/>
      <c r="K60" s="397"/>
      <c r="L60" s="397"/>
      <c r="M60" s="398"/>
      <c r="N60" s="166"/>
      <c r="O60" s="74"/>
      <c r="P60" s="405"/>
      <c r="Q60" s="40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</row>
    <row r="61" spans="1:32" ht="27" customHeight="1">
      <c r="A61" s="399"/>
      <c r="B61" s="400"/>
      <c r="C61" s="170"/>
      <c r="D61" s="167"/>
      <c r="E61" s="170"/>
      <c r="F61" s="397"/>
      <c r="G61" s="397"/>
      <c r="H61" s="397"/>
      <c r="I61" s="397"/>
      <c r="J61" s="397"/>
      <c r="K61" s="397"/>
      <c r="L61" s="397"/>
      <c r="M61" s="398"/>
      <c r="N61" s="166"/>
      <c r="O61" s="74"/>
      <c r="P61" s="405"/>
      <c r="Q61" s="406"/>
      <c r="R61" s="396"/>
      <c r="S61" s="396"/>
      <c r="T61" s="396"/>
      <c r="U61" s="396"/>
      <c r="V61" s="397"/>
      <c r="W61" s="397"/>
      <c r="X61" s="397"/>
      <c r="Y61" s="397"/>
      <c r="Z61" s="397"/>
      <c r="AA61" s="397"/>
      <c r="AB61" s="397"/>
      <c r="AC61" s="397"/>
      <c r="AD61" s="398"/>
    </row>
    <row r="62" spans="1:32" ht="27" customHeight="1">
      <c r="A62" s="395"/>
      <c r="B62" s="396"/>
      <c r="C62" s="167"/>
      <c r="D62" s="167"/>
      <c r="E62" s="167"/>
      <c r="F62" s="397"/>
      <c r="G62" s="397"/>
      <c r="H62" s="397"/>
      <c r="I62" s="397"/>
      <c r="J62" s="397"/>
      <c r="K62" s="397"/>
      <c r="L62" s="397"/>
      <c r="M62" s="398"/>
      <c r="N62" s="166"/>
      <c r="O62" s="74"/>
      <c r="P62" s="396"/>
      <c r="Q62" s="396"/>
      <c r="R62" s="396"/>
      <c r="S62" s="396"/>
      <c r="T62" s="396"/>
      <c r="U62" s="396"/>
      <c r="V62" s="397"/>
      <c r="W62" s="397"/>
      <c r="X62" s="397"/>
      <c r="Y62" s="397"/>
      <c r="Z62" s="397"/>
      <c r="AA62" s="397"/>
      <c r="AB62" s="397"/>
      <c r="AC62" s="397"/>
      <c r="AD62" s="398"/>
      <c r="AF62" s="94">
        <f>8*3000</f>
        <v>24000</v>
      </c>
    </row>
    <row r="63" spans="1:32" ht="27" customHeight="1" thickBot="1">
      <c r="A63" s="401"/>
      <c r="B63" s="402"/>
      <c r="C63" s="169"/>
      <c r="D63" s="169"/>
      <c r="E63" s="169"/>
      <c r="F63" s="403"/>
      <c r="G63" s="403"/>
      <c r="H63" s="403"/>
      <c r="I63" s="403"/>
      <c r="J63" s="403"/>
      <c r="K63" s="403"/>
      <c r="L63" s="403"/>
      <c r="M63" s="404"/>
      <c r="N63" s="168"/>
      <c r="O63" s="121"/>
      <c r="P63" s="402"/>
      <c r="Q63" s="402"/>
      <c r="R63" s="402"/>
      <c r="S63" s="402"/>
      <c r="T63" s="402"/>
      <c r="U63" s="402"/>
      <c r="V63" s="403"/>
      <c r="W63" s="403"/>
      <c r="X63" s="403"/>
      <c r="Y63" s="403"/>
      <c r="Z63" s="403"/>
      <c r="AA63" s="403"/>
      <c r="AB63" s="403"/>
      <c r="AC63" s="403"/>
      <c r="AD63" s="404"/>
      <c r="AF63" s="94">
        <f>16*3000</f>
        <v>48000</v>
      </c>
    </row>
    <row r="64" spans="1:32" ht="27.75" thickBot="1">
      <c r="A64" s="407" t="s">
        <v>319</v>
      </c>
      <c r="B64" s="407"/>
      <c r="C64" s="407"/>
      <c r="D64" s="407"/>
      <c r="E64" s="407"/>
      <c r="F64" s="40"/>
      <c r="G64" s="40"/>
      <c r="H64" s="41"/>
      <c r="I64" s="41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F64" s="94">
        <v>24000</v>
      </c>
    </row>
    <row r="65" spans="1:32" ht="29.25" customHeight="1" thickBot="1">
      <c r="A65" s="408" t="s">
        <v>113</v>
      </c>
      <c r="B65" s="409"/>
      <c r="C65" s="165" t="s">
        <v>2</v>
      </c>
      <c r="D65" s="165" t="s">
        <v>37</v>
      </c>
      <c r="E65" s="165" t="s">
        <v>3</v>
      </c>
      <c r="F65" s="409" t="s">
        <v>110</v>
      </c>
      <c r="G65" s="409"/>
      <c r="H65" s="409"/>
      <c r="I65" s="409"/>
      <c r="J65" s="409"/>
      <c r="K65" s="409" t="s">
        <v>39</v>
      </c>
      <c r="L65" s="409"/>
      <c r="M65" s="165" t="s">
        <v>40</v>
      </c>
      <c r="N65" s="409" t="s">
        <v>41</v>
      </c>
      <c r="O65" s="409"/>
      <c r="P65" s="410" t="s">
        <v>42</v>
      </c>
      <c r="Q65" s="411"/>
      <c r="R65" s="410" t="s">
        <v>43</v>
      </c>
      <c r="S65" s="412"/>
      <c r="T65" s="412"/>
      <c r="U65" s="412"/>
      <c r="V65" s="412"/>
      <c r="W65" s="412"/>
      <c r="X65" s="412"/>
      <c r="Y65" s="412"/>
      <c r="Z65" s="412"/>
      <c r="AA65" s="411"/>
      <c r="AB65" s="409" t="s">
        <v>44</v>
      </c>
      <c r="AC65" s="409"/>
      <c r="AD65" s="413"/>
      <c r="AF65" s="94">
        <f>SUM(AF62:AF64)</f>
        <v>96000</v>
      </c>
    </row>
    <row r="66" spans="1:32" ht="25.5" customHeight="1">
      <c r="A66" s="414">
        <v>1</v>
      </c>
      <c r="B66" s="415"/>
      <c r="C66" s="124"/>
      <c r="D66" s="161"/>
      <c r="E66" s="164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2</v>
      </c>
      <c r="B67" s="415"/>
      <c r="C67" s="124"/>
      <c r="D67" s="161"/>
      <c r="E67" s="164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3</v>
      </c>
      <c r="B68" s="415"/>
      <c r="C68" s="124"/>
      <c r="D68" s="161"/>
      <c r="E68" s="164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4</v>
      </c>
      <c r="B69" s="415"/>
      <c r="C69" s="124"/>
      <c r="D69" s="161"/>
      <c r="E69" s="164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5</v>
      </c>
      <c r="B70" s="415"/>
      <c r="C70" s="124"/>
      <c r="D70" s="161"/>
      <c r="E70" s="164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6</v>
      </c>
      <c r="B71" s="415"/>
      <c r="C71" s="124"/>
      <c r="D71" s="161"/>
      <c r="E71" s="164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5.5" customHeight="1">
      <c r="A72" s="414">
        <v>7</v>
      </c>
      <c r="B72" s="415"/>
      <c r="C72" s="124"/>
      <c r="D72" s="161"/>
      <c r="E72" s="164"/>
      <c r="F72" s="416"/>
      <c r="G72" s="417"/>
      <c r="H72" s="417"/>
      <c r="I72" s="417"/>
      <c r="J72" s="417"/>
      <c r="K72" s="417"/>
      <c r="L72" s="417"/>
      <c r="M72" s="54"/>
      <c r="N72" s="417"/>
      <c r="O72" s="417"/>
      <c r="P72" s="418"/>
      <c r="Q72" s="418"/>
      <c r="R72" s="397"/>
      <c r="S72" s="397"/>
      <c r="T72" s="397"/>
      <c r="U72" s="397"/>
      <c r="V72" s="397"/>
      <c r="W72" s="397"/>
      <c r="X72" s="397"/>
      <c r="Y72" s="397"/>
      <c r="Z72" s="397"/>
      <c r="AA72" s="397"/>
      <c r="AB72" s="417"/>
      <c r="AC72" s="417"/>
      <c r="AD72" s="419"/>
      <c r="AF72" s="53"/>
    </row>
    <row r="73" spans="1:32" ht="25.5" customHeight="1">
      <c r="A73" s="414">
        <v>8</v>
      </c>
      <c r="B73" s="415"/>
      <c r="C73" s="124"/>
      <c r="D73" s="161"/>
      <c r="E73" s="164"/>
      <c r="F73" s="416"/>
      <c r="G73" s="417"/>
      <c r="H73" s="417"/>
      <c r="I73" s="417"/>
      <c r="J73" s="417"/>
      <c r="K73" s="417"/>
      <c r="L73" s="417"/>
      <c r="M73" s="54"/>
      <c r="N73" s="417"/>
      <c r="O73" s="417"/>
      <c r="P73" s="418"/>
      <c r="Q73" s="418"/>
      <c r="R73" s="397"/>
      <c r="S73" s="397"/>
      <c r="T73" s="397"/>
      <c r="U73" s="397"/>
      <c r="V73" s="397"/>
      <c r="W73" s="397"/>
      <c r="X73" s="397"/>
      <c r="Y73" s="397"/>
      <c r="Z73" s="397"/>
      <c r="AA73" s="397"/>
      <c r="AB73" s="417"/>
      <c r="AC73" s="417"/>
      <c r="AD73" s="419"/>
      <c r="AF73" s="53"/>
    </row>
    <row r="74" spans="1:32" ht="26.25" customHeight="1" thickBot="1">
      <c r="A74" s="420" t="s">
        <v>320</v>
      </c>
      <c r="B74" s="420"/>
      <c r="C74" s="420"/>
      <c r="D74" s="420"/>
      <c r="E74" s="420"/>
      <c r="F74" s="40"/>
      <c r="G74" s="40"/>
      <c r="H74" s="41"/>
      <c r="I74" s="41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F74" s="53"/>
    </row>
    <row r="75" spans="1:32" ht="23.25" thickBot="1">
      <c r="A75" s="421" t="s">
        <v>113</v>
      </c>
      <c r="B75" s="422"/>
      <c r="C75" s="163" t="s">
        <v>2</v>
      </c>
      <c r="D75" s="163" t="s">
        <v>37</v>
      </c>
      <c r="E75" s="163" t="s">
        <v>3</v>
      </c>
      <c r="F75" s="422" t="s">
        <v>38</v>
      </c>
      <c r="G75" s="422"/>
      <c r="H75" s="422"/>
      <c r="I75" s="422"/>
      <c r="J75" s="422"/>
      <c r="K75" s="423" t="s">
        <v>58</v>
      </c>
      <c r="L75" s="424"/>
      <c r="M75" s="424"/>
      <c r="N75" s="424"/>
      <c r="O75" s="424"/>
      <c r="P75" s="424"/>
      <c r="Q75" s="424"/>
      <c r="R75" s="424"/>
      <c r="S75" s="425"/>
      <c r="T75" s="422" t="s">
        <v>49</v>
      </c>
      <c r="U75" s="422"/>
      <c r="V75" s="423" t="s">
        <v>50</v>
      </c>
      <c r="W75" s="425"/>
      <c r="X75" s="424" t="s">
        <v>51</v>
      </c>
      <c r="Y75" s="424"/>
      <c r="Z75" s="424"/>
      <c r="AA75" s="424"/>
      <c r="AB75" s="424"/>
      <c r="AC75" s="424"/>
      <c r="AD75" s="426"/>
      <c r="AF75" s="53"/>
    </row>
    <row r="76" spans="1:32" ht="33.75" customHeight="1">
      <c r="A76" s="435">
        <v>1</v>
      </c>
      <c r="B76" s="436"/>
      <c r="C76" s="162" t="s">
        <v>114</v>
      </c>
      <c r="D76" s="162"/>
      <c r="E76" s="71" t="s">
        <v>119</v>
      </c>
      <c r="F76" s="437" t="s">
        <v>120</v>
      </c>
      <c r="G76" s="438"/>
      <c r="H76" s="438"/>
      <c r="I76" s="438"/>
      <c r="J76" s="439"/>
      <c r="K76" s="440" t="s">
        <v>115</v>
      </c>
      <c r="L76" s="441"/>
      <c r="M76" s="441"/>
      <c r="N76" s="441"/>
      <c r="O76" s="441"/>
      <c r="P76" s="441"/>
      <c r="Q76" s="441"/>
      <c r="R76" s="441"/>
      <c r="S76" s="442"/>
      <c r="T76" s="443">
        <v>42901</v>
      </c>
      <c r="U76" s="444"/>
      <c r="V76" s="445"/>
      <c r="W76" s="445"/>
      <c r="X76" s="446"/>
      <c r="Y76" s="446"/>
      <c r="Z76" s="446"/>
      <c r="AA76" s="446"/>
      <c r="AB76" s="446"/>
      <c r="AC76" s="446"/>
      <c r="AD76" s="447"/>
      <c r="AF76" s="53"/>
    </row>
    <row r="77" spans="1:32" ht="30" customHeight="1">
      <c r="A77" s="427">
        <f>A76+1</f>
        <v>2</v>
      </c>
      <c r="B77" s="428"/>
      <c r="C77" s="161" t="s">
        <v>114</v>
      </c>
      <c r="D77" s="161"/>
      <c r="E77" s="35" t="s">
        <v>116</v>
      </c>
      <c r="F77" s="428" t="s">
        <v>117</v>
      </c>
      <c r="G77" s="428"/>
      <c r="H77" s="428"/>
      <c r="I77" s="428"/>
      <c r="J77" s="428"/>
      <c r="K77" s="429" t="s">
        <v>118</v>
      </c>
      <c r="L77" s="430"/>
      <c r="M77" s="430"/>
      <c r="N77" s="430"/>
      <c r="O77" s="430"/>
      <c r="P77" s="430"/>
      <c r="Q77" s="430"/>
      <c r="R77" s="430"/>
      <c r="S77" s="431"/>
      <c r="T77" s="432">
        <v>42867</v>
      </c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ref="A78:A84" si="35">A77+1</f>
        <v>3</v>
      </c>
      <c r="B78" s="428"/>
      <c r="C78" s="161"/>
      <c r="D78" s="161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35"/>
        <v>4</v>
      </c>
      <c r="B79" s="428"/>
      <c r="C79" s="161"/>
      <c r="D79" s="161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35"/>
        <v>5</v>
      </c>
      <c r="B80" s="428"/>
      <c r="C80" s="161"/>
      <c r="D80" s="161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35"/>
        <v>6</v>
      </c>
      <c r="B81" s="428"/>
      <c r="C81" s="161"/>
      <c r="D81" s="161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35"/>
        <v>7</v>
      </c>
      <c r="B82" s="428"/>
      <c r="C82" s="161"/>
      <c r="D82" s="161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0" customHeight="1">
      <c r="A83" s="427">
        <f t="shared" si="35"/>
        <v>8</v>
      </c>
      <c r="B83" s="428"/>
      <c r="C83" s="161"/>
      <c r="D83" s="161"/>
      <c r="E83" s="35"/>
      <c r="F83" s="428"/>
      <c r="G83" s="428"/>
      <c r="H83" s="428"/>
      <c r="I83" s="428"/>
      <c r="J83" s="428"/>
      <c r="K83" s="429"/>
      <c r="L83" s="430"/>
      <c r="M83" s="430"/>
      <c r="N83" s="430"/>
      <c r="O83" s="430"/>
      <c r="P83" s="430"/>
      <c r="Q83" s="430"/>
      <c r="R83" s="430"/>
      <c r="S83" s="431"/>
      <c r="T83" s="432"/>
      <c r="U83" s="432"/>
      <c r="V83" s="432"/>
      <c r="W83" s="432"/>
      <c r="X83" s="433"/>
      <c r="Y83" s="433"/>
      <c r="Z83" s="433"/>
      <c r="AA83" s="433"/>
      <c r="AB83" s="433"/>
      <c r="AC83" s="433"/>
      <c r="AD83" s="434"/>
      <c r="AF83" s="53"/>
    </row>
    <row r="84" spans="1:32" ht="30" customHeight="1">
      <c r="A84" s="427">
        <f t="shared" si="35"/>
        <v>9</v>
      </c>
      <c r="B84" s="428"/>
      <c r="C84" s="161"/>
      <c r="D84" s="161"/>
      <c r="E84" s="35"/>
      <c r="F84" s="428"/>
      <c r="G84" s="428"/>
      <c r="H84" s="428"/>
      <c r="I84" s="428"/>
      <c r="J84" s="428"/>
      <c r="K84" s="429"/>
      <c r="L84" s="430"/>
      <c r="M84" s="430"/>
      <c r="N84" s="430"/>
      <c r="O84" s="430"/>
      <c r="P84" s="430"/>
      <c r="Q84" s="430"/>
      <c r="R84" s="430"/>
      <c r="S84" s="431"/>
      <c r="T84" s="432"/>
      <c r="U84" s="432"/>
      <c r="V84" s="432"/>
      <c r="W84" s="432"/>
      <c r="X84" s="433"/>
      <c r="Y84" s="433"/>
      <c r="Z84" s="433"/>
      <c r="AA84" s="433"/>
      <c r="AB84" s="433"/>
      <c r="AC84" s="433"/>
      <c r="AD84" s="434"/>
      <c r="AF84" s="53"/>
    </row>
    <row r="85" spans="1:32" ht="36" thickBot="1">
      <c r="A85" s="420" t="s">
        <v>321</v>
      </c>
      <c r="B85" s="420"/>
      <c r="C85" s="420"/>
      <c r="D85" s="420"/>
      <c r="E85" s="420"/>
      <c r="F85" s="40"/>
      <c r="G85" s="40"/>
      <c r="H85" s="41"/>
      <c r="I85" s="41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F85" s="53"/>
    </row>
    <row r="86" spans="1:32" ht="30.75" customHeight="1" thickBot="1">
      <c r="A86" s="421" t="s">
        <v>113</v>
      </c>
      <c r="B86" s="422"/>
      <c r="C86" s="448" t="s">
        <v>52</v>
      </c>
      <c r="D86" s="448"/>
      <c r="E86" s="448" t="s">
        <v>53</v>
      </c>
      <c r="F86" s="448"/>
      <c r="G86" s="448"/>
      <c r="H86" s="448"/>
      <c r="I86" s="448"/>
      <c r="J86" s="448"/>
      <c r="K86" s="448" t="s">
        <v>54</v>
      </c>
      <c r="L86" s="448"/>
      <c r="M86" s="448"/>
      <c r="N86" s="448"/>
      <c r="O86" s="448"/>
      <c r="P86" s="448"/>
      <c r="Q86" s="448"/>
      <c r="R86" s="448"/>
      <c r="S86" s="448"/>
      <c r="T86" s="448" t="s">
        <v>55</v>
      </c>
      <c r="U86" s="448"/>
      <c r="V86" s="448" t="s">
        <v>56</v>
      </c>
      <c r="W86" s="448"/>
      <c r="X86" s="448"/>
      <c r="Y86" s="448" t="s">
        <v>51</v>
      </c>
      <c r="Z86" s="448"/>
      <c r="AA86" s="448"/>
      <c r="AB86" s="448"/>
      <c r="AC86" s="448"/>
      <c r="AD86" s="449"/>
      <c r="AF86" s="53"/>
    </row>
    <row r="87" spans="1:32" ht="30.75" customHeight="1">
      <c r="A87" s="435">
        <v>1</v>
      </c>
      <c r="B87" s="436"/>
      <c r="C87" s="450"/>
      <c r="D87" s="450"/>
      <c r="E87" s="450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50"/>
      <c r="R87" s="450"/>
      <c r="S87" s="450"/>
      <c r="T87" s="450"/>
      <c r="U87" s="450"/>
      <c r="V87" s="451"/>
      <c r="W87" s="451"/>
      <c r="X87" s="451"/>
      <c r="Y87" s="452"/>
      <c r="Z87" s="452"/>
      <c r="AA87" s="452"/>
      <c r="AB87" s="452"/>
      <c r="AC87" s="452"/>
      <c r="AD87" s="453"/>
      <c r="AF87" s="53"/>
    </row>
    <row r="88" spans="1:32" ht="30.75" customHeight="1">
      <c r="A88" s="427">
        <v>2</v>
      </c>
      <c r="B88" s="428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2"/>
      <c r="U88" s="462"/>
      <c r="V88" s="463"/>
      <c r="W88" s="463"/>
      <c r="X88" s="463"/>
      <c r="Y88" s="454"/>
      <c r="Z88" s="454"/>
      <c r="AA88" s="454"/>
      <c r="AB88" s="454"/>
      <c r="AC88" s="454"/>
      <c r="AD88" s="455"/>
      <c r="AF88" s="53"/>
    </row>
    <row r="89" spans="1:32" ht="30.75" customHeight="1" thickBot="1">
      <c r="A89" s="456">
        <v>3</v>
      </c>
      <c r="B89" s="457"/>
      <c r="C89" s="458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58"/>
      <c r="R89" s="458"/>
      <c r="S89" s="458"/>
      <c r="T89" s="458"/>
      <c r="U89" s="458"/>
      <c r="V89" s="458"/>
      <c r="W89" s="458"/>
      <c r="X89" s="458"/>
      <c r="Y89" s="459"/>
      <c r="Z89" s="459"/>
      <c r="AA89" s="459"/>
      <c r="AB89" s="459"/>
      <c r="AC89" s="459"/>
      <c r="AD89" s="460"/>
      <c r="AF89" s="53"/>
    </row>
  </sheetData>
  <mergeCells count="230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5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3" zoomScale="72" zoomScaleNormal="72" zoomScaleSheetLayoutView="70" workbookViewId="0">
      <selection activeCell="A65" sqref="A65:XFD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322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173" t="s">
        <v>17</v>
      </c>
      <c r="L5" s="173" t="s">
        <v>18</v>
      </c>
      <c r="M5" s="173" t="s">
        <v>19</v>
      </c>
      <c r="N5" s="17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292</v>
      </c>
      <c r="F6" s="33" t="s">
        <v>131</v>
      </c>
      <c r="G6" s="36">
        <v>1</v>
      </c>
      <c r="H6" s="38">
        <v>25</v>
      </c>
      <c r="I6" s="7">
        <v>20000</v>
      </c>
      <c r="J6" s="5">
        <v>2690</v>
      </c>
      <c r="K6" s="15">
        <f>L6+4245</f>
        <v>6929</v>
      </c>
      <c r="L6" s="15">
        <f>2684</f>
        <v>2684</v>
      </c>
      <c r="M6" s="16">
        <f t="shared" ref="M6:M21" si="0">L6-N6</f>
        <v>2684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12</v>
      </c>
      <c r="Q6" s="43">
        <f t="shared" ref="Q6:Q21" si="3">SUM(R6:AA6)</f>
        <v>12</v>
      </c>
      <c r="R6" s="7"/>
      <c r="S6" s="6"/>
      <c r="T6" s="17"/>
      <c r="U6" s="17"/>
      <c r="V6" s="18">
        <v>12</v>
      </c>
      <c r="W6" s="19"/>
      <c r="X6" s="17"/>
      <c r="Y6" s="20"/>
      <c r="Z6" s="20"/>
      <c r="AA6" s="21"/>
      <c r="AB6" s="8">
        <f t="shared" ref="AB6:AB21" si="4">IF(J6=0,"0",(L6/J6))</f>
        <v>0.99776951672862457</v>
      </c>
      <c r="AC6" s="9">
        <f t="shared" ref="AC6:AC21" si="5">IF(P6=0,"0",(P6/24))</f>
        <v>0.5</v>
      </c>
      <c r="AD6" s="10">
        <f t="shared" ref="AD6:AD21" si="6">AC6*AB6*(1-O6)</f>
        <v>0.49888475836431229</v>
      </c>
      <c r="AE6" s="39">
        <f t="shared" ref="AE6:AE21" si="7">$AD$22</f>
        <v>0.17746737788083988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0.17746737788083988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151</v>
      </c>
      <c r="D8" s="55" t="s">
        <v>152</v>
      </c>
      <c r="E8" s="57" t="s">
        <v>153</v>
      </c>
      <c r="F8" s="33" t="s">
        <v>142</v>
      </c>
      <c r="G8" s="12">
        <v>1</v>
      </c>
      <c r="H8" s="13">
        <v>25</v>
      </c>
      <c r="I8" s="34">
        <v>16000</v>
      </c>
      <c r="J8" s="5">
        <v>2821</v>
      </c>
      <c r="K8" s="15">
        <f>L8+78+4918+4887+1829+3681</f>
        <v>18214</v>
      </c>
      <c r="L8" s="15">
        <f>2821</f>
        <v>2821</v>
      </c>
      <c r="M8" s="16">
        <f t="shared" si="0"/>
        <v>2821</v>
      </c>
      <c r="N8" s="16">
        <v>0</v>
      </c>
      <c r="O8" s="62">
        <f t="shared" si="1"/>
        <v>0</v>
      </c>
      <c r="P8" s="42">
        <f t="shared" si="2"/>
        <v>12</v>
      </c>
      <c r="Q8" s="43">
        <f t="shared" si="3"/>
        <v>12</v>
      </c>
      <c r="R8" s="7"/>
      <c r="S8" s="6"/>
      <c r="T8" s="17"/>
      <c r="U8" s="17"/>
      <c r="V8" s="18">
        <v>12</v>
      </c>
      <c r="W8" s="19"/>
      <c r="X8" s="17"/>
      <c r="Y8" s="20"/>
      <c r="Z8" s="20"/>
      <c r="AA8" s="21"/>
      <c r="AB8" s="8">
        <f t="shared" si="4"/>
        <v>1</v>
      </c>
      <c r="AC8" s="9">
        <f t="shared" si="5"/>
        <v>0.5</v>
      </c>
      <c r="AD8" s="10">
        <f t="shared" si="6"/>
        <v>0.5</v>
      </c>
      <c r="AE8" s="39">
        <f t="shared" si="7"/>
        <v>0.17746737788083988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241</v>
      </c>
      <c r="E9" s="57" t="s">
        <v>242</v>
      </c>
      <c r="F9" s="33" t="s">
        <v>243</v>
      </c>
      <c r="G9" s="36">
        <v>1</v>
      </c>
      <c r="H9" s="38">
        <v>25</v>
      </c>
      <c r="I9" s="7">
        <v>6500</v>
      </c>
      <c r="J9" s="5">
        <v>3290</v>
      </c>
      <c r="K9" s="15">
        <f>L9+5257+3282</f>
        <v>8539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0.17746737788083988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246</v>
      </c>
      <c r="G10" s="36">
        <v>2</v>
      </c>
      <c r="H10" s="38">
        <v>25</v>
      </c>
      <c r="I10" s="7">
        <v>400</v>
      </c>
      <c r="J10" s="5">
        <v>560</v>
      </c>
      <c r="K10" s="15">
        <f>L10</f>
        <v>560</v>
      </c>
      <c r="L10" s="15">
        <v>560</v>
      </c>
      <c r="M10" s="16">
        <f t="shared" si="0"/>
        <v>560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 t="shared" si="7"/>
        <v>0.17746737788083988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161</v>
      </c>
      <c r="E11" s="57" t="s">
        <v>162</v>
      </c>
      <c r="F11" s="12" t="s">
        <v>163</v>
      </c>
      <c r="G11" s="12">
        <v>1</v>
      </c>
      <c r="H11" s="13">
        <v>25</v>
      </c>
      <c r="I11" s="34">
        <v>10000</v>
      </c>
      <c r="J11" s="14">
        <v>2330</v>
      </c>
      <c r="K11" s="15">
        <f>L11+4490+5182+2328</f>
        <v>12000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0.17746737788083988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197</v>
      </c>
      <c r="D12" s="55" t="s">
        <v>198</v>
      </c>
      <c r="E12" s="57" t="s">
        <v>199</v>
      </c>
      <c r="F12" s="12" t="s">
        <v>200</v>
      </c>
      <c r="G12" s="12">
        <v>1</v>
      </c>
      <c r="H12" s="13">
        <v>25</v>
      </c>
      <c r="I12" s="7">
        <v>20000</v>
      </c>
      <c r="J12" s="14">
        <v>725</v>
      </c>
      <c r="K12" s="15">
        <f>L12+4234+5649+725</f>
        <v>10608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0.17746737788083988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124</v>
      </c>
      <c r="E13" s="57" t="s">
        <v>252</v>
      </c>
      <c r="F13" s="12" t="s">
        <v>135</v>
      </c>
      <c r="G13" s="12">
        <v>1</v>
      </c>
      <c r="H13" s="13">
        <v>25</v>
      </c>
      <c r="I13" s="7">
        <v>6500</v>
      </c>
      <c r="J13" s="14">
        <v>901</v>
      </c>
      <c r="K13" s="15">
        <f>L13+429+901</f>
        <v>1330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24</v>
      </c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0.17746737788083988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137</v>
      </c>
      <c r="F14" s="33" t="s">
        <v>128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0.17746737788083988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166</v>
      </c>
      <c r="D15" s="55" t="s">
        <v>138</v>
      </c>
      <c r="E15" s="57" t="s">
        <v>167</v>
      </c>
      <c r="F15" s="12">
        <v>8301</v>
      </c>
      <c r="G15" s="12">
        <v>1</v>
      </c>
      <c r="H15" s="13">
        <v>24</v>
      </c>
      <c r="I15" s="34">
        <v>1000</v>
      </c>
      <c r="J15" s="14">
        <v>2780</v>
      </c>
      <c r="K15" s="15">
        <f>L15+1100</f>
        <v>1100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0.17746737788083988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197</v>
      </c>
      <c r="D16" s="55" t="s">
        <v>198</v>
      </c>
      <c r="E16" s="57" t="s">
        <v>199</v>
      </c>
      <c r="F16" s="12" t="s">
        <v>200</v>
      </c>
      <c r="G16" s="12">
        <v>1</v>
      </c>
      <c r="H16" s="13">
        <v>25</v>
      </c>
      <c r="I16" s="7">
        <v>20000</v>
      </c>
      <c r="J16" s="14">
        <v>2714</v>
      </c>
      <c r="K16" s="15">
        <f>L16+4234+5649+725</f>
        <v>13322</v>
      </c>
      <c r="L16" s="15">
        <v>2714</v>
      </c>
      <c r="M16" s="16">
        <f t="shared" ref="M16" si="9">L16-N16</f>
        <v>2714</v>
      </c>
      <c r="N16" s="16">
        <v>0</v>
      </c>
      <c r="O16" s="62">
        <f t="shared" ref="O16" si="10">IF(L16=0,"0",N16/L16)</f>
        <v>0</v>
      </c>
      <c r="P16" s="42">
        <f t="shared" ref="P16" si="11">IF(L16=0,"0",(24-Q16))</f>
        <v>12</v>
      </c>
      <c r="Q16" s="43">
        <f t="shared" ref="Q16" si="12">SUM(R16:AA16)</f>
        <v>12</v>
      </c>
      <c r="R16" s="7"/>
      <c r="S16" s="6"/>
      <c r="T16" s="17"/>
      <c r="U16" s="17"/>
      <c r="V16" s="18">
        <v>12</v>
      </c>
      <c r="W16" s="19"/>
      <c r="X16" s="17"/>
      <c r="Y16" s="20"/>
      <c r="Z16" s="20"/>
      <c r="AA16" s="21"/>
      <c r="AB16" s="8">
        <f t="shared" ref="AB16" si="13">IF(J16=0,"0",(L16/J16))</f>
        <v>1</v>
      </c>
      <c r="AC16" s="9">
        <f t="shared" ref="AC16" si="14">IF(P16=0,"0",(P16/24))</f>
        <v>0.5</v>
      </c>
      <c r="AD16" s="10">
        <f t="shared" ref="AD16" si="15">AC16*AB16*(1-O16)</f>
        <v>0.5</v>
      </c>
      <c r="AE16" s="39">
        <f t="shared" si="7"/>
        <v>0.17746737788083988</v>
      </c>
      <c r="AF16" s="94">
        <f t="shared" ref="AF16" si="16">A16</f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126</v>
      </c>
      <c r="E17" s="57" t="s">
        <v>143</v>
      </c>
      <c r="F17" s="12" t="s">
        <v>140</v>
      </c>
      <c r="G17" s="12">
        <v>1</v>
      </c>
      <c r="H17" s="13">
        <v>25</v>
      </c>
      <c r="I17" s="34">
        <v>1700</v>
      </c>
      <c r="J17" s="5">
        <v>1680</v>
      </c>
      <c r="K17" s="15">
        <f>L17+416+1674</f>
        <v>2090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0.17746737788083988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121</v>
      </c>
      <c r="D18" s="55" t="s">
        <v>250</v>
      </c>
      <c r="E18" s="57" t="s">
        <v>251</v>
      </c>
      <c r="F18" s="12" t="s">
        <v>246</v>
      </c>
      <c r="G18" s="12">
        <v>1</v>
      </c>
      <c r="H18" s="13">
        <v>24</v>
      </c>
      <c r="I18" s="34">
        <v>6500</v>
      </c>
      <c r="J18" s="14">
        <v>1050</v>
      </c>
      <c r="K18" s="15">
        <f>L18+2928+5533</f>
        <v>9509</v>
      </c>
      <c r="L18" s="15">
        <v>1048</v>
      </c>
      <c r="M18" s="16">
        <f t="shared" si="0"/>
        <v>1048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/>
      <c r="T18" s="17"/>
      <c r="U18" s="17"/>
      <c r="V18" s="18"/>
      <c r="W18" s="19">
        <v>20</v>
      </c>
      <c r="X18" s="17"/>
      <c r="Y18" s="20"/>
      <c r="Z18" s="20"/>
      <c r="AA18" s="21"/>
      <c r="AB18" s="8">
        <f t="shared" si="4"/>
        <v>0.99809523809523815</v>
      </c>
      <c r="AC18" s="9">
        <f t="shared" si="5"/>
        <v>0.16666666666666666</v>
      </c>
      <c r="AD18" s="10">
        <f t="shared" si="6"/>
        <v>0.16634920634920636</v>
      </c>
      <c r="AE18" s="39">
        <f t="shared" si="7"/>
        <v>0.17746737788083988</v>
      </c>
      <c r="AF18" s="94">
        <f t="shared" si="8"/>
        <v>13</v>
      </c>
    </row>
    <row r="19" spans="1:32" ht="27" customHeight="1">
      <c r="A19" s="110">
        <v>13</v>
      </c>
      <c r="B19" s="11" t="s">
        <v>57</v>
      </c>
      <c r="C19" s="11" t="s">
        <v>121</v>
      </c>
      <c r="D19" s="55" t="s">
        <v>325</v>
      </c>
      <c r="E19" s="57" t="s">
        <v>326</v>
      </c>
      <c r="F19" s="12" t="s">
        <v>246</v>
      </c>
      <c r="G19" s="12">
        <v>1</v>
      </c>
      <c r="H19" s="13">
        <v>24</v>
      </c>
      <c r="I19" s="34">
        <v>6500</v>
      </c>
      <c r="J19" s="14">
        <v>1810</v>
      </c>
      <c r="K19" s="15">
        <f>L19</f>
        <v>1802</v>
      </c>
      <c r="L19" s="15">
        <v>1802</v>
      </c>
      <c r="M19" s="16">
        <f t="shared" ref="M19" si="17">L19-N19</f>
        <v>1802</v>
      </c>
      <c r="N19" s="16">
        <v>0</v>
      </c>
      <c r="O19" s="62">
        <f t="shared" ref="O19" si="18">IF(L19=0,"0",N19/L19)</f>
        <v>0</v>
      </c>
      <c r="P19" s="42">
        <f t="shared" ref="P19" si="19">IF(L19=0,"0",(24-Q19))</f>
        <v>8</v>
      </c>
      <c r="Q19" s="43">
        <f t="shared" ref="Q19" si="20">SUM(R19:AA19)</f>
        <v>16</v>
      </c>
      <c r="R19" s="7"/>
      <c r="S19" s="6"/>
      <c r="T19" s="17"/>
      <c r="U19" s="17"/>
      <c r="V19" s="18">
        <v>16</v>
      </c>
      <c r="W19" s="19"/>
      <c r="X19" s="17"/>
      <c r="Y19" s="20"/>
      <c r="Z19" s="20"/>
      <c r="AA19" s="21"/>
      <c r="AB19" s="8">
        <f t="shared" ref="AB19" si="21">IF(J19=0,"0",(L19/J19))</f>
        <v>0.9955801104972376</v>
      </c>
      <c r="AC19" s="9">
        <f t="shared" ref="AC19" si="22">IF(P19=0,"0",(P19/24))</f>
        <v>0.33333333333333331</v>
      </c>
      <c r="AD19" s="10">
        <f t="shared" ref="AD19" si="23">AC19*AB19*(1-O19)</f>
        <v>0.3318600368324125</v>
      </c>
      <c r="AE19" s="39">
        <f t="shared" si="7"/>
        <v>0.17746737788083988</v>
      </c>
      <c r="AF19" s="94">
        <f t="shared" ref="AF19" si="24">A19</f>
        <v>13</v>
      </c>
    </row>
    <row r="20" spans="1:32" ht="27" customHeight="1">
      <c r="A20" s="110">
        <v>14</v>
      </c>
      <c r="B20" s="11" t="s">
        <v>57</v>
      </c>
      <c r="C20" s="11" t="s">
        <v>121</v>
      </c>
      <c r="D20" s="55" t="s">
        <v>124</v>
      </c>
      <c r="E20" s="57" t="s">
        <v>252</v>
      </c>
      <c r="F20" s="12" t="s">
        <v>135</v>
      </c>
      <c r="G20" s="12">
        <v>1</v>
      </c>
      <c r="H20" s="13">
        <v>25</v>
      </c>
      <c r="I20" s="7">
        <v>6500</v>
      </c>
      <c r="J20" s="14">
        <v>2000</v>
      </c>
      <c r="K20" s="15">
        <f>L20+429</f>
        <v>2422</v>
      </c>
      <c r="L20" s="15">
        <v>1993</v>
      </c>
      <c r="M20" s="16">
        <f t="shared" si="0"/>
        <v>1993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>
        <v>12</v>
      </c>
      <c r="W20" s="19"/>
      <c r="X20" s="17"/>
      <c r="Y20" s="20"/>
      <c r="Z20" s="20"/>
      <c r="AA20" s="21"/>
      <c r="AB20" s="8">
        <f t="shared" si="4"/>
        <v>0.99650000000000005</v>
      </c>
      <c r="AC20" s="9">
        <f t="shared" si="5"/>
        <v>0.5</v>
      </c>
      <c r="AD20" s="10">
        <f t="shared" si="6"/>
        <v>0.49825000000000003</v>
      </c>
      <c r="AE20" s="39">
        <f t="shared" si="7"/>
        <v>0.17746737788083988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122</v>
      </c>
      <c r="D21" s="55"/>
      <c r="E21" s="56" t="s">
        <v>127</v>
      </c>
      <c r="F21" s="12" t="s">
        <v>123</v>
      </c>
      <c r="G21" s="12">
        <v>4</v>
      </c>
      <c r="H21" s="38">
        <v>20</v>
      </c>
      <c r="I21" s="7">
        <v>800000</v>
      </c>
      <c r="J21" s="14">
        <v>2230</v>
      </c>
      <c r="K21" s="15">
        <f>L21+29128+42972+45096+45728+43064+5640+29816+42972+44600+38336+6084+2224</f>
        <v>375660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0.17746737788083988</v>
      </c>
      <c r="AF21" s="94">
        <f t="shared" si="8"/>
        <v>15</v>
      </c>
    </row>
    <row r="22" spans="1:32" ht="31.5" customHeight="1" thickBot="1">
      <c r="A22" s="368" t="s">
        <v>34</v>
      </c>
      <c r="B22" s="369"/>
      <c r="C22" s="369"/>
      <c r="D22" s="369"/>
      <c r="E22" s="369"/>
      <c r="F22" s="369"/>
      <c r="G22" s="369"/>
      <c r="H22" s="370"/>
      <c r="I22" s="25">
        <f t="shared" ref="I22:N22" si="25">SUM(I6:I21)</f>
        <v>926700</v>
      </c>
      <c r="J22" s="22">
        <f t="shared" si="25"/>
        <v>31501</v>
      </c>
      <c r="K22" s="23">
        <f t="shared" si="25"/>
        <v>471733</v>
      </c>
      <c r="L22" s="24">
        <f t="shared" si="25"/>
        <v>13622</v>
      </c>
      <c r="M22" s="23">
        <f t="shared" si="25"/>
        <v>13622</v>
      </c>
      <c r="N22" s="24">
        <f t="shared" si="25"/>
        <v>0</v>
      </c>
      <c r="O22" s="44">
        <f t="shared" si="1"/>
        <v>0</v>
      </c>
      <c r="P22" s="45">
        <f t="shared" ref="P22:AA22" si="26">SUM(P6:P21)</f>
        <v>64</v>
      </c>
      <c r="Q22" s="46">
        <f t="shared" si="26"/>
        <v>320</v>
      </c>
      <c r="R22" s="26">
        <f t="shared" si="26"/>
        <v>0</v>
      </c>
      <c r="S22" s="27">
        <f t="shared" si="26"/>
        <v>24</v>
      </c>
      <c r="T22" s="27">
        <f t="shared" si="26"/>
        <v>0</v>
      </c>
      <c r="U22" s="27">
        <f t="shared" si="26"/>
        <v>0</v>
      </c>
      <c r="V22" s="28">
        <f t="shared" si="26"/>
        <v>64</v>
      </c>
      <c r="W22" s="29">
        <f t="shared" si="26"/>
        <v>160</v>
      </c>
      <c r="X22" s="30">
        <f t="shared" si="26"/>
        <v>0</v>
      </c>
      <c r="Y22" s="30">
        <f t="shared" si="26"/>
        <v>0</v>
      </c>
      <c r="Z22" s="30">
        <f t="shared" si="26"/>
        <v>0</v>
      </c>
      <c r="AA22" s="30">
        <f t="shared" si="26"/>
        <v>72</v>
      </c>
      <c r="AB22" s="31">
        <f>SUM(AB6:AB21)/15</f>
        <v>0.46586299102140671</v>
      </c>
      <c r="AC22" s="4">
        <f>SUM(AC6:AC21)/15</f>
        <v>0.17777777777777778</v>
      </c>
      <c r="AD22" s="4">
        <f>SUM(AD6:AD21)/15</f>
        <v>0.17746737788083988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1" t="s">
        <v>45</v>
      </c>
      <c r="B49" s="371"/>
      <c r="C49" s="371"/>
      <c r="D49" s="371"/>
      <c r="E49" s="37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2" t="s">
        <v>327</v>
      </c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4"/>
      <c r="N50" s="375" t="s">
        <v>338</v>
      </c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7"/>
    </row>
    <row r="51" spans="1:32" ht="27" customHeight="1">
      <c r="A51" s="378" t="s">
        <v>2</v>
      </c>
      <c r="B51" s="379"/>
      <c r="C51" s="174" t="s">
        <v>46</v>
      </c>
      <c r="D51" s="174" t="s">
        <v>47</v>
      </c>
      <c r="E51" s="174" t="s">
        <v>108</v>
      </c>
      <c r="F51" s="379" t="s">
        <v>107</v>
      </c>
      <c r="G51" s="379"/>
      <c r="H51" s="379"/>
      <c r="I51" s="379"/>
      <c r="J51" s="379"/>
      <c r="K51" s="379"/>
      <c r="L51" s="379"/>
      <c r="M51" s="380"/>
      <c r="N51" s="73" t="s">
        <v>112</v>
      </c>
      <c r="O51" s="174" t="s">
        <v>46</v>
      </c>
      <c r="P51" s="381" t="s">
        <v>47</v>
      </c>
      <c r="Q51" s="382"/>
      <c r="R51" s="381" t="s">
        <v>38</v>
      </c>
      <c r="S51" s="383"/>
      <c r="T51" s="383"/>
      <c r="U51" s="382"/>
      <c r="V51" s="381" t="s">
        <v>48</v>
      </c>
      <c r="W51" s="383"/>
      <c r="X51" s="383"/>
      <c r="Y51" s="383"/>
      <c r="Z51" s="383"/>
      <c r="AA51" s="383"/>
      <c r="AB51" s="383"/>
      <c r="AC51" s="383"/>
      <c r="AD51" s="384"/>
    </row>
    <row r="52" spans="1:32" ht="27" customHeight="1">
      <c r="A52" s="399" t="s">
        <v>121</v>
      </c>
      <c r="B52" s="400"/>
      <c r="C52" s="177" t="s">
        <v>328</v>
      </c>
      <c r="D52" s="176" t="s">
        <v>323</v>
      </c>
      <c r="E52" s="177" t="s">
        <v>324</v>
      </c>
      <c r="F52" s="397" t="s">
        <v>329</v>
      </c>
      <c r="G52" s="397"/>
      <c r="H52" s="397"/>
      <c r="I52" s="397"/>
      <c r="J52" s="397"/>
      <c r="K52" s="397"/>
      <c r="L52" s="397"/>
      <c r="M52" s="398"/>
      <c r="N52" s="175" t="s">
        <v>339</v>
      </c>
      <c r="O52" s="74" t="s">
        <v>340</v>
      </c>
      <c r="P52" s="396" t="s">
        <v>342</v>
      </c>
      <c r="Q52" s="396"/>
      <c r="R52" s="396" t="s">
        <v>341</v>
      </c>
      <c r="S52" s="396"/>
      <c r="T52" s="396"/>
      <c r="U52" s="396"/>
      <c r="V52" s="397" t="s">
        <v>272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121</v>
      </c>
      <c r="B53" s="396"/>
      <c r="C53" s="176" t="s">
        <v>330</v>
      </c>
      <c r="D53" s="176" t="s">
        <v>124</v>
      </c>
      <c r="E53" s="176" t="s">
        <v>252</v>
      </c>
      <c r="F53" s="397" t="s">
        <v>331</v>
      </c>
      <c r="G53" s="397"/>
      <c r="H53" s="397"/>
      <c r="I53" s="397"/>
      <c r="J53" s="397"/>
      <c r="K53" s="397"/>
      <c r="L53" s="397"/>
      <c r="M53" s="398"/>
      <c r="N53" s="175" t="s">
        <v>344</v>
      </c>
      <c r="O53" s="74" t="s">
        <v>345</v>
      </c>
      <c r="P53" s="396" t="s">
        <v>343</v>
      </c>
      <c r="Q53" s="396"/>
      <c r="R53" s="396" t="s">
        <v>120</v>
      </c>
      <c r="S53" s="396"/>
      <c r="T53" s="396"/>
      <c r="U53" s="396"/>
      <c r="V53" s="397" t="s">
        <v>272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258</v>
      </c>
      <c r="B54" s="396"/>
      <c r="C54" s="176" t="s">
        <v>332</v>
      </c>
      <c r="D54" s="176" t="s">
        <v>333</v>
      </c>
      <c r="E54" s="176" t="s">
        <v>334</v>
      </c>
      <c r="F54" s="397" t="s">
        <v>331</v>
      </c>
      <c r="G54" s="397"/>
      <c r="H54" s="397"/>
      <c r="I54" s="397"/>
      <c r="J54" s="397"/>
      <c r="K54" s="397"/>
      <c r="L54" s="397"/>
      <c r="M54" s="398"/>
      <c r="N54" s="175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213</v>
      </c>
      <c r="B55" s="396"/>
      <c r="C55" s="176" t="s">
        <v>335</v>
      </c>
      <c r="D55" s="176" t="s">
        <v>336</v>
      </c>
      <c r="E55" s="176" t="s">
        <v>326</v>
      </c>
      <c r="F55" s="397" t="s">
        <v>337</v>
      </c>
      <c r="G55" s="397"/>
      <c r="H55" s="397"/>
      <c r="I55" s="397"/>
      <c r="J55" s="397"/>
      <c r="K55" s="397"/>
      <c r="L55" s="397"/>
      <c r="M55" s="398"/>
      <c r="N55" s="175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/>
      <c r="B56" s="396"/>
      <c r="C56" s="176"/>
      <c r="D56" s="176"/>
      <c r="E56" s="176"/>
      <c r="F56" s="397"/>
      <c r="G56" s="397"/>
      <c r="H56" s="397"/>
      <c r="I56" s="397"/>
      <c r="J56" s="397"/>
      <c r="K56" s="397"/>
      <c r="L56" s="397"/>
      <c r="M56" s="398"/>
      <c r="N56" s="175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/>
      <c r="B57" s="400"/>
      <c r="C57" s="177"/>
      <c r="D57" s="176"/>
      <c r="E57" s="177"/>
      <c r="F57" s="397"/>
      <c r="G57" s="397"/>
      <c r="H57" s="397"/>
      <c r="I57" s="397"/>
      <c r="J57" s="397"/>
      <c r="K57" s="397"/>
      <c r="L57" s="397"/>
      <c r="M57" s="398"/>
      <c r="N57" s="175"/>
      <c r="O57" s="74"/>
      <c r="P57" s="396"/>
      <c r="Q57" s="39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177"/>
      <c r="D58" s="176"/>
      <c r="E58" s="177"/>
      <c r="F58" s="397"/>
      <c r="G58" s="397"/>
      <c r="H58" s="397"/>
      <c r="I58" s="397"/>
      <c r="J58" s="397"/>
      <c r="K58" s="397"/>
      <c r="L58" s="397"/>
      <c r="M58" s="398"/>
      <c r="N58" s="175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9"/>
      <c r="B59" s="400"/>
      <c r="C59" s="177"/>
      <c r="D59" s="176"/>
      <c r="E59" s="177"/>
      <c r="F59" s="397"/>
      <c r="G59" s="397"/>
      <c r="H59" s="397"/>
      <c r="I59" s="397"/>
      <c r="J59" s="397"/>
      <c r="K59" s="397"/>
      <c r="L59" s="397"/>
      <c r="M59" s="398"/>
      <c r="N59" s="175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/>
      <c r="B60" s="396"/>
      <c r="C60" s="176"/>
      <c r="D60" s="176"/>
      <c r="E60" s="176"/>
      <c r="F60" s="397"/>
      <c r="G60" s="397"/>
      <c r="H60" s="397"/>
      <c r="I60" s="397"/>
      <c r="J60" s="397"/>
      <c r="K60" s="397"/>
      <c r="L60" s="397"/>
      <c r="M60" s="398"/>
      <c r="N60" s="175"/>
      <c r="O60" s="74"/>
      <c r="P60" s="396"/>
      <c r="Q60" s="39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  <c r="AF60" s="94">
        <f>8*3000</f>
        <v>24000</v>
      </c>
    </row>
    <row r="61" spans="1:32" ht="27" customHeight="1" thickBot="1">
      <c r="A61" s="401"/>
      <c r="B61" s="402"/>
      <c r="C61" s="179"/>
      <c r="D61" s="179"/>
      <c r="E61" s="179"/>
      <c r="F61" s="403"/>
      <c r="G61" s="403"/>
      <c r="H61" s="403"/>
      <c r="I61" s="403"/>
      <c r="J61" s="403"/>
      <c r="K61" s="403"/>
      <c r="L61" s="403"/>
      <c r="M61" s="404"/>
      <c r="N61" s="178"/>
      <c r="O61" s="121"/>
      <c r="P61" s="402"/>
      <c r="Q61" s="402"/>
      <c r="R61" s="402"/>
      <c r="S61" s="402"/>
      <c r="T61" s="402"/>
      <c r="U61" s="402"/>
      <c r="V61" s="403"/>
      <c r="W61" s="403"/>
      <c r="X61" s="403"/>
      <c r="Y61" s="403"/>
      <c r="Z61" s="403"/>
      <c r="AA61" s="403"/>
      <c r="AB61" s="403"/>
      <c r="AC61" s="403"/>
      <c r="AD61" s="404"/>
      <c r="AF61" s="94">
        <f>16*3000</f>
        <v>48000</v>
      </c>
    </row>
    <row r="62" spans="1:32" ht="27.75" thickBot="1">
      <c r="A62" s="407" t="s">
        <v>346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180" t="s">
        <v>2</v>
      </c>
      <c r="D63" s="180" t="s">
        <v>37</v>
      </c>
      <c r="E63" s="180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180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2"/>
      <c r="T63" s="412"/>
      <c r="U63" s="412"/>
      <c r="V63" s="412"/>
      <c r="W63" s="412"/>
      <c r="X63" s="412"/>
      <c r="Y63" s="412"/>
      <c r="Z63" s="412"/>
      <c r="AA63" s="411"/>
      <c r="AB63" s="409" t="s">
        <v>44</v>
      </c>
      <c r="AC63" s="409"/>
      <c r="AD63" s="413"/>
      <c r="AF63" s="94">
        <f>SUM(AF60:AF62)</f>
        <v>96000</v>
      </c>
    </row>
    <row r="64" spans="1:32" ht="25.5" customHeight="1">
      <c r="A64" s="414">
        <v>1</v>
      </c>
      <c r="B64" s="415"/>
      <c r="C64" s="124" t="s">
        <v>347</v>
      </c>
      <c r="D64" s="183"/>
      <c r="E64" s="181" t="s">
        <v>348</v>
      </c>
      <c r="F64" s="416" t="s">
        <v>349</v>
      </c>
      <c r="G64" s="417"/>
      <c r="H64" s="417"/>
      <c r="I64" s="417"/>
      <c r="J64" s="417"/>
      <c r="K64" s="417" t="s">
        <v>350</v>
      </c>
      <c r="L64" s="417"/>
      <c r="M64" s="54" t="s">
        <v>351</v>
      </c>
      <c r="N64" s="417">
        <v>4</v>
      </c>
      <c r="O64" s="417"/>
      <c r="P64" s="418">
        <v>50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2</v>
      </c>
      <c r="B65" s="415"/>
      <c r="C65" s="124" t="s">
        <v>352</v>
      </c>
      <c r="D65" s="183"/>
      <c r="E65" s="181" t="s">
        <v>353</v>
      </c>
      <c r="F65" s="416" t="s">
        <v>354</v>
      </c>
      <c r="G65" s="417"/>
      <c r="H65" s="417"/>
      <c r="I65" s="417"/>
      <c r="J65" s="417"/>
      <c r="K65" s="417" t="s">
        <v>355</v>
      </c>
      <c r="L65" s="417"/>
      <c r="M65" s="54" t="s">
        <v>356</v>
      </c>
      <c r="N65" s="417">
        <v>7</v>
      </c>
      <c r="O65" s="417"/>
      <c r="P65" s="418" t="s">
        <v>357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3</v>
      </c>
      <c r="B66" s="415"/>
      <c r="C66" s="124" t="s">
        <v>114</v>
      </c>
      <c r="D66" s="183"/>
      <c r="E66" s="181" t="s">
        <v>358</v>
      </c>
      <c r="F66" s="416" t="s">
        <v>359</v>
      </c>
      <c r="G66" s="417"/>
      <c r="H66" s="417"/>
      <c r="I66" s="417"/>
      <c r="J66" s="417"/>
      <c r="K66" s="417" t="s">
        <v>355</v>
      </c>
      <c r="L66" s="417"/>
      <c r="M66" s="54" t="s">
        <v>356</v>
      </c>
      <c r="N66" s="417">
        <v>4</v>
      </c>
      <c r="O66" s="417"/>
      <c r="P66" s="418">
        <v>50</v>
      </c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4</v>
      </c>
      <c r="B67" s="415"/>
      <c r="C67" s="124" t="s">
        <v>114</v>
      </c>
      <c r="D67" s="183"/>
      <c r="E67" s="181" t="s">
        <v>360</v>
      </c>
      <c r="F67" s="416" t="s">
        <v>361</v>
      </c>
      <c r="G67" s="417"/>
      <c r="H67" s="417"/>
      <c r="I67" s="417"/>
      <c r="J67" s="417"/>
      <c r="K67" s="417" t="s">
        <v>362</v>
      </c>
      <c r="L67" s="417"/>
      <c r="M67" s="54" t="s">
        <v>356</v>
      </c>
      <c r="N67" s="417">
        <v>12</v>
      </c>
      <c r="O67" s="417"/>
      <c r="P67" s="418">
        <v>50</v>
      </c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5</v>
      </c>
      <c r="B68" s="415"/>
      <c r="C68" s="124" t="s">
        <v>339</v>
      </c>
      <c r="D68" s="183"/>
      <c r="E68" s="181" t="s">
        <v>363</v>
      </c>
      <c r="F68" s="416" t="s">
        <v>364</v>
      </c>
      <c r="G68" s="417"/>
      <c r="H68" s="417"/>
      <c r="I68" s="417"/>
      <c r="J68" s="417"/>
      <c r="K68" s="417" t="s">
        <v>365</v>
      </c>
      <c r="L68" s="417"/>
      <c r="M68" s="54" t="s">
        <v>366</v>
      </c>
      <c r="N68" s="417">
        <v>8</v>
      </c>
      <c r="O68" s="417"/>
      <c r="P68" s="418">
        <v>100</v>
      </c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6</v>
      </c>
      <c r="B69" s="415"/>
      <c r="C69" s="124"/>
      <c r="D69" s="183"/>
      <c r="E69" s="181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7</v>
      </c>
      <c r="B70" s="415"/>
      <c r="C70" s="124"/>
      <c r="D70" s="183"/>
      <c r="E70" s="181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8</v>
      </c>
      <c r="B71" s="415"/>
      <c r="C71" s="124"/>
      <c r="D71" s="183"/>
      <c r="E71" s="181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6.25" customHeight="1" thickBot="1">
      <c r="A72" s="420" t="s">
        <v>367</v>
      </c>
      <c r="B72" s="420"/>
      <c r="C72" s="420"/>
      <c r="D72" s="420"/>
      <c r="E72" s="42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1" t="s">
        <v>113</v>
      </c>
      <c r="B73" s="422"/>
      <c r="C73" s="182" t="s">
        <v>2</v>
      </c>
      <c r="D73" s="182" t="s">
        <v>37</v>
      </c>
      <c r="E73" s="182" t="s">
        <v>3</v>
      </c>
      <c r="F73" s="422" t="s">
        <v>38</v>
      </c>
      <c r="G73" s="422"/>
      <c r="H73" s="422"/>
      <c r="I73" s="422"/>
      <c r="J73" s="422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22" t="s">
        <v>49</v>
      </c>
      <c r="U73" s="422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435">
        <v>1</v>
      </c>
      <c r="B74" s="436"/>
      <c r="C74" s="184" t="s">
        <v>114</v>
      </c>
      <c r="D74" s="184"/>
      <c r="E74" s="71" t="s">
        <v>119</v>
      </c>
      <c r="F74" s="437" t="s">
        <v>120</v>
      </c>
      <c r="G74" s="438"/>
      <c r="H74" s="438"/>
      <c r="I74" s="438"/>
      <c r="J74" s="439"/>
      <c r="K74" s="440" t="s">
        <v>115</v>
      </c>
      <c r="L74" s="441"/>
      <c r="M74" s="441"/>
      <c r="N74" s="441"/>
      <c r="O74" s="441"/>
      <c r="P74" s="441"/>
      <c r="Q74" s="441"/>
      <c r="R74" s="441"/>
      <c r="S74" s="442"/>
      <c r="T74" s="443">
        <v>42901</v>
      </c>
      <c r="U74" s="444"/>
      <c r="V74" s="445"/>
      <c r="W74" s="445"/>
      <c r="X74" s="446"/>
      <c r="Y74" s="446"/>
      <c r="Z74" s="446"/>
      <c r="AA74" s="446"/>
      <c r="AB74" s="446"/>
      <c r="AC74" s="446"/>
      <c r="AD74" s="447"/>
      <c r="AF74" s="53"/>
    </row>
    <row r="75" spans="1:32" ht="30" customHeight="1">
      <c r="A75" s="427">
        <f>A74+1</f>
        <v>2</v>
      </c>
      <c r="B75" s="428"/>
      <c r="C75" s="183" t="s">
        <v>114</v>
      </c>
      <c r="D75" s="183"/>
      <c r="E75" s="35" t="s">
        <v>116</v>
      </c>
      <c r="F75" s="428" t="s">
        <v>117</v>
      </c>
      <c r="G75" s="428"/>
      <c r="H75" s="428"/>
      <c r="I75" s="428"/>
      <c r="J75" s="428"/>
      <c r="K75" s="429" t="s">
        <v>118</v>
      </c>
      <c r="L75" s="430"/>
      <c r="M75" s="430"/>
      <c r="N75" s="430"/>
      <c r="O75" s="430"/>
      <c r="P75" s="430"/>
      <c r="Q75" s="430"/>
      <c r="R75" s="430"/>
      <c r="S75" s="431"/>
      <c r="T75" s="432">
        <v>42867</v>
      </c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ref="A76:A82" si="27">A75+1</f>
        <v>3</v>
      </c>
      <c r="B76" s="428"/>
      <c r="C76" s="183"/>
      <c r="D76" s="183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27"/>
        <v>4</v>
      </c>
      <c r="B77" s="428"/>
      <c r="C77" s="183"/>
      <c r="D77" s="183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27"/>
        <v>5</v>
      </c>
      <c r="B78" s="428"/>
      <c r="C78" s="183"/>
      <c r="D78" s="183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27"/>
        <v>6</v>
      </c>
      <c r="B79" s="428"/>
      <c r="C79" s="183"/>
      <c r="D79" s="183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27"/>
        <v>7</v>
      </c>
      <c r="B80" s="428"/>
      <c r="C80" s="183"/>
      <c r="D80" s="183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27"/>
        <v>8</v>
      </c>
      <c r="B81" s="428"/>
      <c r="C81" s="183"/>
      <c r="D81" s="183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27"/>
        <v>9</v>
      </c>
      <c r="B82" s="428"/>
      <c r="C82" s="183"/>
      <c r="D82" s="183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6" thickBot="1">
      <c r="A83" s="420" t="s">
        <v>368</v>
      </c>
      <c r="B83" s="420"/>
      <c r="C83" s="420"/>
      <c r="D83" s="420"/>
      <c r="E83" s="42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1" t="s">
        <v>113</v>
      </c>
      <c r="B84" s="422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3"/>
    </row>
    <row r="85" spans="1:32" ht="30.75" customHeight="1">
      <c r="A85" s="435">
        <v>1</v>
      </c>
      <c r="B85" s="436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450"/>
      <c r="U85" s="450"/>
      <c r="V85" s="451"/>
      <c r="W85" s="451"/>
      <c r="X85" s="451"/>
      <c r="Y85" s="452"/>
      <c r="Z85" s="452"/>
      <c r="AA85" s="452"/>
      <c r="AB85" s="452"/>
      <c r="AC85" s="452"/>
      <c r="AD85" s="453"/>
      <c r="AF85" s="53"/>
    </row>
    <row r="86" spans="1:32" ht="30.75" customHeight="1">
      <c r="A86" s="427">
        <v>2</v>
      </c>
      <c r="B86" s="428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4"/>
      <c r="Z86" s="454"/>
      <c r="AA86" s="454"/>
      <c r="AB86" s="454"/>
      <c r="AC86" s="454"/>
      <c r="AD86" s="455"/>
      <c r="AF86" s="53"/>
    </row>
    <row r="87" spans="1:32" ht="30.75" customHeight="1" thickBot="1">
      <c r="A87" s="456">
        <v>3</v>
      </c>
      <c r="B87" s="457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abSelected="1" zoomScale="72" zoomScaleNormal="72" zoomScaleSheetLayoutView="70" workbookViewId="0">
      <selection activeCell="L13" sqref="L1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369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196" t="s">
        <v>17</v>
      </c>
      <c r="L5" s="196" t="s">
        <v>18</v>
      </c>
      <c r="M5" s="196" t="s">
        <v>19</v>
      </c>
      <c r="N5" s="19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292</v>
      </c>
      <c r="F6" s="33" t="s">
        <v>131</v>
      </c>
      <c r="G6" s="36">
        <v>1</v>
      </c>
      <c r="H6" s="38">
        <v>25</v>
      </c>
      <c r="I6" s="7">
        <v>20000</v>
      </c>
      <c r="J6" s="5">
        <v>4870</v>
      </c>
      <c r="K6" s="15">
        <f>L6+4245+2684</f>
        <v>11798</v>
      </c>
      <c r="L6" s="15">
        <f>2423+2446</f>
        <v>4869</v>
      </c>
      <c r="M6" s="16">
        <f t="shared" ref="M6:M20" si="0">L6-N6</f>
        <v>4869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0.99979466119096505</v>
      </c>
      <c r="AC6" s="9">
        <f t="shared" ref="AC6:AC20" si="5">IF(P6=0,"0",(P6/24))</f>
        <v>1</v>
      </c>
      <c r="AD6" s="10">
        <f t="shared" ref="AD6:AD20" si="6">AC6*AB6*(1-O6)</f>
        <v>0.99979466119096505</v>
      </c>
      <c r="AE6" s="39">
        <f t="shared" ref="AE6:AE20" si="7">$AD$21</f>
        <v>0.36629321312127328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0.36629321312127328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370</v>
      </c>
      <c r="D8" s="55" t="s">
        <v>371</v>
      </c>
      <c r="E8" s="57" t="s">
        <v>372</v>
      </c>
      <c r="F8" s="33" t="s">
        <v>142</v>
      </c>
      <c r="G8" s="12">
        <v>1</v>
      </c>
      <c r="H8" s="13">
        <v>25</v>
      </c>
      <c r="I8" s="34">
        <v>2000</v>
      </c>
      <c r="J8" s="5">
        <v>2090</v>
      </c>
      <c r="K8" s="15">
        <f>L8</f>
        <v>2085</v>
      </c>
      <c r="L8" s="15">
        <f>1177+908</f>
        <v>2085</v>
      </c>
      <c r="M8" s="16">
        <f t="shared" si="0"/>
        <v>2085</v>
      </c>
      <c r="N8" s="16">
        <v>0</v>
      </c>
      <c r="O8" s="62">
        <f t="shared" si="1"/>
        <v>0</v>
      </c>
      <c r="P8" s="42">
        <f t="shared" si="2"/>
        <v>13</v>
      </c>
      <c r="Q8" s="43">
        <f t="shared" si="3"/>
        <v>11</v>
      </c>
      <c r="R8" s="7"/>
      <c r="S8" s="6"/>
      <c r="T8" s="17"/>
      <c r="U8" s="17"/>
      <c r="V8" s="18"/>
      <c r="W8" s="19">
        <v>11</v>
      </c>
      <c r="X8" s="17"/>
      <c r="Y8" s="20"/>
      <c r="Z8" s="20"/>
      <c r="AA8" s="21"/>
      <c r="AB8" s="8">
        <f t="shared" si="4"/>
        <v>0.99760765550239239</v>
      </c>
      <c r="AC8" s="9">
        <f t="shared" si="5"/>
        <v>0.54166666666666663</v>
      </c>
      <c r="AD8" s="10">
        <f t="shared" si="6"/>
        <v>0.54037081339712922</v>
      </c>
      <c r="AE8" s="39">
        <f t="shared" si="7"/>
        <v>0.36629321312127328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241</v>
      </c>
      <c r="E9" s="57" t="s">
        <v>242</v>
      </c>
      <c r="F9" s="33" t="s">
        <v>243</v>
      </c>
      <c r="G9" s="36">
        <v>1</v>
      </c>
      <c r="H9" s="38">
        <v>25</v>
      </c>
      <c r="I9" s="7">
        <v>6500</v>
      </c>
      <c r="J9" s="5">
        <v>3290</v>
      </c>
      <c r="K9" s="15">
        <f>L9+5257+3282</f>
        <v>8539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0.36629321312127328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246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0.36629321312127328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161</v>
      </c>
      <c r="E11" s="57" t="s">
        <v>162</v>
      </c>
      <c r="F11" s="12" t="s">
        <v>163</v>
      </c>
      <c r="G11" s="12">
        <v>1</v>
      </c>
      <c r="H11" s="13">
        <v>25</v>
      </c>
      <c r="I11" s="34">
        <v>10000</v>
      </c>
      <c r="J11" s="14">
        <v>2330</v>
      </c>
      <c r="K11" s="15">
        <f>L11+4490+5182+2328</f>
        <v>12000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0.36629321312127328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197</v>
      </c>
      <c r="D12" s="55" t="s">
        <v>198</v>
      </c>
      <c r="E12" s="57" t="s">
        <v>199</v>
      </c>
      <c r="F12" s="12" t="s">
        <v>200</v>
      </c>
      <c r="G12" s="12">
        <v>1</v>
      </c>
      <c r="H12" s="13">
        <v>25</v>
      </c>
      <c r="I12" s="7">
        <v>20000</v>
      </c>
      <c r="J12" s="14">
        <v>725</v>
      </c>
      <c r="K12" s="15">
        <f>L12+4234+5649+725</f>
        <v>10608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0.36629321312127328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114</v>
      </c>
      <c r="D13" s="55" t="s">
        <v>373</v>
      </c>
      <c r="E13" s="57" t="s">
        <v>374</v>
      </c>
      <c r="F13" s="12" t="s">
        <v>375</v>
      </c>
      <c r="G13" s="12">
        <v>1</v>
      </c>
      <c r="H13" s="13">
        <v>25</v>
      </c>
      <c r="I13" s="7">
        <v>2000</v>
      </c>
      <c r="J13" s="14">
        <v>5060</v>
      </c>
      <c r="K13" s="15">
        <f>L13</f>
        <v>5059</v>
      </c>
      <c r="L13" s="15">
        <f>1946+3113</f>
        <v>5059</v>
      </c>
      <c r="M13" s="16">
        <f t="shared" si="0"/>
        <v>5059</v>
      </c>
      <c r="N13" s="16">
        <v>0</v>
      </c>
      <c r="O13" s="62">
        <f t="shared" si="1"/>
        <v>0</v>
      </c>
      <c r="P13" s="42">
        <f t="shared" si="2"/>
        <v>23</v>
      </c>
      <c r="Q13" s="43">
        <f t="shared" si="3"/>
        <v>1</v>
      </c>
      <c r="R13" s="7"/>
      <c r="S13" s="6"/>
      <c r="T13" s="17">
        <v>1</v>
      </c>
      <c r="U13" s="17"/>
      <c r="V13" s="18"/>
      <c r="W13" s="19"/>
      <c r="X13" s="17"/>
      <c r="Y13" s="20"/>
      <c r="Z13" s="20"/>
      <c r="AA13" s="21"/>
      <c r="AB13" s="8">
        <f t="shared" si="4"/>
        <v>0.99980237154150198</v>
      </c>
      <c r="AC13" s="9">
        <f t="shared" si="5"/>
        <v>0.95833333333333337</v>
      </c>
      <c r="AD13" s="10">
        <f t="shared" si="6"/>
        <v>0.95814393939393938</v>
      </c>
      <c r="AE13" s="39">
        <f t="shared" si="7"/>
        <v>0.36629321312127328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137</v>
      </c>
      <c r="F14" s="33" t="s">
        <v>128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0.36629321312127328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166</v>
      </c>
      <c r="D15" s="55" t="s">
        <v>138</v>
      </c>
      <c r="E15" s="57" t="s">
        <v>167</v>
      </c>
      <c r="F15" s="12">
        <v>8301</v>
      </c>
      <c r="G15" s="12">
        <v>1</v>
      </c>
      <c r="H15" s="13">
        <v>24</v>
      </c>
      <c r="I15" s="34">
        <v>1000</v>
      </c>
      <c r="J15" s="14">
        <v>2780</v>
      </c>
      <c r="K15" s="15">
        <f>L15+1100</f>
        <v>1100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0.36629321312127328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197</v>
      </c>
      <c r="D16" s="55" t="s">
        <v>198</v>
      </c>
      <c r="E16" s="57" t="s">
        <v>199</v>
      </c>
      <c r="F16" s="12" t="s">
        <v>200</v>
      </c>
      <c r="G16" s="12">
        <v>1</v>
      </c>
      <c r="H16" s="13">
        <v>25</v>
      </c>
      <c r="I16" s="7">
        <v>20000</v>
      </c>
      <c r="J16" s="14">
        <v>5510</v>
      </c>
      <c r="K16" s="15">
        <f>L16+4234+5649+725+2714</f>
        <v>18824</v>
      </c>
      <c r="L16" s="15">
        <f>2604+2898</f>
        <v>5502</v>
      </c>
      <c r="M16" s="16">
        <f t="shared" si="0"/>
        <v>5502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0.99854809437386571</v>
      </c>
      <c r="AC16" s="9">
        <f t="shared" si="5"/>
        <v>1</v>
      </c>
      <c r="AD16" s="10">
        <f t="shared" si="6"/>
        <v>0.99854809437386571</v>
      </c>
      <c r="AE16" s="39">
        <f t="shared" si="7"/>
        <v>0.36629321312127328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126</v>
      </c>
      <c r="E17" s="57" t="s">
        <v>143</v>
      </c>
      <c r="F17" s="12" t="s">
        <v>140</v>
      </c>
      <c r="G17" s="12">
        <v>1</v>
      </c>
      <c r="H17" s="13">
        <v>25</v>
      </c>
      <c r="I17" s="34">
        <v>1700</v>
      </c>
      <c r="J17" s="5">
        <v>1680</v>
      </c>
      <c r="K17" s="15">
        <f>L17+416+1674</f>
        <v>2090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0.36629321312127328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121</v>
      </c>
      <c r="D18" s="55" t="s">
        <v>325</v>
      </c>
      <c r="E18" s="57" t="s">
        <v>326</v>
      </c>
      <c r="F18" s="12" t="s">
        <v>246</v>
      </c>
      <c r="G18" s="12">
        <v>1</v>
      </c>
      <c r="H18" s="13">
        <v>24</v>
      </c>
      <c r="I18" s="34">
        <v>6500</v>
      </c>
      <c r="J18" s="14">
        <v>5240</v>
      </c>
      <c r="K18" s="15">
        <f>L18+1802</f>
        <v>7039</v>
      </c>
      <c r="L18" s="15">
        <f>2290+2889+58</f>
        <v>5237</v>
      </c>
      <c r="M18" s="16">
        <f t="shared" si="0"/>
        <v>5237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0.99942748091603051</v>
      </c>
      <c r="AC18" s="9">
        <f t="shared" si="5"/>
        <v>1</v>
      </c>
      <c r="AD18" s="10">
        <f t="shared" si="6"/>
        <v>0.99942748091603051</v>
      </c>
      <c r="AE18" s="39">
        <f t="shared" si="7"/>
        <v>0.36629321312127328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121</v>
      </c>
      <c r="D19" s="55" t="s">
        <v>124</v>
      </c>
      <c r="E19" s="57" t="s">
        <v>252</v>
      </c>
      <c r="F19" s="12" t="s">
        <v>135</v>
      </c>
      <c r="G19" s="12">
        <v>1</v>
      </c>
      <c r="H19" s="13">
        <v>25</v>
      </c>
      <c r="I19" s="7">
        <v>6500</v>
      </c>
      <c r="J19" s="14">
        <v>4770</v>
      </c>
      <c r="K19" s="15">
        <f>L19+429+1993</f>
        <v>7183</v>
      </c>
      <c r="L19" s="15">
        <f>2216+2545</f>
        <v>4761</v>
      </c>
      <c r="M19" s="16">
        <f t="shared" si="0"/>
        <v>4761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0.99811320754716981</v>
      </c>
      <c r="AC19" s="9">
        <f t="shared" si="5"/>
        <v>1</v>
      </c>
      <c r="AD19" s="10">
        <f t="shared" si="6"/>
        <v>0.99811320754716981</v>
      </c>
      <c r="AE19" s="39">
        <f t="shared" si="7"/>
        <v>0.36629321312127328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0.36629321312127328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901700</v>
      </c>
      <c r="J21" s="22">
        <f t="shared" si="9"/>
        <v>45055</v>
      </c>
      <c r="K21" s="23">
        <f t="shared" si="9"/>
        <v>470193</v>
      </c>
      <c r="L21" s="24">
        <f t="shared" si="9"/>
        <v>27513</v>
      </c>
      <c r="M21" s="23">
        <f t="shared" si="9"/>
        <v>27513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132</v>
      </c>
      <c r="Q21" s="46">
        <f t="shared" si="10"/>
        <v>228</v>
      </c>
      <c r="R21" s="26">
        <f t="shared" si="10"/>
        <v>0</v>
      </c>
      <c r="S21" s="27">
        <f t="shared" si="10"/>
        <v>24</v>
      </c>
      <c r="T21" s="27">
        <f t="shared" si="10"/>
        <v>1</v>
      </c>
      <c r="U21" s="27">
        <f t="shared" si="10"/>
        <v>0</v>
      </c>
      <c r="V21" s="28">
        <f t="shared" si="10"/>
        <v>0</v>
      </c>
      <c r="W21" s="29">
        <f t="shared" si="10"/>
        <v>155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48</v>
      </c>
      <c r="AB21" s="31">
        <f>SUM(AB6:AB20)/15</f>
        <v>0.39955289807146166</v>
      </c>
      <c r="AC21" s="4">
        <f>SUM(AC6:AC20)/15</f>
        <v>0.36666666666666664</v>
      </c>
      <c r="AD21" s="4">
        <f>SUM(AD6:AD20)/15</f>
        <v>0.36629321312127328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376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384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195" t="s">
        <v>46</v>
      </c>
      <c r="D50" s="195" t="s">
        <v>47</v>
      </c>
      <c r="E50" s="195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195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9" t="s">
        <v>377</v>
      </c>
      <c r="B51" s="400"/>
      <c r="C51" s="194" t="s">
        <v>378</v>
      </c>
      <c r="D51" s="191" t="s">
        <v>379</v>
      </c>
      <c r="E51" s="194" t="s">
        <v>372</v>
      </c>
      <c r="F51" s="397" t="s">
        <v>329</v>
      </c>
      <c r="G51" s="397"/>
      <c r="H51" s="397"/>
      <c r="I51" s="397"/>
      <c r="J51" s="397"/>
      <c r="K51" s="397"/>
      <c r="L51" s="397"/>
      <c r="M51" s="398"/>
      <c r="N51" s="190" t="s">
        <v>339</v>
      </c>
      <c r="O51" s="74" t="s">
        <v>340</v>
      </c>
      <c r="P51" s="396" t="s">
        <v>342</v>
      </c>
      <c r="Q51" s="396"/>
      <c r="R51" s="396" t="s">
        <v>341</v>
      </c>
      <c r="S51" s="396"/>
      <c r="T51" s="396"/>
      <c r="U51" s="396"/>
      <c r="V51" s="397" t="s">
        <v>272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380</v>
      </c>
      <c r="B52" s="396"/>
      <c r="C52" s="191" t="s">
        <v>381</v>
      </c>
      <c r="D52" s="191" t="s">
        <v>119</v>
      </c>
      <c r="E52" s="191" t="s">
        <v>382</v>
      </c>
      <c r="F52" s="397" t="s">
        <v>383</v>
      </c>
      <c r="G52" s="397"/>
      <c r="H52" s="397"/>
      <c r="I52" s="397"/>
      <c r="J52" s="397"/>
      <c r="K52" s="397"/>
      <c r="L52" s="397"/>
      <c r="M52" s="398"/>
      <c r="N52" s="190" t="s">
        <v>370</v>
      </c>
      <c r="O52" s="74" t="s">
        <v>386</v>
      </c>
      <c r="P52" s="396" t="s">
        <v>387</v>
      </c>
      <c r="Q52" s="396"/>
      <c r="R52" s="396" t="s">
        <v>385</v>
      </c>
      <c r="S52" s="396"/>
      <c r="T52" s="396"/>
      <c r="U52" s="396"/>
      <c r="V52" s="397" t="s">
        <v>272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/>
      <c r="B53" s="396"/>
      <c r="C53" s="191"/>
      <c r="D53" s="191"/>
      <c r="E53" s="191"/>
      <c r="F53" s="397"/>
      <c r="G53" s="397"/>
      <c r="H53" s="397"/>
      <c r="I53" s="397"/>
      <c r="J53" s="397"/>
      <c r="K53" s="397"/>
      <c r="L53" s="397"/>
      <c r="M53" s="398"/>
      <c r="N53" s="190" t="s">
        <v>388</v>
      </c>
      <c r="O53" s="74" t="s">
        <v>389</v>
      </c>
      <c r="P53" s="396" t="s">
        <v>391</v>
      </c>
      <c r="Q53" s="396"/>
      <c r="R53" s="396" t="s">
        <v>390</v>
      </c>
      <c r="S53" s="396"/>
      <c r="T53" s="396"/>
      <c r="U53" s="396"/>
      <c r="V53" s="397" t="s">
        <v>272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/>
      <c r="B54" s="396"/>
      <c r="C54" s="191"/>
      <c r="D54" s="191"/>
      <c r="E54" s="191"/>
      <c r="F54" s="397"/>
      <c r="G54" s="397"/>
      <c r="H54" s="397"/>
      <c r="I54" s="397"/>
      <c r="J54" s="397"/>
      <c r="K54" s="397"/>
      <c r="L54" s="397"/>
      <c r="M54" s="398"/>
      <c r="N54" s="190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191"/>
      <c r="D55" s="191"/>
      <c r="E55" s="191"/>
      <c r="F55" s="397"/>
      <c r="G55" s="397"/>
      <c r="H55" s="397"/>
      <c r="I55" s="397"/>
      <c r="J55" s="397"/>
      <c r="K55" s="397"/>
      <c r="L55" s="397"/>
      <c r="M55" s="398"/>
      <c r="N55" s="190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9"/>
      <c r="B56" s="400"/>
      <c r="C56" s="194"/>
      <c r="D56" s="191"/>
      <c r="E56" s="194"/>
      <c r="F56" s="397"/>
      <c r="G56" s="397"/>
      <c r="H56" s="397"/>
      <c r="I56" s="397"/>
      <c r="J56" s="397"/>
      <c r="K56" s="397"/>
      <c r="L56" s="397"/>
      <c r="M56" s="398"/>
      <c r="N56" s="190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/>
      <c r="B57" s="400"/>
      <c r="C57" s="194"/>
      <c r="D57" s="191"/>
      <c r="E57" s="194"/>
      <c r="F57" s="397"/>
      <c r="G57" s="397"/>
      <c r="H57" s="397"/>
      <c r="I57" s="397"/>
      <c r="J57" s="397"/>
      <c r="K57" s="397"/>
      <c r="L57" s="397"/>
      <c r="M57" s="398"/>
      <c r="N57" s="190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194"/>
      <c r="D58" s="191"/>
      <c r="E58" s="194"/>
      <c r="F58" s="397"/>
      <c r="G58" s="397"/>
      <c r="H58" s="397"/>
      <c r="I58" s="397"/>
      <c r="J58" s="397"/>
      <c r="K58" s="397"/>
      <c r="L58" s="397"/>
      <c r="M58" s="398"/>
      <c r="N58" s="190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191"/>
      <c r="D59" s="191"/>
      <c r="E59" s="191"/>
      <c r="F59" s="397"/>
      <c r="G59" s="397"/>
      <c r="H59" s="397"/>
      <c r="I59" s="397"/>
      <c r="J59" s="397"/>
      <c r="K59" s="397"/>
      <c r="L59" s="397"/>
      <c r="M59" s="398"/>
      <c r="N59" s="190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193"/>
      <c r="D60" s="193"/>
      <c r="E60" s="193"/>
      <c r="F60" s="403"/>
      <c r="G60" s="403"/>
      <c r="H60" s="403"/>
      <c r="I60" s="403"/>
      <c r="J60" s="403"/>
      <c r="K60" s="403"/>
      <c r="L60" s="403"/>
      <c r="M60" s="404"/>
      <c r="N60" s="192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392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189" t="s">
        <v>2</v>
      </c>
      <c r="D62" s="189" t="s">
        <v>37</v>
      </c>
      <c r="E62" s="189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189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114</v>
      </c>
      <c r="D63" s="185"/>
      <c r="E63" s="188" t="s">
        <v>393</v>
      </c>
      <c r="F63" s="416" t="s">
        <v>394</v>
      </c>
      <c r="G63" s="417"/>
      <c r="H63" s="417"/>
      <c r="I63" s="417"/>
      <c r="J63" s="417"/>
      <c r="K63" s="417" t="s">
        <v>395</v>
      </c>
      <c r="L63" s="417"/>
      <c r="M63" s="54" t="s">
        <v>396</v>
      </c>
      <c r="N63" s="417">
        <v>4</v>
      </c>
      <c r="O63" s="417"/>
      <c r="P63" s="418"/>
      <c r="Q63" s="418"/>
      <c r="R63" s="397" t="s">
        <v>397</v>
      </c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 t="s">
        <v>398</v>
      </c>
      <c r="D64" s="185"/>
      <c r="E64" s="188" t="s">
        <v>387</v>
      </c>
      <c r="F64" s="416" t="s">
        <v>399</v>
      </c>
      <c r="G64" s="417"/>
      <c r="H64" s="417"/>
      <c r="I64" s="417"/>
      <c r="J64" s="417"/>
      <c r="K64" s="417" t="s">
        <v>400</v>
      </c>
      <c r="L64" s="417"/>
      <c r="M64" s="54" t="s">
        <v>401</v>
      </c>
      <c r="N64" s="417">
        <v>4</v>
      </c>
      <c r="O64" s="417"/>
      <c r="P64" s="418">
        <v>50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 t="s">
        <v>125</v>
      </c>
      <c r="D65" s="185"/>
      <c r="E65" s="188" t="s">
        <v>462</v>
      </c>
      <c r="F65" s="416" t="s">
        <v>402</v>
      </c>
      <c r="G65" s="417"/>
      <c r="H65" s="417"/>
      <c r="I65" s="417"/>
      <c r="J65" s="417"/>
      <c r="K65" s="417" t="s">
        <v>403</v>
      </c>
      <c r="L65" s="417"/>
      <c r="M65" s="54" t="s">
        <v>401</v>
      </c>
      <c r="N65" s="417">
        <v>10</v>
      </c>
      <c r="O65" s="417"/>
      <c r="P65" s="418">
        <v>50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 t="s">
        <v>114</v>
      </c>
      <c r="D66" s="185"/>
      <c r="E66" s="188" t="s">
        <v>404</v>
      </c>
      <c r="F66" s="416" t="s">
        <v>405</v>
      </c>
      <c r="G66" s="417"/>
      <c r="H66" s="417"/>
      <c r="I66" s="417"/>
      <c r="J66" s="417"/>
      <c r="K66" s="417" t="s">
        <v>406</v>
      </c>
      <c r="L66" s="417"/>
      <c r="M66" s="54" t="s">
        <v>407</v>
      </c>
      <c r="N66" s="417">
        <v>7</v>
      </c>
      <c r="O66" s="417"/>
      <c r="P66" s="418" t="s">
        <v>408</v>
      </c>
      <c r="Q66" s="418"/>
      <c r="R66" s="397" t="s">
        <v>409</v>
      </c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 t="s">
        <v>125</v>
      </c>
      <c r="D67" s="185"/>
      <c r="E67" s="188" t="s">
        <v>411</v>
      </c>
      <c r="F67" s="416" t="s">
        <v>412</v>
      </c>
      <c r="G67" s="417"/>
      <c r="H67" s="417"/>
      <c r="I67" s="417"/>
      <c r="J67" s="417"/>
      <c r="K67" s="417" t="s">
        <v>413</v>
      </c>
      <c r="L67" s="417"/>
      <c r="M67" s="54" t="s">
        <v>407</v>
      </c>
      <c r="N67" s="417">
        <v>5</v>
      </c>
      <c r="O67" s="417"/>
      <c r="P67" s="418"/>
      <c r="Q67" s="418"/>
      <c r="R67" s="397" t="s">
        <v>414</v>
      </c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 t="s">
        <v>410</v>
      </c>
      <c r="D68" s="185"/>
      <c r="E68" s="188" t="s">
        <v>415</v>
      </c>
      <c r="F68" s="416" t="s">
        <v>416</v>
      </c>
      <c r="G68" s="417"/>
      <c r="H68" s="417"/>
      <c r="I68" s="417"/>
      <c r="J68" s="417"/>
      <c r="K68" s="417" t="s">
        <v>413</v>
      </c>
      <c r="L68" s="417"/>
      <c r="M68" s="54" t="s">
        <v>407</v>
      </c>
      <c r="N68" s="417">
        <v>7</v>
      </c>
      <c r="O68" s="417"/>
      <c r="P68" s="418"/>
      <c r="Q68" s="418"/>
      <c r="R68" s="397" t="s">
        <v>417</v>
      </c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185"/>
      <c r="E69" s="188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185"/>
      <c r="E70" s="188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418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187" t="s">
        <v>2</v>
      </c>
      <c r="D72" s="187" t="s">
        <v>37</v>
      </c>
      <c r="E72" s="187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186" t="s">
        <v>114</v>
      </c>
      <c r="D73" s="186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185" t="s">
        <v>114</v>
      </c>
      <c r="D74" s="185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185"/>
      <c r="D75" s="185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185"/>
      <c r="D76" s="185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185"/>
      <c r="D77" s="185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185"/>
      <c r="D78" s="185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185"/>
      <c r="D79" s="185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185"/>
      <c r="D80" s="185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185"/>
      <c r="D81" s="185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419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F67" sqref="F67:J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420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197" t="s">
        <v>17</v>
      </c>
      <c r="L5" s="197" t="s">
        <v>18</v>
      </c>
      <c r="M5" s="197" t="s">
        <v>19</v>
      </c>
      <c r="N5" s="19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292</v>
      </c>
      <c r="F6" s="33" t="s">
        <v>131</v>
      </c>
      <c r="G6" s="36">
        <v>1</v>
      </c>
      <c r="H6" s="38">
        <v>25</v>
      </c>
      <c r="I6" s="7">
        <v>20000</v>
      </c>
      <c r="J6" s="5">
        <v>4370</v>
      </c>
      <c r="K6" s="15">
        <f>L6+4245+2684+4869</f>
        <v>16167</v>
      </c>
      <c r="L6" s="15">
        <f>2192+2177</f>
        <v>4369</v>
      </c>
      <c r="M6" s="16">
        <f t="shared" ref="M6:M20" si="0">L6-N6</f>
        <v>4369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0.99977116704805491</v>
      </c>
      <c r="AC6" s="9">
        <f t="shared" ref="AC6:AC20" si="5">IF(P6=0,"0",(P6/24))</f>
        <v>1</v>
      </c>
      <c r="AD6" s="10">
        <f t="shared" ref="AD6:AD20" si="6">AC6*AB6*(1-O6)</f>
        <v>0.99977116704805491</v>
      </c>
      <c r="AE6" s="39">
        <f t="shared" ref="AE6:AE20" si="7">$AD$21</f>
        <v>0.29976705520173852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0.29976705520173852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370</v>
      </c>
      <c r="D8" s="55" t="s">
        <v>421</v>
      </c>
      <c r="E8" s="57" t="s">
        <v>422</v>
      </c>
      <c r="F8" s="33" t="s">
        <v>142</v>
      </c>
      <c r="G8" s="12">
        <v>1</v>
      </c>
      <c r="H8" s="13">
        <v>25</v>
      </c>
      <c r="I8" s="34">
        <v>2000</v>
      </c>
      <c r="J8" s="5">
        <v>2120</v>
      </c>
      <c r="K8" s="15">
        <f>L8</f>
        <v>2117</v>
      </c>
      <c r="L8" s="15">
        <f>2117</f>
        <v>2117</v>
      </c>
      <c r="M8" s="16">
        <f t="shared" si="0"/>
        <v>2117</v>
      </c>
      <c r="N8" s="16">
        <v>0</v>
      </c>
      <c r="O8" s="62">
        <f t="shared" si="1"/>
        <v>0</v>
      </c>
      <c r="P8" s="42">
        <f t="shared" si="2"/>
        <v>13</v>
      </c>
      <c r="Q8" s="43">
        <f t="shared" si="3"/>
        <v>11</v>
      </c>
      <c r="R8" s="7"/>
      <c r="S8" s="6"/>
      <c r="T8" s="17"/>
      <c r="U8" s="17"/>
      <c r="V8" s="18"/>
      <c r="W8" s="19">
        <v>11</v>
      </c>
      <c r="X8" s="17"/>
      <c r="Y8" s="20"/>
      <c r="Z8" s="20"/>
      <c r="AA8" s="21"/>
      <c r="AB8" s="8">
        <f t="shared" si="4"/>
        <v>0.99858490566037739</v>
      </c>
      <c r="AC8" s="9">
        <f t="shared" si="5"/>
        <v>0.54166666666666663</v>
      </c>
      <c r="AD8" s="10">
        <f t="shared" si="6"/>
        <v>0.54090015723270435</v>
      </c>
      <c r="AE8" s="39">
        <f t="shared" si="7"/>
        <v>0.29976705520173852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121</v>
      </c>
      <c r="D9" s="55" t="s">
        <v>241</v>
      </c>
      <c r="E9" s="57" t="s">
        <v>242</v>
      </c>
      <c r="F9" s="33" t="s">
        <v>243</v>
      </c>
      <c r="G9" s="36">
        <v>1</v>
      </c>
      <c r="H9" s="38">
        <v>25</v>
      </c>
      <c r="I9" s="7">
        <v>6500</v>
      </c>
      <c r="J9" s="5">
        <v>3290</v>
      </c>
      <c r="K9" s="15">
        <f>L9+5257+3282</f>
        <v>8539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0.29976705520173852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246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0.29976705520173852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161</v>
      </c>
      <c r="E11" s="57" t="s">
        <v>162</v>
      </c>
      <c r="F11" s="12" t="s">
        <v>163</v>
      </c>
      <c r="G11" s="12">
        <v>1</v>
      </c>
      <c r="H11" s="13">
        <v>25</v>
      </c>
      <c r="I11" s="34">
        <v>10000</v>
      </c>
      <c r="J11" s="14">
        <v>2330</v>
      </c>
      <c r="K11" s="15">
        <f>L11+4490+5182+2328</f>
        <v>12000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0.29976705520173852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197</v>
      </c>
      <c r="D12" s="55" t="s">
        <v>198</v>
      </c>
      <c r="E12" s="57" t="s">
        <v>199</v>
      </c>
      <c r="F12" s="12" t="s">
        <v>200</v>
      </c>
      <c r="G12" s="12">
        <v>1</v>
      </c>
      <c r="H12" s="13">
        <v>25</v>
      </c>
      <c r="I12" s="7">
        <v>20000</v>
      </c>
      <c r="J12" s="14">
        <v>725</v>
      </c>
      <c r="K12" s="15">
        <f>L12+4234+5649+725</f>
        <v>10608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0.29976705520173852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114</v>
      </c>
      <c r="D13" s="55" t="s">
        <v>373</v>
      </c>
      <c r="E13" s="57" t="s">
        <v>374</v>
      </c>
      <c r="F13" s="12" t="s">
        <v>375</v>
      </c>
      <c r="G13" s="12">
        <v>1</v>
      </c>
      <c r="H13" s="13">
        <v>25</v>
      </c>
      <c r="I13" s="7">
        <v>2000</v>
      </c>
      <c r="J13" s="14">
        <v>1440</v>
      </c>
      <c r="K13" s="15">
        <f>L13+5059</f>
        <v>6490</v>
      </c>
      <c r="L13" s="15">
        <v>1431</v>
      </c>
      <c r="M13" s="16">
        <f t="shared" si="0"/>
        <v>1431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0.99375000000000002</v>
      </c>
      <c r="AC13" s="9">
        <f t="shared" si="5"/>
        <v>0.25</v>
      </c>
      <c r="AD13" s="10">
        <f t="shared" si="6"/>
        <v>0.24843750000000001</v>
      </c>
      <c r="AE13" s="39">
        <f t="shared" si="7"/>
        <v>0.29976705520173852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137</v>
      </c>
      <c r="F14" s="33" t="s">
        <v>128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0.29976705520173852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166</v>
      </c>
      <c r="D15" s="55" t="s">
        <v>138</v>
      </c>
      <c r="E15" s="57" t="s">
        <v>167</v>
      </c>
      <c r="F15" s="12">
        <v>8301</v>
      </c>
      <c r="G15" s="12">
        <v>1</v>
      </c>
      <c r="H15" s="13">
        <v>24</v>
      </c>
      <c r="I15" s="34">
        <v>1000</v>
      </c>
      <c r="J15" s="14">
        <v>2780</v>
      </c>
      <c r="K15" s="15">
        <f>L15+1100</f>
        <v>1100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0.29976705520173852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197</v>
      </c>
      <c r="D16" s="55" t="s">
        <v>198</v>
      </c>
      <c r="E16" s="57" t="s">
        <v>199</v>
      </c>
      <c r="F16" s="12" t="s">
        <v>200</v>
      </c>
      <c r="G16" s="12">
        <v>1</v>
      </c>
      <c r="H16" s="13">
        <v>25</v>
      </c>
      <c r="I16" s="7">
        <v>20000</v>
      </c>
      <c r="J16" s="14">
        <v>5340</v>
      </c>
      <c r="K16" s="15">
        <f>L16+4234+5649+725+2714+5502</f>
        <v>24159</v>
      </c>
      <c r="L16" s="15">
        <f>2844+2491</f>
        <v>5335</v>
      </c>
      <c r="M16" s="16">
        <f t="shared" si="0"/>
        <v>5335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0.99906367041198507</v>
      </c>
      <c r="AC16" s="9">
        <f t="shared" si="5"/>
        <v>1</v>
      </c>
      <c r="AD16" s="10">
        <f t="shared" si="6"/>
        <v>0.99906367041198507</v>
      </c>
      <c r="AE16" s="39">
        <f t="shared" si="7"/>
        <v>0.29976705520173852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126</v>
      </c>
      <c r="E17" s="57" t="s">
        <v>143</v>
      </c>
      <c r="F17" s="12" t="s">
        <v>140</v>
      </c>
      <c r="G17" s="12">
        <v>1</v>
      </c>
      <c r="H17" s="13">
        <v>25</v>
      </c>
      <c r="I17" s="34">
        <v>1700</v>
      </c>
      <c r="J17" s="5">
        <v>1680</v>
      </c>
      <c r="K17" s="15">
        <f>L17+416+1674</f>
        <v>2090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0.29976705520173852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121</v>
      </c>
      <c r="D18" s="55" t="s">
        <v>423</v>
      </c>
      <c r="E18" s="57" t="s">
        <v>424</v>
      </c>
      <c r="F18" s="12">
        <v>7301</v>
      </c>
      <c r="G18" s="12">
        <v>2</v>
      </c>
      <c r="H18" s="13">
        <v>24</v>
      </c>
      <c r="I18" s="34">
        <v>7000</v>
      </c>
      <c r="J18" s="14">
        <v>5100</v>
      </c>
      <c r="K18" s="15">
        <f>L18</f>
        <v>5100</v>
      </c>
      <c r="L18" s="15">
        <f>2550*2</f>
        <v>5100</v>
      </c>
      <c r="M18" s="16">
        <f t="shared" si="0"/>
        <v>5100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/>
      <c r="T18" s="17">
        <v>6</v>
      </c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0.75</v>
      </c>
      <c r="AD18" s="10">
        <f t="shared" si="6"/>
        <v>0.75</v>
      </c>
      <c r="AE18" s="39">
        <f t="shared" si="7"/>
        <v>0.29976705520173852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425</v>
      </c>
      <c r="D19" s="55" t="s">
        <v>124</v>
      </c>
      <c r="E19" s="57" t="s">
        <v>426</v>
      </c>
      <c r="F19" s="12" t="s">
        <v>135</v>
      </c>
      <c r="G19" s="12">
        <v>1</v>
      </c>
      <c r="H19" s="13">
        <v>25</v>
      </c>
      <c r="I19" s="7">
        <v>10000</v>
      </c>
      <c r="J19" s="14">
        <v>4480</v>
      </c>
      <c r="K19" s="15">
        <f>L19</f>
        <v>4480</v>
      </c>
      <c r="L19" s="15">
        <f>2473+2007</f>
        <v>4480</v>
      </c>
      <c r="M19" s="16">
        <f t="shared" si="0"/>
        <v>4480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/>
      <c r="T19" s="17">
        <v>1</v>
      </c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0.95833333333333337</v>
      </c>
      <c r="AD19" s="10">
        <f t="shared" si="6"/>
        <v>0.95833333333333337</v>
      </c>
      <c r="AE19" s="39">
        <f t="shared" si="7"/>
        <v>0.29976705520173852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0.29976705520173852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905700</v>
      </c>
      <c r="J21" s="22">
        <f t="shared" si="9"/>
        <v>40365</v>
      </c>
      <c r="K21" s="23">
        <f t="shared" si="9"/>
        <v>476718</v>
      </c>
      <c r="L21" s="24">
        <f t="shared" si="9"/>
        <v>22832</v>
      </c>
      <c r="M21" s="23">
        <f t="shared" si="9"/>
        <v>22832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108</v>
      </c>
      <c r="Q21" s="46">
        <f t="shared" si="10"/>
        <v>252</v>
      </c>
      <c r="R21" s="26">
        <f t="shared" si="10"/>
        <v>0</v>
      </c>
      <c r="S21" s="27">
        <f t="shared" si="10"/>
        <v>24</v>
      </c>
      <c r="T21" s="27">
        <f t="shared" si="10"/>
        <v>7</v>
      </c>
      <c r="U21" s="27">
        <f t="shared" si="10"/>
        <v>0</v>
      </c>
      <c r="V21" s="28">
        <f t="shared" si="10"/>
        <v>0</v>
      </c>
      <c r="W21" s="29">
        <f t="shared" si="10"/>
        <v>173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48</v>
      </c>
      <c r="AB21" s="31">
        <f>SUM(AB6:AB20)/15</f>
        <v>0.39941131620802783</v>
      </c>
      <c r="AC21" s="4">
        <f>SUM(AC6:AC20)/15</f>
        <v>0.3</v>
      </c>
      <c r="AD21" s="4">
        <f>SUM(AD6:AD20)/15</f>
        <v>0.29976705520173852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427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435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198" t="s">
        <v>46</v>
      </c>
      <c r="D50" s="198" t="s">
        <v>47</v>
      </c>
      <c r="E50" s="198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198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9" t="s">
        <v>377</v>
      </c>
      <c r="B51" s="400"/>
      <c r="C51" s="201" t="s">
        <v>378</v>
      </c>
      <c r="D51" s="200" t="s">
        <v>421</v>
      </c>
      <c r="E51" s="201" t="s">
        <v>422</v>
      </c>
      <c r="F51" s="397" t="s">
        <v>329</v>
      </c>
      <c r="G51" s="397"/>
      <c r="H51" s="397"/>
      <c r="I51" s="397"/>
      <c r="J51" s="397"/>
      <c r="K51" s="397"/>
      <c r="L51" s="397"/>
      <c r="M51" s="398"/>
      <c r="N51" s="199" t="s">
        <v>114</v>
      </c>
      <c r="O51" s="74" t="s">
        <v>437</v>
      </c>
      <c r="P51" s="396" t="s">
        <v>124</v>
      </c>
      <c r="Q51" s="396"/>
      <c r="R51" s="396" t="s">
        <v>436</v>
      </c>
      <c r="S51" s="396"/>
      <c r="T51" s="396"/>
      <c r="U51" s="396"/>
      <c r="V51" s="397" t="s">
        <v>272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428</v>
      </c>
      <c r="B52" s="396"/>
      <c r="C52" s="200" t="s">
        <v>429</v>
      </c>
      <c r="D52" s="200" t="s">
        <v>430</v>
      </c>
      <c r="E52" s="200" t="s">
        <v>431</v>
      </c>
      <c r="F52" s="397" t="s">
        <v>383</v>
      </c>
      <c r="G52" s="397"/>
      <c r="H52" s="397"/>
      <c r="I52" s="397"/>
      <c r="J52" s="397"/>
      <c r="K52" s="397"/>
      <c r="L52" s="397"/>
      <c r="M52" s="398"/>
      <c r="N52" s="199" t="s">
        <v>432</v>
      </c>
      <c r="O52" s="74" t="s">
        <v>433</v>
      </c>
      <c r="P52" s="396" t="s">
        <v>439</v>
      </c>
      <c r="Q52" s="396"/>
      <c r="R52" s="396" t="s">
        <v>438</v>
      </c>
      <c r="S52" s="396"/>
      <c r="T52" s="396"/>
      <c r="U52" s="396"/>
      <c r="V52" s="397" t="s">
        <v>272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432</v>
      </c>
      <c r="B53" s="396"/>
      <c r="C53" s="200" t="s">
        <v>433</v>
      </c>
      <c r="D53" s="200" t="s">
        <v>434</v>
      </c>
      <c r="E53" s="200" t="s">
        <v>424</v>
      </c>
      <c r="F53" s="397" t="s">
        <v>383</v>
      </c>
      <c r="G53" s="397"/>
      <c r="H53" s="397"/>
      <c r="I53" s="397"/>
      <c r="J53" s="397"/>
      <c r="K53" s="397"/>
      <c r="L53" s="397"/>
      <c r="M53" s="398"/>
      <c r="N53" s="199" t="s">
        <v>441</v>
      </c>
      <c r="O53" s="74" t="s">
        <v>445</v>
      </c>
      <c r="P53" s="396"/>
      <c r="Q53" s="396"/>
      <c r="R53" s="396" t="s">
        <v>440</v>
      </c>
      <c r="S53" s="396"/>
      <c r="T53" s="396"/>
      <c r="U53" s="396"/>
      <c r="V53" s="397" t="s">
        <v>272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/>
      <c r="B54" s="396"/>
      <c r="C54" s="200"/>
      <c r="D54" s="200"/>
      <c r="E54" s="200"/>
      <c r="F54" s="397"/>
      <c r="G54" s="397"/>
      <c r="H54" s="397"/>
      <c r="I54" s="397"/>
      <c r="J54" s="397"/>
      <c r="K54" s="397"/>
      <c r="L54" s="397"/>
      <c r="M54" s="398"/>
      <c r="N54" s="199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200"/>
      <c r="D55" s="200"/>
      <c r="E55" s="200"/>
      <c r="F55" s="397"/>
      <c r="G55" s="397"/>
      <c r="H55" s="397"/>
      <c r="I55" s="397"/>
      <c r="J55" s="397"/>
      <c r="K55" s="397"/>
      <c r="L55" s="397"/>
      <c r="M55" s="398"/>
      <c r="N55" s="199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9"/>
      <c r="B56" s="400"/>
      <c r="C56" s="201"/>
      <c r="D56" s="200"/>
      <c r="E56" s="201"/>
      <c r="F56" s="397"/>
      <c r="G56" s="397"/>
      <c r="H56" s="397"/>
      <c r="I56" s="397"/>
      <c r="J56" s="397"/>
      <c r="K56" s="397"/>
      <c r="L56" s="397"/>
      <c r="M56" s="398"/>
      <c r="N56" s="199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/>
      <c r="B57" s="400"/>
      <c r="C57" s="201"/>
      <c r="D57" s="200"/>
      <c r="E57" s="201"/>
      <c r="F57" s="397"/>
      <c r="G57" s="397"/>
      <c r="H57" s="397"/>
      <c r="I57" s="397"/>
      <c r="J57" s="397"/>
      <c r="K57" s="397"/>
      <c r="L57" s="397"/>
      <c r="M57" s="398"/>
      <c r="N57" s="199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201"/>
      <c r="D58" s="200"/>
      <c r="E58" s="201"/>
      <c r="F58" s="397"/>
      <c r="G58" s="397"/>
      <c r="H58" s="397"/>
      <c r="I58" s="397"/>
      <c r="J58" s="397"/>
      <c r="K58" s="397"/>
      <c r="L58" s="397"/>
      <c r="M58" s="398"/>
      <c r="N58" s="199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200"/>
      <c r="D59" s="200"/>
      <c r="E59" s="200"/>
      <c r="F59" s="397"/>
      <c r="G59" s="397"/>
      <c r="H59" s="397"/>
      <c r="I59" s="397"/>
      <c r="J59" s="397"/>
      <c r="K59" s="397"/>
      <c r="L59" s="397"/>
      <c r="M59" s="398"/>
      <c r="N59" s="199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203"/>
      <c r="D60" s="203"/>
      <c r="E60" s="203"/>
      <c r="F60" s="403"/>
      <c r="G60" s="403"/>
      <c r="H60" s="403"/>
      <c r="I60" s="403"/>
      <c r="J60" s="403"/>
      <c r="K60" s="403"/>
      <c r="L60" s="403"/>
      <c r="M60" s="404"/>
      <c r="N60" s="202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442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04" t="s">
        <v>2</v>
      </c>
      <c r="D62" s="204" t="s">
        <v>37</v>
      </c>
      <c r="E62" s="204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04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114</v>
      </c>
      <c r="D63" s="207"/>
      <c r="E63" s="205" t="s">
        <v>393</v>
      </c>
      <c r="F63" s="416" t="s">
        <v>394</v>
      </c>
      <c r="G63" s="417"/>
      <c r="H63" s="417"/>
      <c r="I63" s="417"/>
      <c r="J63" s="417"/>
      <c r="K63" s="417" t="s">
        <v>395</v>
      </c>
      <c r="L63" s="417"/>
      <c r="M63" s="54" t="s">
        <v>396</v>
      </c>
      <c r="N63" s="417">
        <v>4</v>
      </c>
      <c r="O63" s="417"/>
      <c r="P63" s="418">
        <v>50</v>
      </c>
      <c r="Q63" s="418"/>
      <c r="R63" s="397" t="s">
        <v>443</v>
      </c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 t="s">
        <v>444</v>
      </c>
      <c r="D64" s="207"/>
      <c r="E64" s="205" t="s">
        <v>446</v>
      </c>
      <c r="F64" s="416" t="s">
        <v>447</v>
      </c>
      <c r="G64" s="417"/>
      <c r="H64" s="417"/>
      <c r="I64" s="417"/>
      <c r="J64" s="417"/>
      <c r="K64" s="417">
        <v>7301</v>
      </c>
      <c r="L64" s="417"/>
      <c r="M64" s="54" t="s">
        <v>448</v>
      </c>
      <c r="N64" s="417">
        <v>13</v>
      </c>
      <c r="O64" s="417"/>
      <c r="P64" s="418">
        <v>30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 t="s">
        <v>444</v>
      </c>
      <c r="D65" s="207"/>
      <c r="E65" s="205" t="s">
        <v>126</v>
      </c>
      <c r="F65" s="416" t="s">
        <v>449</v>
      </c>
      <c r="G65" s="417"/>
      <c r="H65" s="417"/>
      <c r="I65" s="417"/>
      <c r="J65" s="417"/>
      <c r="K65" s="417">
        <v>8301</v>
      </c>
      <c r="L65" s="417"/>
      <c r="M65" s="54" t="s">
        <v>448</v>
      </c>
      <c r="N65" s="417">
        <v>12</v>
      </c>
      <c r="O65" s="417"/>
      <c r="P65" s="418">
        <v>30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 t="s">
        <v>450</v>
      </c>
      <c r="D66" s="207"/>
      <c r="E66" s="205"/>
      <c r="F66" s="416" t="s">
        <v>451</v>
      </c>
      <c r="G66" s="417"/>
      <c r="H66" s="417"/>
      <c r="I66" s="417"/>
      <c r="J66" s="417"/>
      <c r="K66" s="417" t="s">
        <v>452</v>
      </c>
      <c r="L66" s="417"/>
      <c r="M66" s="54" t="s">
        <v>453</v>
      </c>
      <c r="N66" s="417">
        <v>6</v>
      </c>
      <c r="O66" s="417"/>
      <c r="P66" s="418">
        <v>50</v>
      </c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 t="s">
        <v>125</v>
      </c>
      <c r="D67" s="207"/>
      <c r="E67" s="205" t="s">
        <v>411</v>
      </c>
      <c r="F67" s="416" t="s">
        <v>412</v>
      </c>
      <c r="G67" s="417"/>
      <c r="H67" s="417"/>
      <c r="I67" s="417"/>
      <c r="J67" s="417"/>
      <c r="K67" s="417" t="s">
        <v>413</v>
      </c>
      <c r="L67" s="417"/>
      <c r="M67" s="54" t="s">
        <v>407</v>
      </c>
      <c r="N67" s="417">
        <v>5</v>
      </c>
      <c r="O67" s="417"/>
      <c r="P67" s="418">
        <v>60</v>
      </c>
      <c r="Q67" s="418"/>
      <c r="R67" s="397" t="s">
        <v>457</v>
      </c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 t="s">
        <v>444</v>
      </c>
      <c r="D68" s="207"/>
      <c r="E68" s="205" t="s">
        <v>454</v>
      </c>
      <c r="F68" s="416" t="s">
        <v>455</v>
      </c>
      <c r="G68" s="417"/>
      <c r="H68" s="417"/>
      <c r="I68" s="417"/>
      <c r="J68" s="417"/>
      <c r="K68" s="417" t="s">
        <v>456</v>
      </c>
      <c r="L68" s="417"/>
      <c r="M68" s="54" t="s">
        <v>448</v>
      </c>
      <c r="N68" s="417">
        <v>12</v>
      </c>
      <c r="O68" s="417"/>
      <c r="P68" s="418">
        <v>50</v>
      </c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 t="s">
        <v>458</v>
      </c>
      <c r="D69" s="207"/>
      <c r="E69" s="205" t="s">
        <v>459</v>
      </c>
      <c r="F69" s="416" t="s">
        <v>460</v>
      </c>
      <c r="G69" s="417"/>
      <c r="H69" s="417"/>
      <c r="I69" s="417"/>
      <c r="J69" s="417"/>
      <c r="K69" s="417" t="s">
        <v>413</v>
      </c>
      <c r="L69" s="417"/>
      <c r="M69" s="54" t="s">
        <v>407</v>
      </c>
      <c r="N69" s="417">
        <v>7</v>
      </c>
      <c r="O69" s="417"/>
      <c r="P69" s="418"/>
      <c r="Q69" s="418"/>
      <c r="R69" s="397" t="s">
        <v>461</v>
      </c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 t="s">
        <v>125</v>
      </c>
      <c r="D70" s="207"/>
      <c r="E70" s="205" t="s">
        <v>348</v>
      </c>
      <c r="F70" s="416" t="s">
        <v>349</v>
      </c>
      <c r="G70" s="417"/>
      <c r="H70" s="417"/>
      <c r="I70" s="417"/>
      <c r="J70" s="417"/>
      <c r="K70" s="417" t="s">
        <v>350</v>
      </c>
      <c r="L70" s="417"/>
      <c r="M70" s="54" t="s">
        <v>351</v>
      </c>
      <c r="N70" s="417">
        <v>4</v>
      </c>
      <c r="O70" s="417"/>
      <c r="P70" s="418">
        <v>50</v>
      </c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463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206" t="s">
        <v>2</v>
      </c>
      <c r="D72" s="206" t="s">
        <v>37</v>
      </c>
      <c r="E72" s="206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208" t="s">
        <v>114</v>
      </c>
      <c r="D73" s="208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207" t="s">
        <v>114</v>
      </c>
      <c r="D74" s="207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207"/>
      <c r="D75" s="207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207"/>
      <c r="D76" s="207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207"/>
      <c r="D77" s="207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207"/>
      <c r="D78" s="207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207"/>
      <c r="D79" s="207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207"/>
      <c r="D80" s="207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207"/>
      <c r="D81" s="207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464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M17" sqref="M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465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20" t="s">
        <v>17</v>
      </c>
      <c r="L5" s="220" t="s">
        <v>18</v>
      </c>
      <c r="M5" s="220" t="s">
        <v>19</v>
      </c>
      <c r="N5" s="22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292</v>
      </c>
      <c r="F6" s="33" t="s">
        <v>131</v>
      </c>
      <c r="G6" s="36">
        <v>1</v>
      </c>
      <c r="H6" s="38">
        <v>25</v>
      </c>
      <c r="I6" s="7">
        <v>20000</v>
      </c>
      <c r="J6" s="5">
        <v>2615</v>
      </c>
      <c r="K6" s="15">
        <f>L6+4245+2684+4869+4369</f>
        <v>18782</v>
      </c>
      <c r="L6" s="15">
        <v>2615</v>
      </c>
      <c r="M6" s="16">
        <f t="shared" ref="M6:M21" si="0">L6-N6</f>
        <v>2615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13</v>
      </c>
      <c r="Q6" s="43">
        <f t="shared" ref="Q6:Q21" si="3">SUM(R6:AA6)</f>
        <v>11</v>
      </c>
      <c r="R6" s="7"/>
      <c r="S6" s="6"/>
      <c r="T6" s="17"/>
      <c r="U6" s="17"/>
      <c r="V6" s="18"/>
      <c r="W6" s="19">
        <v>11</v>
      </c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0.54166666666666663</v>
      </c>
      <c r="AD6" s="10">
        <f t="shared" ref="AD6:AD21" si="6">AC6*AB6*(1-O6)</f>
        <v>0.54166666666666663</v>
      </c>
      <c r="AE6" s="39">
        <f t="shared" ref="AE6:AE21" si="7">$AD$22</f>
        <v>0.34819987773552097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0.34819987773552097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114</v>
      </c>
      <c r="D8" s="55" t="s">
        <v>466</v>
      </c>
      <c r="E8" s="57" t="s">
        <v>467</v>
      </c>
      <c r="F8" s="33" t="s">
        <v>142</v>
      </c>
      <c r="G8" s="12">
        <v>1</v>
      </c>
      <c r="H8" s="13">
        <v>25</v>
      </c>
      <c r="I8" s="34">
        <v>200</v>
      </c>
      <c r="J8" s="5">
        <v>1124</v>
      </c>
      <c r="K8" s="15">
        <f>L8</f>
        <v>1124</v>
      </c>
      <c r="L8" s="15">
        <f>1124</f>
        <v>1124</v>
      </c>
      <c r="M8" s="16">
        <f t="shared" si="0"/>
        <v>1124</v>
      </c>
      <c r="N8" s="16">
        <v>0</v>
      </c>
      <c r="O8" s="62">
        <f t="shared" si="1"/>
        <v>0</v>
      </c>
      <c r="P8" s="42">
        <f t="shared" si="2"/>
        <v>9</v>
      </c>
      <c r="Q8" s="43">
        <f t="shared" si="3"/>
        <v>15</v>
      </c>
      <c r="R8" s="7"/>
      <c r="S8" s="6"/>
      <c r="T8" s="17"/>
      <c r="U8" s="17"/>
      <c r="V8" s="18"/>
      <c r="W8" s="19">
        <v>15</v>
      </c>
      <c r="X8" s="17"/>
      <c r="Y8" s="20"/>
      <c r="Z8" s="20"/>
      <c r="AA8" s="21"/>
      <c r="AB8" s="8">
        <f t="shared" si="4"/>
        <v>1</v>
      </c>
      <c r="AC8" s="9">
        <f t="shared" si="5"/>
        <v>0.375</v>
      </c>
      <c r="AD8" s="10">
        <f t="shared" si="6"/>
        <v>0.375</v>
      </c>
      <c r="AE8" s="39">
        <f t="shared" si="7"/>
        <v>0.34819987773552097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114</v>
      </c>
      <c r="D9" s="55" t="s">
        <v>124</v>
      </c>
      <c r="E9" s="57" t="s">
        <v>468</v>
      </c>
      <c r="F9" s="33" t="s">
        <v>469</v>
      </c>
      <c r="G9" s="36">
        <v>1</v>
      </c>
      <c r="H9" s="38">
        <v>25</v>
      </c>
      <c r="I9" s="7">
        <v>1000</v>
      </c>
      <c r="J9" s="5">
        <v>1281</v>
      </c>
      <c r="K9" s="15">
        <f>L9</f>
        <v>1281</v>
      </c>
      <c r="L9" s="15">
        <v>1281</v>
      </c>
      <c r="M9" s="16">
        <f t="shared" si="0"/>
        <v>1281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/>
      <c r="W9" s="19">
        <v>14</v>
      </c>
      <c r="X9" s="17"/>
      <c r="Y9" s="20"/>
      <c r="Z9" s="20"/>
      <c r="AA9" s="21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9">
        <f t="shared" si="7"/>
        <v>0.34819987773552097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0.34819987773552097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470</v>
      </c>
      <c r="D11" s="55"/>
      <c r="E11" s="57" t="s">
        <v>471</v>
      </c>
      <c r="F11" s="12" t="s">
        <v>472</v>
      </c>
      <c r="G11" s="12">
        <v>1</v>
      </c>
      <c r="H11" s="13">
        <v>25</v>
      </c>
      <c r="I11" s="34">
        <v>500</v>
      </c>
      <c r="J11" s="14">
        <v>662</v>
      </c>
      <c r="K11" s="15">
        <f>L11</f>
        <v>662</v>
      </c>
      <c r="L11" s="15">
        <v>662</v>
      </c>
      <c r="M11" s="16">
        <f t="shared" si="0"/>
        <v>662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9">
        <f t="shared" si="7"/>
        <v>0.34819987773552097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121</v>
      </c>
      <c r="D12" s="55" t="s">
        <v>138</v>
      </c>
      <c r="E12" s="57" t="s">
        <v>473</v>
      </c>
      <c r="F12" s="12" t="s">
        <v>474</v>
      </c>
      <c r="G12" s="12">
        <v>1</v>
      </c>
      <c r="H12" s="13">
        <v>25</v>
      </c>
      <c r="I12" s="7">
        <v>6500</v>
      </c>
      <c r="J12" s="14">
        <v>2900</v>
      </c>
      <c r="K12" s="15">
        <f>L12</f>
        <v>2892</v>
      </c>
      <c r="L12" s="15">
        <v>2892</v>
      </c>
      <c r="M12" s="16">
        <f t="shared" si="0"/>
        <v>2892</v>
      </c>
      <c r="N12" s="16">
        <v>0</v>
      </c>
      <c r="O12" s="62">
        <f t="shared" si="1"/>
        <v>0</v>
      </c>
      <c r="P12" s="42">
        <f t="shared" si="2"/>
        <v>15</v>
      </c>
      <c r="Q12" s="43">
        <f t="shared" si="3"/>
        <v>9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9</v>
      </c>
      <c r="AB12" s="8">
        <f t="shared" si="4"/>
        <v>0.99724137931034484</v>
      </c>
      <c r="AC12" s="9">
        <f t="shared" si="5"/>
        <v>0.625</v>
      </c>
      <c r="AD12" s="10">
        <f t="shared" si="6"/>
        <v>0.62327586206896557</v>
      </c>
      <c r="AE12" s="39">
        <f t="shared" si="7"/>
        <v>0.34819987773552097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475</v>
      </c>
      <c r="E13" s="57" t="s">
        <v>476</v>
      </c>
      <c r="F13" s="12" t="s">
        <v>130</v>
      </c>
      <c r="G13" s="12">
        <v>1</v>
      </c>
      <c r="H13" s="13">
        <v>25</v>
      </c>
      <c r="I13" s="7">
        <v>6500</v>
      </c>
      <c r="J13" s="14">
        <v>2757</v>
      </c>
      <c r="K13" s="15">
        <f>L13</f>
        <v>2757</v>
      </c>
      <c r="L13" s="15">
        <v>2757</v>
      </c>
      <c r="M13" s="16">
        <f t="shared" si="0"/>
        <v>2757</v>
      </c>
      <c r="N13" s="16">
        <v>0</v>
      </c>
      <c r="O13" s="62">
        <f t="shared" si="1"/>
        <v>0</v>
      </c>
      <c r="P13" s="42">
        <f t="shared" si="2"/>
        <v>14</v>
      </c>
      <c r="Q13" s="43">
        <f t="shared" si="3"/>
        <v>10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10</v>
      </c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9">
        <f t="shared" si="7"/>
        <v>0.34819987773552097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137</v>
      </c>
      <c r="F14" s="33" t="s">
        <v>128</v>
      </c>
      <c r="G14" s="36">
        <v>1</v>
      </c>
      <c r="H14" s="38">
        <v>25</v>
      </c>
      <c r="I14" s="7">
        <v>2600</v>
      </c>
      <c r="J14" s="5">
        <v>2780</v>
      </c>
      <c r="K14" s="15">
        <f>L14+362+578+779+823+778+542</f>
        <v>3862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0.34819987773552097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166</v>
      </c>
      <c r="D15" s="55" t="s">
        <v>138</v>
      </c>
      <c r="E15" s="57" t="s">
        <v>167</v>
      </c>
      <c r="F15" s="12">
        <v>8301</v>
      </c>
      <c r="G15" s="12">
        <v>1</v>
      </c>
      <c r="H15" s="13">
        <v>24</v>
      </c>
      <c r="I15" s="34">
        <v>1000</v>
      </c>
      <c r="J15" s="14">
        <v>2780</v>
      </c>
      <c r="K15" s="15">
        <f>L15+1100</f>
        <v>1100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0.34819987773552097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197</v>
      </c>
      <c r="D16" s="55" t="s">
        <v>198</v>
      </c>
      <c r="E16" s="57" t="s">
        <v>199</v>
      </c>
      <c r="F16" s="12" t="s">
        <v>200</v>
      </c>
      <c r="G16" s="12">
        <v>1</v>
      </c>
      <c r="H16" s="13">
        <v>25</v>
      </c>
      <c r="I16" s="7">
        <v>20000</v>
      </c>
      <c r="J16" s="14">
        <v>5585</v>
      </c>
      <c r="K16" s="15">
        <f>L16+4234+5649+725+2714+5502+5335</f>
        <v>29744</v>
      </c>
      <c r="L16" s="15">
        <f>2697+2888</f>
        <v>5585</v>
      </c>
      <c r="M16" s="16">
        <f t="shared" si="0"/>
        <v>5585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1</v>
      </c>
      <c r="AD16" s="10">
        <f t="shared" si="6"/>
        <v>1</v>
      </c>
      <c r="AE16" s="39">
        <f t="shared" si="7"/>
        <v>0.34819987773552097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126</v>
      </c>
      <c r="E17" s="57" t="s">
        <v>143</v>
      </c>
      <c r="F17" s="12" t="s">
        <v>140</v>
      </c>
      <c r="G17" s="12">
        <v>1</v>
      </c>
      <c r="H17" s="13">
        <v>25</v>
      </c>
      <c r="I17" s="34">
        <v>1700</v>
      </c>
      <c r="J17" s="5">
        <v>1680</v>
      </c>
      <c r="K17" s="15">
        <f>L17+416+1674</f>
        <v>2090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0.34819987773552097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121</v>
      </c>
      <c r="D18" s="55" t="s">
        <v>423</v>
      </c>
      <c r="E18" s="57" t="s">
        <v>424</v>
      </c>
      <c r="F18" s="12">
        <v>7301</v>
      </c>
      <c r="G18" s="12">
        <v>2</v>
      </c>
      <c r="H18" s="13">
        <v>24</v>
      </c>
      <c r="I18" s="34">
        <v>7000</v>
      </c>
      <c r="J18" s="14">
        <v>5100</v>
      </c>
      <c r="K18" s="15">
        <f>L18+5100</f>
        <v>6600</v>
      </c>
      <c r="L18" s="15">
        <v>1500</v>
      </c>
      <c r="M18" s="16">
        <f t="shared" si="0"/>
        <v>1500</v>
      </c>
      <c r="N18" s="16">
        <v>0</v>
      </c>
      <c r="O18" s="62">
        <f t="shared" si="1"/>
        <v>0</v>
      </c>
      <c r="P18" s="42">
        <f t="shared" si="2"/>
        <v>5</v>
      </c>
      <c r="Q18" s="43">
        <f t="shared" si="3"/>
        <v>19</v>
      </c>
      <c r="R18" s="7"/>
      <c r="S18" s="6"/>
      <c r="T18" s="17"/>
      <c r="U18" s="17"/>
      <c r="V18" s="18"/>
      <c r="W18" s="19">
        <v>19</v>
      </c>
      <c r="X18" s="17"/>
      <c r="Y18" s="20"/>
      <c r="Z18" s="20"/>
      <c r="AA18" s="21"/>
      <c r="AB18" s="8">
        <f t="shared" si="4"/>
        <v>0.29411764705882354</v>
      </c>
      <c r="AC18" s="9">
        <f t="shared" si="5"/>
        <v>0.20833333333333334</v>
      </c>
      <c r="AD18" s="10">
        <f t="shared" si="6"/>
        <v>6.1274509803921573E-2</v>
      </c>
      <c r="AE18" s="39">
        <f t="shared" si="7"/>
        <v>0.34819987773552097</v>
      </c>
      <c r="AF18" s="94">
        <f t="shared" si="8"/>
        <v>13</v>
      </c>
    </row>
    <row r="19" spans="1:32" ht="27" customHeight="1">
      <c r="A19" s="110">
        <v>13</v>
      </c>
      <c r="B19" s="11" t="s">
        <v>57</v>
      </c>
      <c r="C19" s="11" t="s">
        <v>121</v>
      </c>
      <c r="D19" s="55" t="s">
        <v>136</v>
      </c>
      <c r="E19" s="57" t="s">
        <v>477</v>
      </c>
      <c r="F19" s="12" t="s">
        <v>474</v>
      </c>
      <c r="G19" s="12">
        <v>1</v>
      </c>
      <c r="H19" s="13">
        <v>24</v>
      </c>
      <c r="I19" s="34">
        <v>6500</v>
      </c>
      <c r="J19" s="14">
        <v>2890</v>
      </c>
      <c r="K19" s="15">
        <f>L19+5100</f>
        <v>7984</v>
      </c>
      <c r="L19" s="15">
        <f>391+2493</f>
        <v>2884</v>
      </c>
      <c r="M19" s="16">
        <f t="shared" ref="M19" si="9">L19-N19</f>
        <v>2884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18</v>
      </c>
      <c r="Q19" s="43">
        <f t="shared" ref="Q19" si="12">SUM(R19:AA19)</f>
        <v>6</v>
      </c>
      <c r="R19" s="7"/>
      <c r="S19" s="6"/>
      <c r="T19" s="17">
        <v>6</v>
      </c>
      <c r="U19" s="17"/>
      <c r="V19" s="18"/>
      <c r="W19" s="19"/>
      <c r="X19" s="17"/>
      <c r="Y19" s="20"/>
      <c r="Z19" s="20"/>
      <c r="AA19" s="21"/>
      <c r="AB19" s="8">
        <f t="shared" ref="AB19" si="13">IF(J19=0,"0",(L19/J19))</f>
        <v>0.99792387543252592</v>
      </c>
      <c r="AC19" s="9">
        <f t="shared" ref="AC19" si="14">IF(P19=0,"0",(P19/24))</f>
        <v>0.75</v>
      </c>
      <c r="AD19" s="10">
        <f t="shared" ref="AD19" si="15">AC19*AB19*(1-O19)</f>
        <v>0.7484429065743945</v>
      </c>
      <c r="AE19" s="39">
        <f t="shared" si="7"/>
        <v>0.34819987773552097</v>
      </c>
      <c r="AF19" s="94">
        <f t="shared" ref="AF19" si="16">A19</f>
        <v>13</v>
      </c>
    </row>
    <row r="20" spans="1:32" ht="27" customHeight="1">
      <c r="A20" s="110">
        <v>14</v>
      </c>
      <c r="B20" s="11" t="s">
        <v>57</v>
      </c>
      <c r="C20" s="11" t="s">
        <v>425</v>
      </c>
      <c r="D20" s="55" t="s">
        <v>124</v>
      </c>
      <c r="E20" s="57" t="s">
        <v>426</v>
      </c>
      <c r="F20" s="12" t="s">
        <v>135</v>
      </c>
      <c r="G20" s="12">
        <v>1</v>
      </c>
      <c r="H20" s="13">
        <v>25</v>
      </c>
      <c r="I20" s="7">
        <v>10000</v>
      </c>
      <c r="J20" s="14">
        <v>3410</v>
      </c>
      <c r="K20" s="15">
        <f>L20+4480</f>
        <v>7882</v>
      </c>
      <c r="L20" s="15">
        <f>2361+1041</f>
        <v>3402</v>
      </c>
      <c r="M20" s="16">
        <f t="shared" si="0"/>
        <v>3402</v>
      </c>
      <c r="N20" s="16">
        <v>0</v>
      </c>
      <c r="O20" s="62">
        <f t="shared" si="1"/>
        <v>0</v>
      </c>
      <c r="P20" s="42">
        <f t="shared" si="2"/>
        <v>17</v>
      </c>
      <c r="Q20" s="43">
        <f t="shared" si="3"/>
        <v>7</v>
      </c>
      <c r="R20" s="7"/>
      <c r="S20" s="6">
        <v>7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0.99765395894428155</v>
      </c>
      <c r="AC20" s="9">
        <f t="shared" si="5"/>
        <v>0.70833333333333337</v>
      </c>
      <c r="AD20" s="10">
        <f t="shared" si="6"/>
        <v>0.70667155425219952</v>
      </c>
      <c r="AE20" s="39">
        <f t="shared" si="7"/>
        <v>0.34819987773552097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122</v>
      </c>
      <c r="D21" s="55"/>
      <c r="E21" s="56" t="s">
        <v>127</v>
      </c>
      <c r="F21" s="12" t="s">
        <v>123</v>
      </c>
      <c r="G21" s="12">
        <v>4</v>
      </c>
      <c r="H21" s="38">
        <v>20</v>
      </c>
      <c r="I21" s="7">
        <v>800000</v>
      </c>
      <c r="J21" s="14">
        <v>2230</v>
      </c>
      <c r="K21" s="15">
        <f>L21+29128+42972+45096+45728+43064+5640+29816+42972+44600+38336+6084+2224</f>
        <v>375660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0.34819987773552097</v>
      </c>
      <c r="AF21" s="94">
        <f t="shared" si="8"/>
        <v>15</v>
      </c>
    </row>
    <row r="22" spans="1:32" ht="31.5" customHeight="1" thickBot="1">
      <c r="A22" s="368" t="s">
        <v>34</v>
      </c>
      <c r="B22" s="369"/>
      <c r="C22" s="369"/>
      <c r="D22" s="369"/>
      <c r="E22" s="369"/>
      <c r="F22" s="369"/>
      <c r="G22" s="369"/>
      <c r="H22" s="370"/>
      <c r="I22" s="25">
        <f t="shared" ref="I22:N22" si="17">SUM(I6:I21)</f>
        <v>886400</v>
      </c>
      <c r="J22" s="22">
        <f t="shared" si="17"/>
        <v>39494</v>
      </c>
      <c r="K22" s="23">
        <f t="shared" si="17"/>
        <v>466766</v>
      </c>
      <c r="L22" s="24">
        <f t="shared" si="17"/>
        <v>24702</v>
      </c>
      <c r="M22" s="23">
        <f t="shared" si="17"/>
        <v>24702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129</v>
      </c>
      <c r="Q22" s="46">
        <f t="shared" si="18"/>
        <v>255</v>
      </c>
      <c r="R22" s="26">
        <f t="shared" si="18"/>
        <v>0</v>
      </c>
      <c r="S22" s="27">
        <f t="shared" si="18"/>
        <v>31</v>
      </c>
      <c r="T22" s="27">
        <f t="shared" si="18"/>
        <v>6</v>
      </c>
      <c r="U22" s="27">
        <f t="shared" si="18"/>
        <v>0</v>
      </c>
      <c r="V22" s="28">
        <f t="shared" si="18"/>
        <v>0</v>
      </c>
      <c r="W22" s="29">
        <f t="shared" si="18"/>
        <v>199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19</v>
      </c>
      <c r="AB22" s="31">
        <f>SUM(AB6:AB21)/15</f>
        <v>0.61912912404973175</v>
      </c>
      <c r="AC22" s="4">
        <f>SUM(AC6:AC21)/15</f>
        <v>0.35833333333333334</v>
      </c>
      <c r="AD22" s="4">
        <f>SUM(AD6:AD21)/15</f>
        <v>0.34819987773552097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1" t="s">
        <v>45</v>
      </c>
      <c r="B49" s="371"/>
      <c r="C49" s="371"/>
      <c r="D49" s="371"/>
      <c r="E49" s="37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2" t="s">
        <v>478</v>
      </c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4"/>
      <c r="N50" s="375" t="s">
        <v>494</v>
      </c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7"/>
    </row>
    <row r="51" spans="1:32" ht="27" customHeight="1">
      <c r="A51" s="378" t="s">
        <v>2</v>
      </c>
      <c r="B51" s="379"/>
      <c r="C51" s="219" t="s">
        <v>46</v>
      </c>
      <c r="D51" s="219" t="s">
        <v>47</v>
      </c>
      <c r="E51" s="219" t="s">
        <v>108</v>
      </c>
      <c r="F51" s="379" t="s">
        <v>107</v>
      </c>
      <c r="G51" s="379"/>
      <c r="H51" s="379"/>
      <c r="I51" s="379"/>
      <c r="J51" s="379"/>
      <c r="K51" s="379"/>
      <c r="L51" s="379"/>
      <c r="M51" s="380"/>
      <c r="N51" s="73" t="s">
        <v>112</v>
      </c>
      <c r="O51" s="219" t="s">
        <v>46</v>
      </c>
      <c r="P51" s="381" t="s">
        <v>47</v>
      </c>
      <c r="Q51" s="382"/>
      <c r="R51" s="381" t="s">
        <v>38</v>
      </c>
      <c r="S51" s="383"/>
      <c r="T51" s="383"/>
      <c r="U51" s="382"/>
      <c r="V51" s="381" t="s">
        <v>48</v>
      </c>
      <c r="W51" s="383"/>
      <c r="X51" s="383"/>
      <c r="Y51" s="383"/>
      <c r="Z51" s="383"/>
      <c r="AA51" s="383"/>
      <c r="AB51" s="383"/>
      <c r="AC51" s="383"/>
      <c r="AD51" s="384"/>
    </row>
    <row r="52" spans="1:32" ht="27" customHeight="1">
      <c r="A52" s="399" t="s">
        <v>479</v>
      </c>
      <c r="B52" s="400"/>
      <c r="C52" s="218" t="s">
        <v>378</v>
      </c>
      <c r="D52" s="215" t="s">
        <v>480</v>
      </c>
      <c r="E52" s="218" t="s">
        <v>467</v>
      </c>
      <c r="F52" s="397" t="s">
        <v>329</v>
      </c>
      <c r="G52" s="397"/>
      <c r="H52" s="397"/>
      <c r="I52" s="397"/>
      <c r="J52" s="397"/>
      <c r="K52" s="397"/>
      <c r="L52" s="397"/>
      <c r="M52" s="398"/>
      <c r="N52" s="214" t="s">
        <v>114</v>
      </c>
      <c r="O52" s="74" t="s">
        <v>495</v>
      </c>
      <c r="P52" s="396" t="s">
        <v>124</v>
      </c>
      <c r="Q52" s="396"/>
      <c r="R52" s="396" t="s">
        <v>496</v>
      </c>
      <c r="S52" s="396"/>
      <c r="T52" s="396"/>
      <c r="U52" s="396"/>
      <c r="V52" s="397" t="s">
        <v>272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479</v>
      </c>
      <c r="B53" s="396"/>
      <c r="C53" s="215" t="s">
        <v>481</v>
      </c>
      <c r="D53" s="215" t="s">
        <v>430</v>
      </c>
      <c r="E53" s="215" t="s">
        <v>468</v>
      </c>
      <c r="F53" s="397" t="s">
        <v>133</v>
      </c>
      <c r="G53" s="397"/>
      <c r="H53" s="397"/>
      <c r="I53" s="397"/>
      <c r="J53" s="397"/>
      <c r="K53" s="397"/>
      <c r="L53" s="397"/>
      <c r="M53" s="398"/>
      <c r="N53" s="214" t="s">
        <v>114</v>
      </c>
      <c r="O53" s="74" t="s">
        <v>495</v>
      </c>
      <c r="P53" s="396" t="s">
        <v>124</v>
      </c>
      <c r="Q53" s="396"/>
      <c r="R53" s="396" t="s">
        <v>497</v>
      </c>
      <c r="S53" s="396"/>
      <c r="T53" s="396"/>
      <c r="U53" s="396"/>
      <c r="V53" s="397" t="s">
        <v>272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482</v>
      </c>
      <c r="B54" s="396"/>
      <c r="C54" s="215" t="s">
        <v>483</v>
      </c>
      <c r="D54" s="215" t="s">
        <v>484</v>
      </c>
      <c r="E54" s="215" t="s">
        <v>485</v>
      </c>
      <c r="F54" s="397" t="s">
        <v>133</v>
      </c>
      <c r="G54" s="397"/>
      <c r="H54" s="397"/>
      <c r="I54" s="397"/>
      <c r="J54" s="397"/>
      <c r="K54" s="397"/>
      <c r="L54" s="397"/>
      <c r="M54" s="398"/>
      <c r="N54" s="214" t="s">
        <v>114</v>
      </c>
      <c r="O54" s="74" t="s">
        <v>499</v>
      </c>
      <c r="P54" s="396" t="s">
        <v>500</v>
      </c>
      <c r="Q54" s="396"/>
      <c r="R54" s="396" t="s">
        <v>498</v>
      </c>
      <c r="S54" s="396"/>
      <c r="T54" s="396"/>
      <c r="U54" s="396"/>
      <c r="V54" s="397" t="s">
        <v>272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121</v>
      </c>
      <c r="B55" s="396"/>
      <c r="C55" s="215" t="s">
        <v>381</v>
      </c>
      <c r="D55" s="215" t="s">
        <v>475</v>
      </c>
      <c r="E55" s="215" t="s">
        <v>486</v>
      </c>
      <c r="F55" s="397" t="s">
        <v>133</v>
      </c>
      <c r="G55" s="397"/>
      <c r="H55" s="397"/>
      <c r="I55" s="397"/>
      <c r="J55" s="397"/>
      <c r="K55" s="397"/>
      <c r="L55" s="397"/>
      <c r="M55" s="398"/>
      <c r="N55" s="214" t="s">
        <v>490</v>
      </c>
      <c r="O55" s="74" t="s">
        <v>491</v>
      </c>
      <c r="P55" s="396" t="s">
        <v>475</v>
      </c>
      <c r="Q55" s="396"/>
      <c r="R55" s="396" t="s">
        <v>492</v>
      </c>
      <c r="S55" s="396"/>
      <c r="T55" s="396"/>
      <c r="U55" s="396"/>
      <c r="V55" s="397" t="s">
        <v>501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121</v>
      </c>
      <c r="B56" s="396"/>
      <c r="C56" s="215" t="s">
        <v>489</v>
      </c>
      <c r="D56" s="215" t="s">
        <v>488</v>
      </c>
      <c r="E56" s="215" t="s">
        <v>487</v>
      </c>
      <c r="F56" s="397" t="s">
        <v>133</v>
      </c>
      <c r="G56" s="397"/>
      <c r="H56" s="397"/>
      <c r="I56" s="397"/>
      <c r="J56" s="397"/>
      <c r="K56" s="397"/>
      <c r="L56" s="397"/>
      <c r="M56" s="398"/>
      <c r="N56" s="214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 t="s">
        <v>490</v>
      </c>
      <c r="B57" s="400"/>
      <c r="C57" s="218" t="s">
        <v>491</v>
      </c>
      <c r="D57" s="215" t="s">
        <v>124</v>
      </c>
      <c r="E57" s="218" t="s">
        <v>492</v>
      </c>
      <c r="F57" s="397" t="s">
        <v>493</v>
      </c>
      <c r="G57" s="397"/>
      <c r="H57" s="397"/>
      <c r="I57" s="397"/>
      <c r="J57" s="397"/>
      <c r="K57" s="397"/>
      <c r="L57" s="397"/>
      <c r="M57" s="398"/>
      <c r="N57" s="214"/>
      <c r="O57" s="74"/>
      <c r="P57" s="396"/>
      <c r="Q57" s="39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218"/>
      <c r="D58" s="215"/>
      <c r="E58" s="218"/>
      <c r="F58" s="397"/>
      <c r="G58" s="397"/>
      <c r="H58" s="397"/>
      <c r="I58" s="397"/>
      <c r="J58" s="397"/>
      <c r="K58" s="397"/>
      <c r="L58" s="397"/>
      <c r="M58" s="398"/>
      <c r="N58" s="214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9"/>
      <c r="B59" s="400"/>
      <c r="C59" s="218"/>
      <c r="D59" s="215"/>
      <c r="E59" s="218"/>
      <c r="F59" s="397"/>
      <c r="G59" s="397"/>
      <c r="H59" s="397"/>
      <c r="I59" s="397"/>
      <c r="J59" s="397"/>
      <c r="K59" s="397"/>
      <c r="L59" s="397"/>
      <c r="M59" s="398"/>
      <c r="N59" s="214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/>
      <c r="B60" s="396"/>
      <c r="C60" s="215"/>
      <c r="D60" s="215"/>
      <c r="E60" s="215"/>
      <c r="F60" s="397"/>
      <c r="G60" s="397"/>
      <c r="H60" s="397"/>
      <c r="I60" s="397"/>
      <c r="J60" s="397"/>
      <c r="K60" s="397"/>
      <c r="L60" s="397"/>
      <c r="M60" s="398"/>
      <c r="N60" s="214"/>
      <c r="O60" s="74"/>
      <c r="P60" s="396"/>
      <c r="Q60" s="39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  <c r="AF60" s="94">
        <f>8*3000</f>
        <v>24000</v>
      </c>
    </row>
    <row r="61" spans="1:32" ht="27" customHeight="1" thickBot="1">
      <c r="A61" s="401"/>
      <c r="B61" s="402"/>
      <c r="C61" s="217"/>
      <c r="D61" s="217"/>
      <c r="E61" s="217"/>
      <c r="F61" s="403"/>
      <c r="G61" s="403"/>
      <c r="H61" s="403"/>
      <c r="I61" s="403"/>
      <c r="J61" s="403"/>
      <c r="K61" s="403"/>
      <c r="L61" s="403"/>
      <c r="M61" s="404"/>
      <c r="N61" s="216"/>
      <c r="O61" s="121"/>
      <c r="P61" s="402"/>
      <c r="Q61" s="402"/>
      <c r="R61" s="402"/>
      <c r="S61" s="402"/>
      <c r="T61" s="402"/>
      <c r="U61" s="402"/>
      <c r="V61" s="403"/>
      <c r="W61" s="403"/>
      <c r="X61" s="403"/>
      <c r="Y61" s="403"/>
      <c r="Z61" s="403"/>
      <c r="AA61" s="403"/>
      <c r="AB61" s="403"/>
      <c r="AC61" s="403"/>
      <c r="AD61" s="404"/>
      <c r="AF61" s="94">
        <f>16*3000</f>
        <v>48000</v>
      </c>
    </row>
    <row r="62" spans="1:32" ht="27.75" thickBot="1">
      <c r="A62" s="407" t="s">
        <v>502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213" t="s">
        <v>2</v>
      </c>
      <c r="D63" s="213" t="s">
        <v>37</v>
      </c>
      <c r="E63" s="213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213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2"/>
      <c r="T63" s="412"/>
      <c r="U63" s="412"/>
      <c r="V63" s="412"/>
      <c r="W63" s="412"/>
      <c r="X63" s="412"/>
      <c r="Y63" s="412"/>
      <c r="Z63" s="412"/>
      <c r="AA63" s="411"/>
      <c r="AB63" s="409" t="s">
        <v>44</v>
      </c>
      <c r="AC63" s="409"/>
      <c r="AD63" s="413"/>
      <c r="AF63" s="94">
        <f>SUM(AF60:AF62)</f>
        <v>96000</v>
      </c>
    </row>
    <row r="64" spans="1:32" ht="25.5" customHeight="1">
      <c r="A64" s="414">
        <v>1</v>
      </c>
      <c r="B64" s="415"/>
      <c r="C64" s="124" t="s">
        <v>458</v>
      </c>
      <c r="D64" s="209"/>
      <c r="E64" s="212" t="s">
        <v>459</v>
      </c>
      <c r="F64" s="416" t="s">
        <v>460</v>
      </c>
      <c r="G64" s="417"/>
      <c r="H64" s="417"/>
      <c r="I64" s="417"/>
      <c r="J64" s="417"/>
      <c r="K64" s="417" t="s">
        <v>413</v>
      </c>
      <c r="L64" s="417"/>
      <c r="M64" s="54" t="s">
        <v>407</v>
      </c>
      <c r="N64" s="417">
        <v>7</v>
      </c>
      <c r="O64" s="417"/>
      <c r="P64" s="418">
        <v>20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2</v>
      </c>
      <c r="B65" s="415"/>
      <c r="C65" s="124" t="s">
        <v>125</v>
      </c>
      <c r="D65" s="209"/>
      <c r="E65" s="212" t="s">
        <v>387</v>
      </c>
      <c r="F65" s="416" t="s">
        <v>399</v>
      </c>
      <c r="G65" s="417"/>
      <c r="H65" s="417"/>
      <c r="I65" s="417"/>
      <c r="J65" s="417"/>
      <c r="K65" s="417" t="s">
        <v>400</v>
      </c>
      <c r="L65" s="417"/>
      <c r="M65" s="54" t="s">
        <v>401</v>
      </c>
      <c r="N65" s="417">
        <v>4</v>
      </c>
      <c r="O65" s="417"/>
      <c r="P65" s="418">
        <v>50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3</v>
      </c>
      <c r="B66" s="415"/>
      <c r="C66" s="124" t="s">
        <v>503</v>
      </c>
      <c r="D66" s="209"/>
      <c r="E66" s="212"/>
      <c r="F66" s="416" t="s">
        <v>504</v>
      </c>
      <c r="G66" s="417"/>
      <c r="H66" s="417"/>
      <c r="I66" s="417"/>
      <c r="J66" s="417"/>
      <c r="K66" s="417">
        <v>7301</v>
      </c>
      <c r="L66" s="417"/>
      <c r="M66" s="54" t="s">
        <v>505</v>
      </c>
      <c r="N66" s="417">
        <v>3</v>
      </c>
      <c r="O66" s="417"/>
      <c r="P66" s="418"/>
      <c r="Q66" s="418"/>
      <c r="R66" s="397" t="s">
        <v>506</v>
      </c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4</v>
      </c>
      <c r="B67" s="415"/>
      <c r="C67" s="124"/>
      <c r="D67" s="209"/>
      <c r="E67" s="212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5</v>
      </c>
      <c r="B68" s="415"/>
      <c r="C68" s="124"/>
      <c r="D68" s="209"/>
      <c r="E68" s="212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6</v>
      </c>
      <c r="B69" s="415"/>
      <c r="C69" s="124"/>
      <c r="D69" s="209"/>
      <c r="E69" s="212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7</v>
      </c>
      <c r="B70" s="415"/>
      <c r="C70" s="124"/>
      <c r="D70" s="209"/>
      <c r="E70" s="212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8</v>
      </c>
      <c r="B71" s="415"/>
      <c r="C71" s="124"/>
      <c r="D71" s="209"/>
      <c r="E71" s="212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6.25" customHeight="1" thickBot="1">
      <c r="A72" s="420" t="s">
        <v>507</v>
      </c>
      <c r="B72" s="420"/>
      <c r="C72" s="420"/>
      <c r="D72" s="420"/>
      <c r="E72" s="42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1" t="s">
        <v>113</v>
      </c>
      <c r="B73" s="422"/>
      <c r="C73" s="211" t="s">
        <v>2</v>
      </c>
      <c r="D73" s="211" t="s">
        <v>37</v>
      </c>
      <c r="E73" s="211" t="s">
        <v>3</v>
      </c>
      <c r="F73" s="422" t="s">
        <v>38</v>
      </c>
      <c r="G73" s="422"/>
      <c r="H73" s="422"/>
      <c r="I73" s="422"/>
      <c r="J73" s="422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22" t="s">
        <v>49</v>
      </c>
      <c r="U73" s="422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435">
        <v>1</v>
      </c>
      <c r="B74" s="436"/>
      <c r="C74" s="210" t="s">
        <v>114</v>
      </c>
      <c r="D74" s="210"/>
      <c r="E74" s="71" t="s">
        <v>119</v>
      </c>
      <c r="F74" s="437" t="s">
        <v>120</v>
      </c>
      <c r="G74" s="438"/>
      <c r="H74" s="438"/>
      <c r="I74" s="438"/>
      <c r="J74" s="439"/>
      <c r="K74" s="440" t="s">
        <v>115</v>
      </c>
      <c r="L74" s="441"/>
      <c r="M74" s="441"/>
      <c r="N74" s="441"/>
      <c r="O74" s="441"/>
      <c r="P74" s="441"/>
      <c r="Q74" s="441"/>
      <c r="R74" s="441"/>
      <c r="S74" s="442"/>
      <c r="T74" s="443">
        <v>42901</v>
      </c>
      <c r="U74" s="444"/>
      <c r="V74" s="445"/>
      <c r="W74" s="445"/>
      <c r="X74" s="446"/>
      <c r="Y74" s="446"/>
      <c r="Z74" s="446"/>
      <c r="AA74" s="446"/>
      <c r="AB74" s="446"/>
      <c r="AC74" s="446"/>
      <c r="AD74" s="447"/>
      <c r="AF74" s="53"/>
    </row>
    <row r="75" spans="1:32" ht="30" customHeight="1">
      <c r="A75" s="427">
        <f>A74+1</f>
        <v>2</v>
      </c>
      <c r="B75" s="428"/>
      <c r="C75" s="209" t="s">
        <v>114</v>
      </c>
      <c r="D75" s="209"/>
      <c r="E75" s="35" t="s">
        <v>116</v>
      </c>
      <c r="F75" s="428" t="s">
        <v>117</v>
      </c>
      <c r="G75" s="428"/>
      <c r="H75" s="428"/>
      <c r="I75" s="428"/>
      <c r="J75" s="428"/>
      <c r="K75" s="429" t="s">
        <v>118</v>
      </c>
      <c r="L75" s="430"/>
      <c r="M75" s="430"/>
      <c r="N75" s="430"/>
      <c r="O75" s="430"/>
      <c r="P75" s="430"/>
      <c r="Q75" s="430"/>
      <c r="R75" s="430"/>
      <c r="S75" s="431"/>
      <c r="T75" s="432">
        <v>42867</v>
      </c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ref="A76:A82" si="19">A75+1</f>
        <v>3</v>
      </c>
      <c r="B76" s="428"/>
      <c r="C76" s="209"/>
      <c r="D76" s="209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9"/>
        <v>4</v>
      </c>
      <c r="B77" s="428"/>
      <c r="C77" s="209"/>
      <c r="D77" s="209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9"/>
        <v>5</v>
      </c>
      <c r="B78" s="428"/>
      <c r="C78" s="209"/>
      <c r="D78" s="209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9"/>
        <v>6</v>
      </c>
      <c r="B79" s="428"/>
      <c r="C79" s="209"/>
      <c r="D79" s="209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9"/>
        <v>7</v>
      </c>
      <c r="B80" s="428"/>
      <c r="C80" s="209"/>
      <c r="D80" s="209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9"/>
        <v>8</v>
      </c>
      <c r="B81" s="428"/>
      <c r="C81" s="209"/>
      <c r="D81" s="209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19"/>
        <v>9</v>
      </c>
      <c r="B82" s="428"/>
      <c r="C82" s="209"/>
      <c r="D82" s="209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6" thickBot="1">
      <c r="A83" s="420" t="s">
        <v>508</v>
      </c>
      <c r="B83" s="420"/>
      <c r="C83" s="420"/>
      <c r="D83" s="420"/>
      <c r="E83" s="42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1" t="s">
        <v>113</v>
      </c>
      <c r="B84" s="422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3"/>
    </row>
    <row r="85" spans="1:32" ht="30.75" customHeight="1">
      <c r="A85" s="435">
        <v>1</v>
      </c>
      <c r="B85" s="436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450"/>
      <c r="U85" s="450"/>
      <c r="V85" s="451"/>
      <c r="W85" s="451"/>
      <c r="X85" s="451"/>
      <c r="Y85" s="452"/>
      <c r="Z85" s="452"/>
      <c r="AA85" s="452"/>
      <c r="AB85" s="452"/>
      <c r="AC85" s="452"/>
      <c r="AD85" s="453"/>
      <c r="AF85" s="53"/>
    </row>
    <row r="86" spans="1:32" ht="30.75" customHeight="1">
      <c r="A86" s="427">
        <v>2</v>
      </c>
      <c r="B86" s="428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4"/>
      <c r="Z86" s="454"/>
      <c r="AA86" s="454"/>
      <c r="AB86" s="454"/>
      <c r="AC86" s="454"/>
      <c r="AD86" s="455"/>
      <c r="AF86" s="53"/>
    </row>
    <row r="87" spans="1:32" ht="30.75" customHeight="1" thickBot="1">
      <c r="A87" s="456">
        <v>3</v>
      </c>
      <c r="B87" s="457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L9" sqref="L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509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21" t="s">
        <v>17</v>
      </c>
      <c r="L5" s="221" t="s">
        <v>18</v>
      </c>
      <c r="M5" s="221" t="s">
        <v>19</v>
      </c>
      <c r="N5" s="22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121</v>
      </c>
      <c r="D6" s="55" t="s">
        <v>136</v>
      </c>
      <c r="E6" s="57" t="s">
        <v>292</v>
      </c>
      <c r="F6" s="33" t="s">
        <v>131</v>
      </c>
      <c r="G6" s="36">
        <v>1</v>
      </c>
      <c r="H6" s="38">
        <v>25</v>
      </c>
      <c r="I6" s="7">
        <v>20000</v>
      </c>
      <c r="J6" s="5">
        <v>2615</v>
      </c>
      <c r="K6" s="15">
        <f>L6+4245+2684+4869+4369+2615</f>
        <v>18782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/>
      <c r="T6" s="17"/>
      <c r="U6" s="17"/>
      <c r="V6" s="18"/>
      <c r="W6" s="19">
        <v>24</v>
      </c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0.3801584480588176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0.3801584480588176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114</v>
      </c>
      <c r="D8" s="55" t="s">
        <v>466</v>
      </c>
      <c r="E8" s="57" t="s">
        <v>467</v>
      </c>
      <c r="F8" s="33" t="s">
        <v>142</v>
      </c>
      <c r="G8" s="12">
        <v>1</v>
      </c>
      <c r="H8" s="13">
        <v>25</v>
      </c>
      <c r="I8" s="34">
        <v>200</v>
      </c>
      <c r="J8" s="5">
        <v>1124</v>
      </c>
      <c r="K8" s="15">
        <f>L8+1124</f>
        <v>1124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0.3801584480588176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114</v>
      </c>
      <c r="D9" s="55" t="s">
        <v>124</v>
      </c>
      <c r="E9" s="57" t="s">
        <v>468</v>
      </c>
      <c r="F9" s="33" t="s">
        <v>469</v>
      </c>
      <c r="G9" s="36">
        <v>1</v>
      </c>
      <c r="H9" s="38">
        <v>25</v>
      </c>
      <c r="I9" s="7">
        <v>1000</v>
      </c>
      <c r="J9" s="5">
        <v>1281</v>
      </c>
      <c r="K9" s="15">
        <f>L9+1281</f>
        <v>1281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0.3801584480588176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0.3801584480588176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470</v>
      </c>
      <c r="D11" s="55"/>
      <c r="E11" s="57" t="s">
        <v>471</v>
      </c>
      <c r="F11" s="12" t="s">
        <v>472</v>
      </c>
      <c r="G11" s="12">
        <v>1</v>
      </c>
      <c r="H11" s="13">
        <v>25</v>
      </c>
      <c r="I11" s="34">
        <v>500</v>
      </c>
      <c r="J11" s="14">
        <v>662</v>
      </c>
      <c r="K11" s="15">
        <f>L11+662</f>
        <v>662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0.3801584480588176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121</v>
      </c>
      <c r="D12" s="55" t="s">
        <v>138</v>
      </c>
      <c r="E12" s="57" t="s">
        <v>473</v>
      </c>
      <c r="F12" s="12" t="s">
        <v>474</v>
      </c>
      <c r="G12" s="12">
        <v>1</v>
      </c>
      <c r="H12" s="13">
        <v>25</v>
      </c>
      <c r="I12" s="7">
        <v>6500</v>
      </c>
      <c r="J12" s="14">
        <v>5410</v>
      </c>
      <c r="K12" s="15">
        <f>L12+2892</f>
        <v>8295</v>
      </c>
      <c r="L12" s="15">
        <f>2735+2668</f>
        <v>5403</v>
      </c>
      <c r="M12" s="16">
        <f t="shared" si="0"/>
        <v>5403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0.99870609981515712</v>
      </c>
      <c r="AC12" s="9">
        <f t="shared" si="5"/>
        <v>1</v>
      </c>
      <c r="AD12" s="10">
        <f t="shared" si="6"/>
        <v>0.99870609981515712</v>
      </c>
      <c r="AE12" s="39">
        <f t="shared" si="7"/>
        <v>0.3801584480588176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475</v>
      </c>
      <c r="E13" s="57" t="s">
        <v>476</v>
      </c>
      <c r="F13" s="12" t="s">
        <v>130</v>
      </c>
      <c r="G13" s="12">
        <v>1</v>
      </c>
      <c r="H13" s="13">
        <v>25</v>
      </c>
      <c r="I13" s="7">
        <v>6500</v>
      </c>
      <c r="J13" s="14">
        <v>5610</v>
      </c>
      <c r="K13" s="15">
        <f>L13+2757</f>
        <v>8367</v>
      </c>
      <c r="L13" s="15">
        <f>2860+2750</f>
        <v>5610</v>
      </c>
      <c r="M13" s="16">
        <f t="shared" si="0"/>
        <v>5610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0.3801584480588176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510</v>
      </c>
      <c r="F14" s="33" t="s">
        <v>142</v>
      </c>
      <c r="G14" s="36">
        <v>1</v>
      </c>
      <c r="H14" s="38">
        <v>25</v>
      </c>
      <c r="I14" s="7">
        <v>150</v>
      </c>
      <c r="J14" s="5">
        <v>140</v>
      </c>
      <c r="K14" s="15">
        <f>L14</f>
        <v>140</v>
      </c>
      <c r="L14" s="15">
        <v>140</v>
      </c>
      <c r="M14" s="16">
        <f t="shared" si="0"/>
        <v>140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1</v>
      </c>
      <c r="AC14" s="9">
        <f t="shared" si="5"/>
        <v>0.20833333333333334</v>
      </c>
      <c r="AD14" s="10">
        <f t="shared" si="6"/>
        <v>0.20833333333333334</v>
      </c>
      <c r="AE14" s="39">
        <f t="shared" si="7"/>
        <v>0.3801584480588176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511</v>
      </c>
      <c r="D15" s="55" t="s">
        <v>512</v>
      </c>
      <c r="E15" s="57" t="s">
        <v>513</v>
      </c>
      <c r="F15" s="12">
        <v>8301</v>
      </c>
      <c r="G15" s="12">
        <v>1</v>
      </c>
      <c r="H15" s="13">
        <v>24</v>
      </c>
      <c r="I15" s="34">
        <v>5000</v>
      </c>
      <c r="J15" s="14">
        <v>3290</v>
      </c>
      <c r="K15" s="15">
        <f>L15</f>
        <v>3285</v>
      </c>
      <c r="L15" s="15">
        <f>2939+346</f>
        <v>3285</v>
      </c>
      <c r="M15" s="16">
        <f t="shared" si="0"/>
        <v>3285</v>
      </c>
      <c r="N15" s="16">
        <v>0</v>
      </c>
      <c r="O15" s="62">
        <f t="shared" si="1"/>
        <v>0</v>
      </c>
      <c r="P15" s="42">
        <f t="shared" si="2"/>
        <v>17</v>
      </c>
      <c r="Q15" s="43">
        <f t="shared" si="3"/>
        <v>7</v>
      </c>
      <c r="R15" s="7"/>
      <c r="S15" s="6"/>
      <c r="T15" s="17">
        <v>7</v>
      </c>
      <c r="U15" s="17"/>
      <c r="V15" s="18"/>
      <c r="W15" s="19"/>
      <c r="X15" s="17"/>
      <c r="Y15" s="20"/>
      <c r="Z15" s="20"/>
      <c r="AA15" s="21"/>
      <c r="AB15" s="8">
        <f t="shared" si="4"/>
        <v>0.99848024316109418</v>
      </c>
      <c r="AC15" s="9">
        <f t="shared" si="5"/>
        <v>0.70833333333333337</v>
      </c>
      <c r="AD15" s="10">
        <f t="shared" si="6"/>
        <v>0.70725683890577506</v>
      </c>
      <c r="AE15" s="39">
        <f t="shared" si="7"/>
        <v>0.3801584480588176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197</v>
      </c>
      <c r="D16" s="55" t="s">
        <v>198</v>
      </c>
      <c r="E16" s="57" t="s">
        <v>199</v>
      </c>
      <c r="F16" s="12" t="s">
        <v>200</v>
      </c>
      <c r="G16" s="12">
        <v>1</v>
      </c>
      <c r="H16" s="13">
        <v>25</v>
      </c>
      <c r="I16" s="7">
        <v>20000</v>
      </c>
      <c r="J16" s="14">
        <v>5510</v>
      </c>
      <c r="K16" s="15">
        <f>L16+4234+5649+725+2714+5502+5335+5585</f>
        <v>35247</v>
      </c>
      <c r="L16" s="15">
        <f>2811+2692</f>
        <v>5503</v>
      </c>
      <c r="M16" s="16">
        <f t="shared" si="0"/>
        <v>5503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0.99872958257713251</v>
      </c>
      <c r="AC16" s="9">
        <f t="shared" si="5"/>
        <v>1</v>
      </c>
      <c r="AD16" s="10">
        <f t="shared" si="6"/>
        <v>0.99872958257713251</v>
      </c>
      <c r="AE16" s="39">
        <f t="shared" si="7"/>
        <v>0.3801584480588176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121</v>
      </c>
      <c r="D17" s="55" t="s">
        <v>126</v>
      </c>
      <c r="E17" s="57" t="s">
        <v>143</v>
      </c>
      <c r="F17" s="12" t="s">
        <v>140</v>
      </c>
      <c r="G17" s="12">
        <v>1</v>
      </c>
      <c r="H17" s="13">
        <v>25</v>
      </c>
      <c r="I17" s="34">
        <v>1700</v>
      </c>
      <c r="J17" s="5">
        <v>1680</v>
      </c>
      <c r="K17" s="15">
        <f>L17+416+1674</f>
        <v>2090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0.3801584480588176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121</v>
      </c>
      <c r="D18" s="55" t="s">
        <v>136</v>
      </c>
      <c r="E18" s="57" t="s">
        <v>477</v>
      </c>
      <c r="F18" s="12" t="s">
        <v>474</v>
      </c>
      <c r="G18" s="12">
        <v>1</v>
      </c>
      <c r="H18" s="13">
        <v>24</v>
      </c>
      <c r="I18" s="34">
        <v>6500</v>
      </c>
      <c r="J18" s="14">
        <v>4810</v>
      </c>
      <c r="K18" s="15">
        <f>L18+5100+2884</f>
        <v>12792</v>
      </c>
      <c r="L18" s="15">
        <f>2485+2323</f>
        <v>4808</v>
      </c>
      <c r="M18" s="16">
        <f t="shared" si="0"/>
        <v>4808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0.99958419958419964</v>
      </c>
      <c r="AC18" s="9">
        <f t="shared" si="5"/>
        <v>1</v>
      </c>
      <c r="AD18" s="10">
        <f t="shared" si="6"/>
        <v>0.99958419958419964</v>
      </c>
      <c r="AE18" s="39">
        <f t="shared" si="7"/>
        <v>0.3801584480588176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425</v>
      </c>
      <c r="D19" s="55" t="s">
        <v>124</v>
      </c>
      <c r="E19" s="57" t="s">
        <v>426</v>
      </c>
      <c r="F19" s="12" t="s">
        <v>135</v>
      </c>
      <c r="G19" s="12">
        <v>1</v>
      </c>
      <c r="H19" s="13">
        <v>25</v>
      </c>
      <c r="I19" s="7">
        <v>10000</v>
      </c>
      <c r="J19" s="14">
        <v>3750</v>
      </c>
      <c r="K19" s="15">
        <f>L19+4480+3402</f>
        <v>11623</v>
      </c>
      <c r="L19" s="15">
        <f>2567+1174</f>
        <v>3741</v>
      </c>
      <c r="M19" s="16">
        <f t="shared" si="0"/>
        <v>3741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0.99760000000000004</v>
      </c>
      <c r="AC19" s="9">
        <f t="shared" si="5"/>
        <v>0.79166666666666663</v>
      </c>
      <c r="AD19" s="10">
        <f t="shared" si="6"/>
        <v>0.78976666666666662</v>
      </c>
      <c r="AE19" s="39">
        <f t="shared" si="7"/>
        <v>0.3801584480588176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0.3801584480588176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880950</v>
      </c>
      <c r="J21" s="22">
        <f t="shared" si="9"/>
        <v>39812</v>
      </c>
      <c r="K21" s="23">
        <f t="shared" si="9"/>
        <v>483694</v>
      </c>
      <c r="L21" s="24">
        <f t="shared" si="9"/>
        <v>28490</v>
      </c>
      <c r="M21" s="23">
        <f t="shared" si="9"/>
        <v>28490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137</v>
      </c>
      <c r="Q21" s="46">
        <f t="shared" si="10"/>
        <v>223</v>
      </c>
      <c r="R21" s="26">
        <f t="shared" si="10"/>
        <v>0</v>
      </c>
      <c r="S21" s="27">
        <f t="shared" si="10"/>
        <v>29</v>
      </c>
      <c r="T21" s="27">
        <f t="shared" si="10"/>
        <v>7</v>
      </c>
      <c r="U21" s="27">
        <f t="shared" si="10"/>
        <v>0</v>
      </c>
      <c r="V21" s="28">
        <f t="shared" si="10"/>
        <v>0</v>
      </c>
      <c r="W21" s="29">
        <f t="shared" si="10"/>
        <v>187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0.46620667500917229</v>
      </c>
      <c r="AC21" s="4">
        <f>SUM(AC6:AC20)/15</f>
        <v>0.38055555555555559</v>
      </c>
      <c r="AD21" s="4">
        <f>SUM(AD6:AD20)/15</f>
        <v>0.3801584480588176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514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522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222" t="s">
        <v>46</v>
      </c>
      <c r="D50" s="222" t="s">
        <v>47</v>
      </c>
      <c r="E50" s="222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222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9" t="s">
        <v>479</v>
      </c>
      <c r="B51" s="400"/>
      <c r="C51" s="225" t="s">
        <v>515</v>
      </c>
      <c r="D51" s="224" t="s">
        <v>124</v>
      </c>
      <c r="E51" s="225" t="s">
        <v>516</v>
      </c>
      <c r="F51" s="397" t="s">
        <v>329</v>
      </c>
      <c r="G51" s="397"/>
      <c r="H51" s="397"/>
      <c r="I51" s="397"/>
      <c r="J51" s="397"/>
      <c r="K51" s="397"/>
      <c r="L51" s="397"/>
      <c r="M51" s="398"/>
      <c r="N51" s="223" t="s">
        <v>523</v>
      </c>
      <c r="O51" s="74" t="s">
        <v>524</v>
      </c>
      <c r="P51" s="396" t="s">
        <v>525</v>
      </c>
      <c r="Q51" s="396"/>
      <c r="R51" s="396" t="s">
        <v>526</v>
      </c>
      <c r="S51" s="396"/>
      <c r="T51" s="396"/>
      <c r="U51" s="396"/>
      <c r="V51" s="397" t="s">
        <v>272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479</v>
      </c>
      <c r="B52" s="396"/>
      <c r="C52" s="224" t="s">
        <v>515</v>
      </c>
      <c r="D52" s="224" t="s">
        <v>430</v>
      </c>
      <c r="E52" s="224" t="s">
        <v>517</v>
      </c>
      <c r="F52" s="397" t="s">
        <v>518</v>
      </c>
      <c r="G52" s="397"/>
      <c r="H52" s="397"/>
      <c r="I52" s="397"/>
      <c r="J52" s="397"/>
      <c r="K52" s="397"/>
      <c r="L52" s="397"/>
      <c r="M52" s="398"/>
      <c r="N52" s="223" t="s">
        <v>523</v>
      </c>
      <c r="O52" s="74" t="s">
        <v>527</v>
      </c>
      <c r="P52" s="396" t="s">
        <v>528</v>
      </c>
      <c r="Q52" s="396"/>
      <c r="R52" s="396" t="s">
        <v>529</v>
      </c>
      <c r="S52" s="396"/>
      <c r="T52" s="396"/>
      <c r="U52" s="396"/>
      <c r="V52" s="397" t="s">
        <v>272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9" t="s">
        <v>490</v>
      </c>
      <c r="B53" s="400"/>
      <c r="C53" s="225" t="s">
        <v>491</v>
      </c>
      <c r="D53" s="224" t="s">
        <v>124</v>
      </c>
      <c r="E53" s="225" t="s">
        <v>492</v>
      </c>
      <c r="F53" s="397" t="s">
        <v>519</v>
      </c>
      <c r="G53" s="397"/>
      <c r="H53" s="397"/>
      <c r="I53" s="397"/>
      <c r="J53" s="397"/>
      <c r="K53" s="397"/>
      <c r="L53" s="397"/>
      <c r="M53" s="398"/>
      <c r="N53" s="223" t="s">
        <v>523</v>
      </c>
      <c r="O53" s="74" t="s">
        <v>530</v>
      </c>
      <c r="P53" s="396" t="s">
        <v>531</v>
      </c>
      <c r="Q53" s="396"/>
      <c r="R53" s="396" t="s">
        <v>532</v>
      </c>
      <c r="S53" s="396"/>
      <c r="T53" s="396"/>
      <c r="U53" s="396"/>
      <c r="V53" s="397" t="s">
        <v>272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511</v>
      </c>
      <c r="B54" s="396"/>
      <c r="C54" s="224" t="s">
        <v>520</v>
      </c>
      <c r="D54" s="224" t="s">
        <v>521</v>
      </c>
      <c r="E54" s="224" t="s">
        <v>513</v>
      </c>
      <c r="F54" s="397" t="s">
        <v>329</v>
      </c>
      <c r="G54" s="397"/>
      <c r="H54" s="397"/>
      <c r="I54" s="397"/>
      <c r="J54" s="397"/>
      <c r="K54" s="397"/>
      <c r="L54" s="397"/>
      <c r="M54" s="398"/>
      <c r="N54" s="223" t="s">
        <v>490</v>
      </c>
      <c r="O54" s="74" t="s">
        <v>491</v>
      </c>
      <c r="P54" s="396" t="s">
        <v>475</v>
      </c>
      <c r="Q54" s="396"/>
      <c r="R54" s="396" t="s">
        <v>533</v>
      </c>
      <c r="S54" s="396"/>
      <c r="T54" s="396"/>
      <c r="U54" s="396"/>
      <c r="V54" s="397" t="s">
        <v>272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224"/>
      <c r="D55" s="224"/>
      <c r="E55" s="224"/>
      <c r="F55" s="397"/>
      <c r="G55" s="397"/>
      <c r="H55" s="397"/>
      <c r="I55" s="397"/>
      <c r="J55" s="397"/>
      <c r="K55" s="397"/>
      <c r="L55" s="397"/>
      <c r="M55" s="398"/>
      <c r="N55" s="223" t="s">
        <v>523</v>
      </c>
      <c r="O55" s="74" t="s">
        <v>534</v>
      </c>
      <c r="P55" s="396" t="s">
        <v>535</v>
      </c>
      <c r="Q55" s="396"/>
      <c r="R55" s="396" t="s">
        <v>536</v>
      </c>
      <c r="S55" s="396"/>
      <c r="T55" s="396"/>
      <c r="U55" s="396"/>
      <c r="V55" s="397" t="s">
        <v>272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9"/>
      <c r="B56" s="400"/>
      <c r="C56" s="225"/>
      <c r="D56" s="224"/>
      <c r="E56" s="225"/>
      <c r="F56" s="397"/>
      <c r="G56" s="397"/>
      <c r="H56" s="397"/>
      <c r="I56" s="397"/>
      <c r="J56" s="397"/>
      <c r="K56" s="397"/>
      <c r="L56" s="397"/>
      <c r="M56" s="398"/>
      <c r="N56" s="223" t="s">
        <v>537</v>
      </c>
      <c r="O56" s="74" t="s">
        <v>538</v>
      </c>
      <c r="P56" s="396" t="s">
        <v>539</v>
      </c>
      <c r="Q56" s="396"/>
      <c r="R56" s="396" t="s">
        <v>540</v>
      </c>
      <c r="S56" s="396"/>
      <c r="T56" s="396"/>
      <c r="U56" s="396"/>
      <c r="V56" s="397" t="s">
        <v>272</v>
      </c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9"/>
      <c r="B57" s="400"/>
      <c r="C57" s="225"/>
      <c r="D57" s="224"/>
      <c r="E57" s="225"/>
      <c r="F57" s="397"/>
      <c r="G57" s="397"/>
      <c r="H57" s="397"/>
      <c r="I57" s="397"/>
      <c r="J57" s="397"/>
      <c r="K57" s="397"/>
      <c r="L57" s="397"/>
      <c r="M57" s="398"/>
      <c r="N57" s="223" t="s">
        <v>541</v>
      </c>
      <c r="O57" s="74" t="s">
        <v>515</v>
      </c>
      <c r="P57" s="405" t="s">
        <v>542</v>
      </c>
      <c r="Q57" s="406"/>
      <c r="R57" s="396" t="s">
        <v>517</v>
      </c>
      <c r="S57" s="396"/>
      <c r="T57" s="396"/>
      <c r="U57" s="396"/>
      <c r="V57" s="397" t="s">
        <v>543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225"/>
      <c r="D58" s="224"/>
      <c r="E58" s="225"/>
      <c r="F58" s="397"/>
      <c r="G58" s="397"/>
      <c r="H58" s="397"/>
      <c r="I58" s="397"/>
      <c r="J58" s="397"/>
      <c r="K58" s="397"/>
      <c r="L58" s="397"/>
      <c r="M58" s="398"/>
      <c r="N58" s="223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224"/>
      <c r="D59" s="224"/>
      <c r="E59" s="224"/>
      <c r="F59" s="397"/>
      <c r="G59" s="397"/>
      <c r="H59" s="397"/>
      <c r="I59" s="397"/>
      <c r="J59" s="397"/>
      <c r="K59" s="397"/>
      <c r="L59" s="397"/>
      <c r="M59" s="398"/>
      <c r="N59" s="223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227"/>
      <c r="D60" s="227"/>
      <c r="E60" s="227"/>
      <c r="F60" s="403"/>
      <c r="G60" s="403"/>
      <c r="H60" s="403"/>
      <c r="I60" s="403"/>
      <c r="J60" s="403"/>
      <c r="K60" s="403"/>
      <c r="L60" s="403"/>
      <c r="M60" s="404"/>
      <c r="N60" s="226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544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28" t="s">
        <v>2</v>
      </c>
      <c r="D62" s="228" t="s">
        <v>37</v>
      </c>
      <c r="E62" s="228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28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537</v>
      </c>
      <c r="D63" s="231"/>
      <c r="E63" s="229" t="s">
        <v>542</v>
      </c>
      <c r="F63" s="416" t="s">
        <v>545</v>
      </c>
      <c r="G63" s="417"/>
      <c r="H63" s="417"/>
      <c r="I63" s="417"/>
      <c r="J63" s="417"/>
      <c r="K63" s="417" t="s">
        <v>413</v>
      </c>
      <c r="L63" s="417"/>
      <c r="M63" s="54" t="s">
        <v>546</v>
      </c>
      <c r="N63" s="417">
        <v>4</v>
      </c>
      <c r="O63" s="417"/>
      <c r="P63" s="418">
        <v>100</v>
      </c>
      <c r="Q63" s="418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 t="s">
        <v>503</v>
      </c>
      <c r="D64" s="231"/>
      <c r="E64" s="229"/>
      <c r="F64" s="416" t="s">
        <v>504</v>
      </c>
      <c r="G64" s="417"/>
      <c r="H64" s="417"/>
      <c r="I64" s="417"/>
      <c r="J64" s="417"/>
      <c r="K64" s="417">
        <v>7301</v>
      </c>
      <c r="L64" s="417"/>
      <c r="M64" s="54" t="s">
        <v>505</v>
      </c>
      <c r="N64" s="417">
        <v>3</v>
      </c>
      <c r="O64" s="417"/>
      <c r="P64" s="418">
        <v>50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/>
      <c r="D65" s="231"/>
      <c r="E65" s="229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/>
      <c r="D66" s="231"/>
      <c r="E66" s="229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/>
      <c r="D67" s="231"/>
      <c r="E67" s="229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/>
      <c r="D68" s="231"/>
      <c r="E68" s="229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231"/>
      <c r="E69" s="229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231"/>
      <c r="E70" s="229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547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230" t="s">
        <v>2</v>
      </c>
      <c r="D72" s="230" t="s">
        <v>37</v>
      </c>
      <c r="E72" s="230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232" t="s">
        <v>114</v>
      </c>
      <c r="D73" s="232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231" t="s">
        <v>114</v>
      </c>
      <c r="D74" s="231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231"/>
      <c r="D75" s="231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231"/>
      <c r="D76" s="231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231"/>
      <c r="D77" s="231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231"/>
      <c r="D78" s="231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231"/>
      <c r="D79" s="231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231"/>
      <c r="D80" s="231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231"/>
      <c r="D81" s="231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548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topLeftCell="A49" zoomScale="72" zoomScaleNormal="72" zoomScaleSheetLayoutView="70" workbookViewId="0">
      <selection activeCell="C65" sqref="C65:Q6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549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44" t="s">
        <v>17</v>
      </c>
      <c r="L5" s="244" t="s">
        <v>18</v>
      </c>
      <c r="M5" s="244" t="s">
        <v>19</v>
      </c>
      <c r="N5" s="24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550</v>
      </c>
      <c r="D6" s="55" t="s">
        <v>551</v>
      </c>
      <c r="E6" s="57" t="s">
        <v>552</v>
      </c>
      <c r="F6" s="33" t="s">
        <v>553</v>
      </c>
      <c r="G6" s="36">
        <v>2</v>
      </c>
      <c r="H6" s="38">
        <v>25</v>
      </c>
      <c r="I6" s="7">
        <v>35000</v>
      </c>
      <c r="J6" s="5">
        <v>7830</v>
      </c>
      <c r="K6" s="15">
        <f>L6</f>
        <v>7824</v>
      </c>
      <c r="L6" s="15">
        <f>2643*2+1269*2</f>
        <v>7824</v>
      </c>
      <c r="M6" s="16">
        <f t="shared" ref="M6:M22" si="0">L6-N6</f>
        <v>7824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20</v>
      </c>
      <c r="Q6" s="43">
        <f t="shared" ref="Q6:Q22" si="3">SUM(R6:AA6)</f>
        <v>4</v>
      </c>
      <c r="R6" s="7"/>
      <c r="S6" s="6"/>
      <c r="T6" s="17">
        <v>4</v>
      </c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0.99923371647509573</v>
      </c>
      <c r="AC6" s="9">
        <f t="shared" ref="AC6:AC22" si="5">IF(P6=0,"0",(P6/24))</f>
        <v>0.83333333333333337</v>
      </c>
      <c r="AD6" s="10">
        <f t="shared" ref="AD6:AD22" si="6">AC6*AB6*(1-O6)</f>
        <v>0.83269476372924645</v>
      </c>
      <c r="AE6" s="39">
        <f t="shared" ref="AE6:AE22" si="7">$AD$23</f>
        <v>0.52188722849656932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0.52188722849656932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114</v>
      </c>
      <c r="D8" s="55" t="s">
        <v>466</v>
      </c>
      <c r="E8" s="57" t="s">
        <v>467</v>
      </c>
      <c r="F8" s="33" t="s">
        <v>142</v>
      </c>
      <c r="G8" s="12">
        <v>1</v>
      </c>
      <c r="H8" s="13">
        <v>25</v>
      </c>
      <c r="I8" s="34">
        <v>200</v>
      </c>
      <c r="J8" s="5">
        <v>1124</v>
      </c>
      <c r="K8" s="15">
        <f>L8+1124</f>
        <v>1124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0.52188722849656932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114</v>
      </c>
      <c r="D9" s="55" t="s">
        <v>124</v>
      </c>
      <c r="E9" s="57" t="s">
        <v>468</v>
      </c>
      <c r="F9" s="33" t="s">
        <v>469</v>
      </c>
      <c r="G9" s="36">
        <v>1</v>
      </c>
      <c r="H9" s="38">
        <v>25</v>
      </c>
      <c r="I9" s="7">
        <v>1000</v>
      </c>
      <c r="J9" s="5">
        <v>1281</v>
      </c>
      <c r="K9" s="15">
        <f>L9+1281</f>
        <v>1281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0.52188722849656932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0.52188722849656932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550</v>
      </c>
      <c r="D11" s="55" t="s">
        <v>554</v>
      </c>
      <c r="E11" s="57" t="s">
        <v>555</v>
      </c>
      <c r="F11" s="12" t="s">
        <v>556</v>
      </c>
      <c r="G11" s="12">
        <v>1</v>
      </c>
      <c r="H11" s="13">
        <v>25</v>
      </c>
      <c r="I11" s="34">
        <v>35000</v>
      </c>
      <c r="J11" s="14">
        <v>4980</v>
      </c>
      <c r="K11" s="15">
        <f>L11</f>
        <v>4976</v>
      </c>
      <c r="L11" s="15">
        <f>2893+2083</f>
        <v>4976</v>
      </c>
      <c r="M11" s="16">
        <f t="shared" si="0"/>
        <v>4976</v>
      </c>
      <c r="N11" s="16">
        <v>0</v>
      </c>
      <c r="O11" s="62">
        <f t="shared" si="1"/>
        <v>0</v>
      </c>
      <c r="P11" s="42">
        <f t="shared" si="2"/>
        <v>23</v>
      </c>
      <c r="Q11" s="43">
        <f t="shared" si="3"/>
        <v>1</v>
      </c>
      <c r="R11" s="7"/>
      <c r="S11" s="6"/>
      <c r="T11" s="17">
        <v>1</v>
      </c>
      <c r="U11" s="17"/>
      <c r="V11" s="18"/>
      <c r="W11" s="19"/>
      <c r="X11" s="17"/>
      <c r="Y11" s="20"/>
      <c r="Z11" s="20"/>
      <c r="AA11" s="21"/>
      <c r="AB11" s="8">
        <f t="shared" si="4"/>
        <v>0.99919678714859439</v>
      </c>
      <c r="AC11" s="9">
        <f t="shared" si="5"/>
        <v>0.95833333333333337</v>
      </c>
      <c r="AD11" s="10">
        <f t="shared" si="6"/>
        <v>0.95756358768406968</v>
      </c>
      <c r="AE11" s="39">
        <f t="shared" si="7"/>
        <v>0.52188722849656932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121</v>
      </c>
      <c r="D12" s="55" t="s">
        <v>558</v>
      </c>
      <c r="E12" s="57" t="s">
        <v>557</v>
      </c>
      <c r="F12" s="12" t="s">
        <v>130</v>
      </c>
      <c r="G12" s="12">
        <v>1</v>
      </c>
      <c r="H12" s="13">
        <v>25</v>
      </c>
      <c r="I12" s="7">
        <v>6500</v>
      </c>
      <c r="J12" s="14">
        <v>5360</v>
      </c>
      <c r="K12" s="15">
        <f>L12</f>
        <v>5352</v>
      </c>
      <c r="L12" s="15">
        <f>2277+3075</f>
        <v>5352</v>
      </c>
      <c r="M12" s="16">
        <f t="shared" si="0"/>
        <v>5352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0.9985074626865672</v>
      </c>
      <c r="AC12" s="9">
        <f t="shared" si="5"/>
        <v>1</v>
      </c>
      <c r="AD12" s="10">
        <f t="shared" si="6"/>
        <v>0.9985074626865672</v>
      </c>
      <c r="AE12" s="39">
        <f t="shared" si="7"/>
        <v>0.52188722849656932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475</v>
      </c>
      <c r="E13" s="57" t="s">
        <v>476</v>
      </c>
      <c r="F13" s="12" t="s">
        <v>130</v>
      </c>
      <c r="G13" s="12">
        <v>1</v>
      </c>
      <c r="H13" s="13">
        <v>25</v>
      </c>
      <c r="I13" s="7">
        <v>6500</v>
      </c>
      <c r="J13" s="14">
        <v>4681</v>
      </c>
      <c r="K13" s="15">
        <f>L13+2757+5610</f>
        <v>13048</v>
      </c>
      <c r="L13" s="15">
        <f>2661+2020</f>
        <v>4681</v>
      </c>
      <c r="M13" s="16">
        <f t="shared" si="0"/>
        <v>4681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1</v>
      </c>
      <c r="AD13" s="10">
        <f t="shared" si="6"/>
        <v>1</v>
      </c>
      <c r="AE13" s="39">
        <f t="shared" si="7"/>
        <v>0.52188722849656932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559</v>
      </c>
      <c r="F14" s="33" t="s">
        <v>560</v>
      </c>
      <c r="G14" s="36">
        <v>1</v>
      </c>
      <c r="H14" s="38">
        <v>25</v>
      </c>
      <c r="I14" s="7">
        <v>200</v>
      </c>
      <c r="J14" s="5">
        <v>140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0.52188722849656932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511</v>
      </c>
      <c r="D15" s="55" t="s">
        <v>512</v>
      </c>
      <c r="E15" s="57" t="s">
        <v>513</v>
      </c>
      <c r="F15" s="12">
        <v>8301</v>
      </c>
      <c r="G15" s="12">
        <v>1</v>
      </c>
      <c r="H15" s="13">
        <v>24</v>
      </c>
      <c r="I15" s="34">
        <v>5000</v>
      </c>
      <c r="J15" s="14">
        <v>3040</v>
      </c>
      <c r="K15" s="15">
        <f>L15+3285</f>
        <v>6316</v>
      </c>
      <c r="L15" s="15">
        <f>2660+371</f>
        <v>3031</v>
      </c>
      <c r="M15" s="16">
        <f t="shared" si="0"/>
        <v>3031</v>
      </c>
      <c r="N15" s="16">
        <v>0</v>
      </c>
      <c r="O15" s="62">
        <f t="shared" si="1"/>
        <v>0</v>
      </c>
      <c r="P15" s="42">
        <f t="shared" si="2"/>
        <v>14</v>
      </c>
      <c r="Q15" s="43">
        <f t="shared" si="3"/>
        <v>10</v>
      </c>
      <c r="R15" s="7"/>
      <c r="S15" s="6">
        <v>10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0.99703947368421053</v>
      </c>
      <c r="AC15" s="9">
        <f t="shared" si="5"/>
        <v>0.58333333333333337</v>
      </c>
      <c r="AD15" s="10">
        <f t="shared" si="6"/>
        <v>0.58160635964912288</v>
      </c>
      <c r="AE15" s="39">
        <f t="shared" si="7"/>
        <v>0.52188722849656932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197</v>
      </c>
      <c r="D16" s="55" t="s">
        <v>198</v>
      </c>
      <c r="E16" s="57" t="s">
        <v>199</v>
      </c>
      <c r="F16" s="12" t="s">
        <v>200</v>
      </c>
      <c r="G16" s="12">
        <v>1</v>
      </c>
      <c r="H16" s="13">
        <v>25</v>
      </c>
      <c r="I16" s="7">
        <v>20000</v>
      </c>
      <c r="J16" s="14">
        <v>745</v>
      </c>
      <c r="K16" s="15">
        <f>L16+4234+5649+725+2714+5502+5335+5585+5503</f>
        <v>35992</v>
      </c>
      <c r="L16" s="15">
        <v>745</v>
      </c>
      <c r="M16" s="16">
        <f t="shared" si="0"/>
        <v>745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/>
      <c r="S16" s="6"/>
      <c r="T16" s="17"/>
      <c r="U16" s="17"/>
      <c r="V16" s="18"/>
      <c r="W16" s="19">
        <v>20</v>
      </c>
      <c r="X16" s="17"/>
      <c r="Y16" s="20"/>
      <c r="Z16" s="20"/>
      <c r="AA16" s="21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9">
        <f t="shared" si="7"/>
        <v>0.52188722849656932</v>
      </c>
      <c r="AF16" s="94">
        <f t="shared" si="8"/>
        <v>11</v>
      </c>
    </row>
    <row r="17" spans="1:32" ht="27" customHeight="1">
      <c r="A17" s="109">
        <v>11</v>
      </c>
      <c r="B17" s="11" t="s">
        <v>57</v>
      </c>
      <c r="C17" s="11" t="s">
        <v>550</v>
      </c>
      <c r="D17" s="55" t="s">
        <v>198</v>
      </c>
      <c r="E17" s="57" t="s">
        <v>561</v>
      </c>
      <c r="F17" s="12" t="s">
        <v>553</v>
      </c>
      <c r="G17" s="12">
        <v>2</v>
      </c>
      <c r="H17" s="13">
        <v>25</v>
      </c>
      <c r="I17" s="7">
        <v>35000</v>
      </c>
      <c r="J17" s="14">
        <v>9480</v>
      </c>
      <c r="K17" s="15">
        <f>L17</f>
        <v>9478</v>
      </c>
      <c r="L17" s="15">
        <f>3275*2+1464*2</f>
        <v>9478</v>
      </c>
      <c r="M17" s="16">
        <f t="shared" ref="M17" si="9">L17-N17</f>
        <v>9478</v>
      </c>
      <c r="N17" s="16">
        <v>0</v>
      </c>
      <c r="O17" s="62">
        <f t="shared" ref="O17" si="10">IF(L17=0,"0",N17/L17)</f>
        <v>0</v>
      </c>
      <c r="P17" s="42">
        <f t="shared" ref="P17" si="11">IF(L17=0,"0",(24-Q17))</f>
        <v>19</v>
      </c>
      <c r="Q17" s="43">
        <f t="shared" ref="Q17" si="12">SUM(R17:AA17)</f>
        <v>5</v>
      </c>
      <c r="R17" s="7"/>
      <c r="S17" s="6">
        <v>5</v>
      </c>
      <c r="T17" s="17"/>
      <c r="U17" s="17"/>
      <c r="V17" s="18"/>
      <c r="W17" s="19"/>
      <c r="X17" s="17"/>
      <c r="Y17" s="20"/>
      <c r="Z17" s="20"/>
      <c r="AA17" s="21"/>
      <c r="AB17" s="8">
        <f t="shared" ref="AB17" si="13">IF(J17=0,"0",(L17/J17))</f>
        <v>0.99978902953586501</v>
      </c>
      <c r="AC17" s="9">
        <f t="shared" ref="AC17" si="14">IF(P17=0,"0",(P17/24))</f>
        <v>0.79166666666666663</v>
      </c>
      <c r="AD17" s="10">
        <f t="shared" ref="AD17" si="15">AC17*AB17*(1-O17)</f>
        <v>0.79149964838255982</v>
      </c>
      <c r="AE17" s="39">
        <f t="shared" si="7"/>
        <v>0.52188722849656932</v>
      </c>
      <c r="AF17" s="94">
        <f t="shared" ref="AF17" si="16">A17</f>
        <v>11</v>
      </c>
    </row>
    <row r="18" spans="1:32" ht="27" customHeight="1">
      <c r="A18" s="109">
        <v>12</v>
      </c>
      <c r="B18" s="11" t="s">
        <v>57</v>
      </c>
      <c r="C18" s="37" t="s">
        <v>550</v>
      </c>
      <c r="D18" s="55" t="s">
        <v>136</v>
      </c>
      <c r="E18" s="57" t="s">
        <v>562</v>
      </c>
      <c r="F18" s="12" t="s">
        <v>556</v>
      </c>
      <c r="G18" s="12">
        <v>1</v>
      </c>
      <c r="H18" s="13">
        <v>25</v>
      </c>
      <c r="I18" s="34">
        <v>35000</v>
      </c>
      <c r="J18" s="5">
        <v>9090</v>
      </c>
      <c r="K18" s="15">
        <f>L18</f>
        <v>9090</v>
      </c>
      <c r="L18" s="15">
        <f>3652*2+893*2</f>
        <v>9090</v>
      </c>
      <c r="M18" s="16">
        <f t="shared" si="0"/>
        <v>9090</v>
      </c>
      <c r="N18" s="16">
        <v>0</v>
      </c>
      <c r="O18" s="62">
        <f t="shared" si="1"/>
        <v>0</v>
      </c>
      <c r="P18" s="42">
        <f t="shared" si="2"/>
        <v>21</v>
      </c>
      <c r="Q18" s="43">
        <f t="shared" si="3"/>
        <v>3</v>
      </c>
      <c r="R18" s="7"/>
      <c r="S18" s="6">
        <v>3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9">
        <f t="shared" si="7"/>
        <v>0.52188722849656932</v>
      </c>
      <c r="AF18" s="94">
        <f t="shared" si="8"/>
        <v>12</v>
      </c>
    </row>
    <row r="19" spans="1:32" ht="27" customHeight="1">
      <c r="A19" s="110">
        <v>13</v>
      </c>
      <c r="B19" s="11" t="s">
        <v>57</v>
      </c>
      <c r="C19" s="11" t="s">
        <v>121</v>
      </c>
      <c r="D19" s="55" t="s">
        <v>136</v>
      </c>
      <c r="E19" s="57" t="s">
        <v>477</v>
      </c>
      <c r="F19" s="12" t="s">
        <v>474</v>
      </c>
      <c r="G19" s="12">
        <v>1</v>
      </c>
      <c r="H19" s="13">
        <v>24</v>
      </c>
      <c r="I19" s="34">
        <v>6500</v>
      </c>
      <c r="J19" s="14">
        <v>1630</v>
      </c>
      <c r="K19" s="15">
        <f>L19+5100+2884+4808</f>
        <v>14421</v>
      </c>
      <c r="L19" s="15">
        <v>1629</v>
      </c>
      <c r="M19" s="16">
        <f t="shared" si="0"/>
        <v>1629</v>
      </c>
      <c r="N19" s="16">
        <v>0</v>
      </c>
      <c r="O19" s="62">
        <f t="shared" si="1"/>
        <v>0</v>
      </c>
      <c r="P19" s="42">
        <f t="shared" si="2"/>
        <v>9</v>
      </c>
      <c r="Q19" s="43">
        <f t="shared" si="3"/>
        <v>15</v>
      </c>
      <c r="R19" s="7"/>
      <c r="S19" s="6"/>
      <c r="T19" s="17"/>
      <c r="U19" s="17"/>
      <c r="V19" s="18"/>
      <c r="W19" s="19">
        <v>15</v>
      </c>
      <c r="X19" s="17"/>
      <c r="Y19" s="20"/>
      <c r="Z19" s="20"/>
      <c r="AA19" s="21"/>
      <c r="AB19" s="8">
        <f t="shared" si="4"/>
        <v>0.99938650306748467</v>
      </c>
      <c r="AC19" s="9">
        <f t="shared" si="5"/>
        <v>0.375</v>
      </c>
      <c r="AD19" s="10">
        <f t="shared" si="6"/>
        <v>0.37476993865030672</v>
      </c>
      <c r="AE19" s="39">
        <f t="shared" si="7"/>
        <v>0.52188722849656932</v>
      </c>
      <c r="AF19" s="94">
        <f t="shared" si="8"/>
        <v>13</v>
      </c>
    </row>
    <row r="20" spans="1:32" ht="27" customHeight="1">
      <c r="A20" s="110">
        <v>13</v>
      </c>
      <c r="B20" s="11" t="s">
        <v>57</v>
      </c>
      <c r="C20" s="11" t="s">
        <v>550</v>
      </c>
      <c r="D20" s="55" t="s">
        <v>563</v>
      </c>
      <c r="E20" s="57" t="s">
        <v>564</v>
      </c>
      <c r="F20" s="12" t="s">
        <v>565</v>
      </c>
      <c r="G20" s="12" t="s">
        <v>566</v>
      </c>
      <c r="H20" s="13">
        <v>24</v>
      </c>
      <c r="I20" s="34">
        <v>1000</v>
      </c>
      <c r="J20" s="14">
        <v>1064</v>
      </c>
      <c r="K20" s="15">
        <f>L20</f>
        <v>1064</v>
      </c>
      <c r="L20" s="15">
        <f>578+486</f>
        <v>1064</v>
      </c>
      <c r="M20" s="16">
        <f t="shared" ref="M20" si="17">L20-N20</f>
        <v>1064</v>
      </c>
      <c r="N20" s="16">
        <v>0</v>
      </c>
      <c r="O20" s="62">
        <f t="shared" ref="O20" si="18">IF(L20=0,"0",N20/L20)</f>
        <v>0</v>
      </c>
      <c r="P20" s="42">
        <f t="shared" ref="P20" si="19">IF(L20=0,"0",(24-Q20))</f>
        <v>6</v>
      </c>
      <c r="Q20" s="43">
        <f t="shared" ref="Q20" si="20">SUM(R20:AA20)</f>
        <v>18</v>
      </c>
      <c r="R20" s="7"/>
      <c r="S20" s="6"/>
      <c r="T20" s="17"/>
      <c r="U20" s="17"/>
      <c r="V20" s="18"/>
      <c r="W20" s="19">
        <v>18</v>
      </c>
      <c r="X20" s="17"/>
      <c r="Y20" s="20"/>
      <c r="Z20" s="20"/>
      <c r="AA20" s="21"/>
      <c r="AB20" s="8">
        <f t="shared" ref="AB20" si="21">IF(J20=0,"0",(L20/J20))</f>
        <v>1</v>
      </c>
      <c r="AC20" s="9">
        <f t="shared" ref="AC20" si="22">IF(P20=0,"0",(P20/24))</f>
        <v>0.25</v>
      </c>
      <c r="AD20" s="10">
        <f t="shared" ref="AD20" si="23">AC20*AB20*(1-O20)</f>
        <v>0.25</v>
      </c>
      <c r="AE20" s="39">
        <f t="shared" si="7"/>
        <v>0.52188722849656932</v>
      </c>
      <c r="AF20" s="94">
        <f t="shared" ref="AF20" si="24">A20</f>
        <v>13</v>
      </c>
    </row>
    <row r="21" spans="1:32" ht="27" customHeight="1">
      <c r="A21" s="110">
        <v>14</v>
      </c>
      <c r="B21" s="11" t="s">
        <v>57</v>
      </c>
      <c r="C21" s="11" t="s">
        <v>425</v>
      </c>
      <c r="D21" s="55" t="s">
        <v>124</v>
      </c>
      <c r="E21" s="57" t="s">
        <v>567</v>
      </c>
      <c r="F21" s="12" t="s">
        <v>135</v>
      </c>
      <c r="G21" s="12">
        <v>2</v>
      </c>
      <c r="H21" s="13">
        <v>25</v>
      </c>
      <c r="I21" s="7">
        <v>35000</v>
      </c>
      <c r="J21" s="14">
        <v>10284</v>
      </c>
      <c r="K21" s="15">
        <f>L21</f>
        <v>10284</v>
      </c>
      <c r="L21" s="15">
        <f>3032*2+2110*2</f>
        <v>10284</v>
      </c>
      <c r="M21" s="16">
        <f t="shared" si="0"/>
        <v>10284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1</v>
      </c>
      <c r="AC21" s="9">
        <f t="shared" si="5"/>
        <v>1</v>
      </c>
      <c r="AD21" s="10">
        <f t="shared" si="6"/>
        <v>1</v>
      </c>
      <c r="AE21" s="39">
        <f t="shared" si="7"/>
        <v>0.52188722849656932</v>
      </c>
      <c r="AF21" s="94">
        <f t="shared" si="8"/>
        <v>14</v>
      </c>
    </row>
    <row r="22" spans="1:32" ht="27" customHeight="1" thickBot="1">
      <c r="A22" s="110">
        <v>15</v>
      </c>
      <c r="B22" s="11" t="s">
        <v>57</v>
      </c>
      <c r="C22" s="11" t="s">
        <v>122</v>
      </c>
      <c r="D22" s="55"/>
      <c r="E22" s="56" t="s">
        <v>127</v>
      </c>
      <c r="F22" s="12" t="s">
        <v>123</v>
      </c>
      <c r="G22" s="12">
        <v>4</v>
      </c>
      <c r="H22" s="38">
        <v>20</v>
      </c>
      <c r="I22" s="7">
        <v>800000</v>
      </c>
      <c r="J22" s="14">
        <v>2230</v>
      </c>
      <c r="K22" s="15">
        <f>L22+29128+42972+45096+45728+43064+5640+29816+42972+44600+38336+6084+2224</f>
        <v>375660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>
        <v>24</v>
      </c>
      <c r="T22" s="17"/>
      <c r="U22" s="17"/>
      <c r="V22" s="18"/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0.52188722849656932</v>
      </c>
      <c r="AF22" s="94">
        <f t="shared" si="8"/>
        <v>15</v>
      </c>
    </row>
    <row r="23" spans="1:32" ht="31.5" customHeight="1" thickBot="1">
      <c r="A23" s="368" t="s">
        <v>34</v>
      </c>
      <c r="B23" s="369"/>
      <c r="C23" s="369"/>
      <c r="D23" s="369"/>
      <c r="E23" s="369"/>
      <c r="F23" s="369"/>
      <c r="G23" s="369"/>
      <c r="H23" s="370"/>
      <c r="I23" s="25">
        <f t="shared" ref="I23:N23" si="25">SUM(I6:I22)</f>
        <v>1024800</v>
      </c>
      <c r="J23" s="22">
        <f t="shared" si="25"/>
        <v>64659</v>
      </c>
      <c r="K23" s="23">
        <f t="shared" si="25"/>
        <v>500256</v>
      </c>
      <c r="L23" s="24">
        <f t="shared" si="25"/>
        <v>58154</v>
      </c>
      <c r="M23" s="23">
        <f t="shared" si="25"/>
        <v>58154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188</v>
      </c>
      <c r="Q23" s="46">
        <f t="shared" si="26"/>
        <v>220</v>
      </c>
      <c r="R23" s="26">
        <f t="shared" si="26"/>
        <v>0</v>
      </c>
      <c r="S23" s="27">
        <f t="shared" si="26"/>
        <v>66</v>
      </c>
      <c r="T23" s="27">
        <f t="shared" si="26"/>
        <v>5</v>
      </c>
      <c r="U23" s="27">
        <f t="shared" si="26"/>
        <v>0</v>
      </c>
      <c r="V23" s="28">
        <f t="shared" si="26"/>
        <v>0</v>
      </c>
      <c r="W23" s="29">
        <f t="shared" si="26"/>
        <v>149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0.73287686483985448</v>
      </c>
      <c r="AC23" s="4">
        <f>SUM(AC6:AC22)/15</f>
        <v>0.52222222222222225</v>
      </c>
      <c r="AD23" s="4">
        <f>SUM(AD6:AD22)/15</f>
        <v>0.52188722849656932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71" t="s">
        <v>45</v>
      </c>
      <c r="B50" s="371"/>
      <c r="C50" s="371"/>
      <c r="D50" s="371"/>
      <c r="E50" s="37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72" t="s">
        <v>568</v>
      </c>
      <c r="B51" s="373"/>
      <c r="C51" s="373"/>
      <c r="D51" s="373"/>
      <c r="E51" s="373"/>
      <c r="F51" s="373"/>
      <c r="G51" s="373"/>
      <c r="H51" s="373"/>
      <c r="I51" s="373"/>
      <c r="J51" s="373"/>
      <c r="K51" s="373"/>
      <c r="L51" s="373"/>
      <c r="M51" s="374"/>
      <c r="N51" s="375" t="s">
        <v>586</v>
      </c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6"/>
      <c r="AA51" s="376"/>
      <c r="AB51" s="376"/>
      <c r="AC51" s="376"/>
      <c r="AD51" s="377"/>
    </row>
    <row r="52" spans="1:32" ht="27" customHeight="1">
      <c r="A52" s="378" t="s">
        <v>2</v>
      </c>
      <c r="B52" s="379"/>
      <c r="C52" s="243" t="s">
        <v>46</v>
      </c>
      <c r="D52" s="243" t="s">
        <v>47</v>
      </c>
      <c r="E52" s="243" t="s">
        <v>108</v>
      </c>
      <c r="F52" s="379" t="s">
        <v>107</v>
      </c>
      <c r="G52" s="379"/>
      <c r="H52" s="379"/>
      <c r="I52" s="379"/>
      <c r="J52" s="379"/>
      <c r="K52" s="379"/>
      <c r="L52" s="379"/>
      <c r="M52" s="380"/>
      <c r="N52" s="73" t="s">
        <v>112</v>
      </c>
      <c r="O52" s="243" t="s">
        <v>46</v>
      </c>
      <c r="P52" s="381" t="s">
        <v>47</v>
      </c>
      <c r="Q52" s="382"/>
      <c r="R52" s="381" t="s">
        <v>38</v>
      </c>
      <c r="S52" s="383"/>
      <c r="T52" s="383"/>
      <c r="U52" s="382"/>
      <c r="V52" s="381" t="s">
        <v>48</v>
      </c>
      <c r="W52" s="383"/>
      <c r="X52" s="383"/>
      <c r="Y52" s="383"/>
      <c r="Z52" s="383"/>
      <c r="AA52" s="383"/>
      <c r="AB52" s="383"/>
      <c r="AC52" s="383"/>
      <c r="AD52" s="384"/>
    </row>
    <row r="53" spans="1:32" ht="27" customHeight="1">
      <c r="A53" s="395" t="s">
        <v>479</v>
      </c>
      <c r="B53" s="396"/>
      <c r="C53" s="239" t="s">
        <v>515</v>
      </c>
      <c r="D53" s="239" t="s">
        <v>430</v>
      </c>
      <c r="E53" s="239" t="s">
        <v>517</v>
      </c>
      <c r="F53" s="397" t="s">
        <v>569</v>
      </c>
      <c r="G53" s="397"/>
      <c r="H53" s="397"/>
      <c r="I53" s="397"/>
      <c r="J53" s="397"/>
      <c r="K53" s="397"/>
      <c r="L53" s="397"/>
      <c r="M53" s="398"/>
      <c r="N53" s="238" t="s">
        <v>587</v>
      </c>
      <c r="O53" s="74" t="s">
        <v>588</v>
      </c>
      <c r="P53" s="396" t="s">
        <v>589</v>
      </c>
      <c r="Q53" s="396"/>
      <c r="R53" s="396" t="s">
        <v>590</v>
      </c>
      <c r="S53" s="396"/>
      <c r="T53" s="396"/>
      <c r="U53" s="396"/>
      <c r="V53" s="397" t="s">
        <v>591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571</v>
      </c>
      <c r="B54" s="396"/>
      <c r="C54" s="239" t="s">
        <v>572</v>
      </c>
      <c r="D54" s="239" t="s">
        <v>573</v>
      </c>
      <c r="E54" s="239" t="s">
        <v>552</v>
      </c>
      <c r="F54" s="397" t="s">
        <v>574</v>
      </c>
      <c r="G54" s="397"/>
      <c r="H54" s="397"/>
      <c r="I54" s="397"/>
      <c r="J54" s="397"/>
      <c r="K54" s="397"/>
      <c r="L54" s="397"/>
      <c r="M54" s="398"/>
      <c r="N54" s="238" t="s">
        <v>592</v>
      </c>
      <c r="O54" s="74" t="s">
        <v>593</v>
      </c>
      <c r="P54" s="396"/>
      <c r="Q54" s="396"/>
      <c r="R54" s="396" t="s">
        <v>594</v>
      </c>
      <c r="S54" s="396"/>
      <c r="T54" s="396"/>
      <c r="U54" s="396"/>
      <c r="V54" s="397" t="s">
        <v>595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571</v>
      </c>
      <c r="B55" s="396"/>
      <c r="C55" s="239" t="s">
        <v>575</v>
      </c>
      <c r="D55" s="239" t="s">
        <v>576</v>
      </c>
      <c r="E55" s="239" t="s">
        <v>577</v>
      </c>
      <c r="F55" s="397" t="s">
        <v>574</v>
      </c>
      <c r="G55" s="397"/>
      <c r="H55" s="397"/>
      <c r="I55" s="397"/>
      <c r="J55" s="397"/>
      <c r="K55" s="397"/>
      <c r="L55" s="397"/>
      <c r="M55" s="398"/>
      <c r="N55" s="238" t="s">
        <v>587</v>
      </c>
      <c r="O55" s="74" t="s">
        <v>597</v>
      </c>
      <c r="P55" s="396" t="s">
        <v>598</v>
      </c>
      <c r="Q55" s="396"/>
      <c r="R55" s="396" t="s">
        <v>596</v>
      </c>
      <c r="S55" s="396"/>
      <c r="T55" s="396"/>
      <c r="U55" s="396"/>
      <c r="V55" s="397" t="s">
        <v>599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511</v>
      </c>
      <c r="B56" s="396"/>
      <c r="C56" s="239" t="s">
        <v>520</v>
      </c>
      <c r="D56" s="239" t="s">
        <v>521</v>
      </c>
      <c r="E56" s="239" t="s">
        <v>513</v>
      </c>
      <c r="F56" s="397" t="s">
        <v>570</v>
      </c>
      <c r="G56" s="397"/>
      <c r="H56" s="397"/>
      <c r="I56" s="397"/>
      <c r="J56" s="397"/>
      <c r="K56" s="397"/>
      <c r="L56" s="397"/>
      <c r="M56" s="398"/>
      <c r="N56" s="238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 t="s">
        <v>571</v>
      </c>
      <c r="B57" s="396"/>
      <c r="C57" s="239" t="s">
        <v>578</v>
      </c>
      <c r="D57" s="239" t="s">
        <v>579</v>
      </c>
      <c r="E57" s="239" t="s">
        <v>561</v>
      </c>
      <c r="F57" s="397" t="s">
        <v>574</v>
      </c>
      <c r="G57" s="397"/>
      <c r="H57" s="397"/>
      <c r="I57" s="397"/>
      <c r="J57" s="397"/>
      <c r="K57" s="397"/>
      <c r="L57" s="397"/>
      <c r="M57" s="398"/>
      <c r="N57" s="238"/>
      <c r="O57" s="74"/>
      <c r="P57" s="396"/>
      <c r="Q57" s="39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 t="s">
        <v>571</v>
      </c>
      <c r="B58" s="396"/>
      <c r="C58" s="239" t="s">
        <v>580</v>
      </c>
      <c r="D58" s="239" t="s">
        <v>583</v>
      </c>
      <c r="E58" s="239" t="s">
        <v>562</v>
      </c>
      <c r="F58" s="397" t="s">
        <v>574</v>
      </c>
      <c r="G58" s="397"/>
      <c r="H58" s="397"/>
      <c r="I58" s="397"/>
      <c r="J58" s="397"/>
      <c r="K58" s="397"/>
      <c r="L58" s="397"/>
      <c r="M58" s="398"/>
      <c r="N58" s="238"/>
      <c r="O58" s="74"/>
      <c r="P58" s="396"/>
      <c r="Q58" s="39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 t="s">
        <v>571</v>
      </c>
      <c r="B59" s="396"/>
      <c r="C59" s="239" t="s">
        <v>581</v>
      </c>
      <c r="D59" s="239" t="s">
        <v>582</v>
      </c>
      <c r="E59" s="239" t="s">
        <v>567</v>
      </c>
      <c r="F59" s="397" t="s">
        <v>574</v>
      </c>
      <c r="G59" s="397"/>
      <c r="H59" s="397"/>
      <c r="I59" s="397"/>
      <c r="J59" s="397"/>
      <c r="K59" s="397"/>
      <c r="L59" s="397"/>
      <c r="M59" s="398"/>
      <c r="N59" s="238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9" t="s">
        <v>584</v>
      </c>
      <c r="B60" s="400"/>
      <c r="C60" s="242" t="s">
        <v>585</v>
      </c>
      <c r="D60" s="239" t="s">
        <v>558</v>
      </c>
      <c r="E60" s="242" t="s">
        <v>557</v>
      </c>
      <c r="F60" s="397" t="s">
        <v>574</v>
      </c>
      <c r="G60" s="397"/>
      <c r="H60" s="397"/>
      <c r="I60" s="397"/>
      <c r="J60" s="397"/>
      <c r="K60" s="397"/>
      <c r="L60" s="397"/>
      <c r="M60" s="398"/>
      <c r="N60" s="238"/>
      <c r="O60" s="74"/>
      <c r="P60" s="405"/>
      <c r="Q60" s="40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</row>
    <row r="61" spans="1:32" ht="27" customHeight="1">
      <c r="A61" s="395"/>
      <c r="B61" s="396"/>
      <c r="C61" s="239"/>
      <c r="D61" s="239"/>
      <c r="E61" s="239"/>
      <c r="F61" s="397"/>
      <c r="G61" s="397"/>
      <c r="H61" s="397"/>
      <c r="I61" s="397"/>
      <c r="J61" s="397"/>
      <c r="K61" s="397"/>
      <c r="L61" s="397"/>
      <c r="M61" s="398"/>
      <c r="N61" s="238"/>
      <c r="O61" s="74"/>
      <c r="P61" s="396"/>
      <c r="Q61" s="396"/>
      <c r="R61" s="396"/>
      <c r="S61" s="396"/>
      <c r="T61" s="396"/>
      <c r="U61" s="396"/>
      <c r="V61" s="397"/>
      <c r="W61" s="397"/>
      <c r="X61" s="397"/>
      <c r="Y61" s="397"/>
      <c r="Z61" s="397"/>
      <c r="AA61" s="397"/>
      <c r="AB61" s="397"/>
      <c r="AC61" s="397"/>
      <c r="AD61" s="398"/>
      <c r="AF61" s="94">
        <f>8*3000</f>
        <v>24000</v>
      </c>
    </row>
    <row r="62" spans="1:32" ht="27" customHeight="1" thickBot="1">
      <c r="A62" s="401"/>
      <c r="B62" s="402"/>
      <c r="C62" s="241"/>
      <c r="D62" s="241"/>
      <c r="E62" s="241"/>
      <c r="F62" s="403"/>
      <c r="G62" s="403"/>
      <c r="H62" s="403"/>
      <c r="I62" s="403"/>
      <c r="J62" s="403"/>
      <c r="K62" s="403"/>
      <c r="L62" s="403"/>
      <c r="M62" s="404"/>
      <c r="N62" s="240"/>
      <c r="O62" s="121"/>
      <c r="P62" s="402"/>
      <c r="Q62" s="402"/>
      <c r="R62" s="402"/>
      <c r="S62" s="402"/>
      <c r="T62" s="402"/>
      <c r="U62" s="402"/>
      <c r="V62" s="403"/>
      <c r="W62" s="403"/>
      <c r="X62" s="403"/>
      <c r="Y62" s="403"/>
      <c r="Z62" s="403"/>
      <c r="AA62" s="403"/>
      <c r="AB62" s="403"/>
      <c r="AC62" s="403"/>
      <c r="AD62" s="404"/>
      <c r="AF62" s="94">
        <f>16*3000</f>
        <v>48000</v>
      </c>
    </row>
    <row r="63" spans="1:32" ht="27.75" thickBot="1">
      <c r="A63" s="407" t="s">
        <v>600</v>
      </c>
      <c r="B63" s="407"/>
      <c r="C63" s="407"/>
      <c r="D63" s="407"/>
      <c r="E63" s="40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08" t="s">
        <v>113</v>
      </c>
      <c r="B64" s="409"/>
      <c r="C64" s="237" t="s">
        <v>2</v>
      </c>
      <c r="D64" s="237" t="s">
        <v>37</v>
      </c>
      <c r="E64" s="237" t="s">
        <v>3</v>
      </c>
      <c r="F64" s="409" t="s">
        <v>110</v>
      </c>
      <c r="G64" s="409"/>
      <c r="H64" s="409"/>
      <c r="I64" s="409"/>
      <c r="J64" s="409"/>
      <c r="K64" s="409" t="s">
        <v>39</v>
      </c>
      <c r="L64" s="409"/>
      <c r="M64" s="237" t="s">
        <v>40</v>
      </c>
      <c r="N64" s="409" t="s">
        <v>41</v>
      </c>
      <c r="O64" s="409"/>
      <c r="P64" s="410" t="s">
        <v>42</v>
      </c>
      <c r="Q64" s="411"/>
      <c r="R64" s="410" t="s">
        <v>43</v>
      </c>
      <c r="S64" s="412"/>
      <c r="T64" s="412"/>
      <c r="U64" s="412"/>
      <c r="V64" s="412"/>
      <c r="W64" s="412"/>
      <c r="X64" s="412"/>
      <c r="Y64" s="412"/>
      <c r="Z64" s="412"/>
      <c r="AA64" s="411"/>
      <c r="AB64" s="409" t="s">
        <v>44</v>
      </c>
      <c r="AC64" s="409"/>
      <c r="AD64" s="413"/>
      <c r="AF64" s="94">
        <f>SUM(AF61:AF63)</f>
        <v>96000</v>
      </c>
    </row>
    <row r="65" spans="1:32" ht="25.5" customHeight="1">
      <c r="A65" s="414">
        <v>1</v>
      </c>
      <c r="B65" s="415"/>
      <c r="C65" s="124" t="s">
        <v>601</v>
      </c>
      <c r="D65" s="233"/>
      <c r="E65" s="236" t="s">
        <v>542</v>
      </c>
      <c r="F65" s="416" t="s">
        <v>602</v>
      </c>
      <c r="G65" s="417"/>
      <c r="H65" s="417"/>
      <c r="I65" s="417"/>
      <c r="J65" s="417"/>
      <c r="K65" s="417" t="s">
        <v>413</v>
      </c>
      <c r="L65" s="417"/>
      <c r="M65" s="54" t="s">
        <v>546</v>
      </c>
      <c r="N65" s="417">
        <v>4</v>
      </c>
      <c r="O65" s="417"/>
      <c r="P65" s="418">
        <v>200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2</v>
      </c>
      <c r="B66" s="415"/>
      <c r="C66" s="124" t="s">
        <v>352</v>
      </c>
      <c r="D66" s="233"/>
      <c r="E66" s="236" t="s">
        <v>353</v>
      </c>
      <c r="F66" s="416" t="s">
        <v>354</v>
      </c>
      <c r="G66" s="417"/>
      <c r="H66" s="417"/>
      <c r="I66" s="417"/>
      <c r="J66" s="417"/>
      <c r="K66" s="417" t="s">
        <v>355</v>
      </c>
      <c r="L66" s="417"/>
      <c r="M66" s="54" t="s">
        <v>603</v>
      </c>
      <c r="N66" s="417">
        <v>4</v>
      </c>
      <c r="O66" s="417"/>
      <c r="P66" s="418"/>
      <c r="Q66" s="418"/>
      <c r="R66" s="397" t="s">
        <v>604</v>
      </c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3</v>
      </c>
      <c r="B67" s="415"/>
      <c r="C67" s="124"/>
      <c r="D67" s="233"/>
      <c r="E67" s="236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4</v>
      </c>
      <c r="B68" s="415"/>
      <c r="C68" s="124"/>
      <c r="D68" s="233"/>
      <c r="E68" s="236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5</v>
      </c>
      <c r="B69" s="415"/>
      <c r="C69" s="124"/>
      <c r="D69" s="233"/>
      <c r="E69" s="236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6</v>
      </c>
      <c r="B70" s="415"/>
      <c r="C70" s="124"/>
      <c r="D70" s="233"/>
      <c r="E70" s="236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7</v>
      </c>
      <c r="B71" s="415"/>
      <c r="C71" s="124"/>
      <c r="D71" s="233"/>
      <c r="E71" s="236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5.5" customHeight="1">
      <c r="A72" s="414">
        <v>8</v>
      </c>
      <c r="B72" s="415"/>
      <c r="C72" s="124"/>
      <c r="D72" s="233"/>
      <c r="E72" s="236"/>
      <c r="F72" s="416"/>
      <c r="G72" s="417"/>
      <c r="H72" s="417"/>
      <c r="I72" s="417"/>
      <c r="J72" s="417"/>
      <c r="K72" s="417"/>
      <c r="L72" s="417"/>
      <c r="M72" s="54"/>
      <c r="N72" s="417"/>
      <c r="O72" s="417"/>
      <c r="P72" s="418"/>
      <c r="Q72" s="418"/>
      <c r="R72" s="397"/>
      <c r="S72" s="397"/>
      <c r="T72" s="397"/>
      <c r="U72" s="397"/>
      <c r="V72" s="397"/>
      <c r="W72" s="397"/>
      <c r="X72" s="397"/>
      <c r="Y72" s="397"/>
      <c r="Z72" s="397"/>
      <c r="AA72" s="397"/>
      <c r="AB72" s="417"/>
      <c r="AC72" s="417"/>
      <c r="AD72" s="419"/>
      <c r="AF72" s="53"/>
    </row>
    <row r="73" spans="1:32" ht="26.25" customHeight="1" thickBot="1">
      <c r="A73" s="420" t="s">
        <v>605</v>
      </c>
      <c r="B73" s="420"/>
      <c r="C73" s="420"/>
      <c r="D73" s="420"/>
      <c r="E73" s="420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1" t="s">
        <v>113</v>
      </c>
      <c r="B74" s="422"/>
      <c r="C74" s="235" t="s">
        <v>2</v>
      </c>
      <c r="D74" s="235" t="s">
        <v>37</v>
      </c>
      <c r="E74" s="235" t="s">
        <v>3</v>
      </c>
      <c r="F74" s="422" t="s">
        <v>38</v>
      </c>
      <c r="G74" s="422"/>
      <c r="H74" s="422"/>
      <c r="I74" s="422"/>
      <c r="J74" s="422"/>
      <c r="K74" s="423" t="s">
        <v>58</v>
      </c>
      <c r="L74" s="424"/>
      <c r="M74" s="424"/>
      <c r="N74" s="424"/>
      <c r="O74" s="424"/>
      <c r="P74" s="424"/>
      <c r="Q74" s="424"/>
      <c r="R74" s="424"/>
      <c r="S74" s="425"/>
      <c r="T74" s="422" t="s">
        <v>49</v>
      </c>
      <c r="U74" s="422"/>
      <c r="V74" s="423" t="s">
        <v>50</v>
      </c>
      <c r="W74" s="425"/>
      <c r="X74" s="424" t="s">
        <v>51</v>
      </c>
      <c r="Y74" s="424"/>
      <c r="Z74" s="424"/>
      <c r="AA74" s="424"/>
      <c r="AB74" s="424"/>
      <c r="AC74" s="424"/>
      <c r="AD74" s="426"/>
      <c r="AF74" s="53"/>
    </row>
    <row r="75" spans="1:32" ht="33.75" customHeight="1">
      <c r="A75" s="435">
        <v>1</v>
      </c>
      <c r="B75" s="436"/>
      <c r="C75" s="234" t="s">
        <v>114</v>
      </c>
      <c r="D75" s="234"/>
      <c r="E75" s="71" t="s">
        <v>119</v>
      </c>
      <c r="F75" s="437" t="s">
        <v>120</v>
      </c>
      <c r="G75" s="438"/>
      <c r="H75" s="438"/>
      <c r="I75" s="438"/>
      <c r="J75" s="439"/>
      <c r="K75" s="440" t="s">
        <v>115</v>
      </c>
      <c r="L75" s="441"/>
      <c r="M75" s="441"/>
      <c r="N75" s="441"/>
      <c r="O75" s="441"/>
      <c r="P75" s="441"/>
      <c r="Q75" s="441"/>
      <c r="R75" s="441"/>
      <c r="S75" s="442"/>
      <c r="T75" s="443">
        <v>42901</v>
      </c>
      <c r="U75" s="444"/>
      <c r="V75" s="445"/>
      <c r="W75" s="445"/>
      <c r="X75" s="446"/>
      <c r="Y75" s="446"/>
      <c r="Z75" s="446"/>
      <c r="AA75" s="446"/>
      <c r="AB75" s="446"/>
      <c r="AC75" s="446"/>
      <c r="AD75" s="447"/>
      <c r="AF75" s="53"/>
    </row>
    <row r="76" spans="1:32" ht="30" customHeight="1">
      <c r="A76" s="427">
        <f>A75+1</f>
        <v>2</v>
      </c>
      <c r="B76" s="428"/>
      <c r="C76" s="233" t="s">
        <v>114</v>
      </c>
      <c r="D76" s="233"/>
      <c r="E76" s="35" t="s">
        <v>116</v>
      </c>
      <c r="F76" s="428" t="s">
        <v>117</v>
      </c>
      <c r="G76" s="428"/>
      <c r="H76" s="428"/>
      <c r="I76" s="428"/>
      <c r="J76" s="428"/>
      <c r="K76" s="429" t="s">
        <v>118</v>
      </c>
      <c r="L76" s="430"/>
      <c r="M76" s="430"/>
      <c r="N76" s="430"/>
      <c r="O76" s="430"/>
      <c r="P76" s="430"/>
      <c r="Q76" s="430"/>
      <c r="R76" s="430"/>
      <c r="S76" s="431"/>
      <c r="T76" s="432">
        <v>42867</v>
      </c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ref="A77:A83" si="27">A76+1</f>
        <v>3</v>
      </c>
      <c r="B77" s="428"/>
      <c r="C77" s="233"/>
      <c r="D77" s="233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27"/>
        <v>4</v>
      </c>
      <c r="B78" s="428"/>
      <c r="C78" s="233"/>
      <c r="D78" s="233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27"/>
        <v>5</v>
      </c>
      <c r="B79" s="428"/>
      <c r="C79" s="233"/>
      <c r="D79" s="233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27"/>
        <v>6</v>
      </c>
      <c r="B80" s="428"/>
      <c r="C80" s="233"/>
      <c r="D80" s="233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27"/>
        <v>7</v>
      </c>
      <c r="B81" s="428"/>
      <c r="C81" s="233"/>
      <c r="D81" s="233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27"/>
        <v>8</v>
      </c>
      <c r="B82" s="428"/>
      <c r="C82" s="233"/>
      <c r="D82" s="233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0" customHeight="1">
      <c r="A83" s="427">
        <f t="shared" si="27"/>
        <v>9</v>
      </c>
      <c r="B83" s="428"/>
      <c r="C83" s="233"/>
      <c r="D83" s="233"/>
      <c r="E83" s="35"/>
      <c r="F83" s="428"/>
      <c r="G83" s="428"/>
      <c r="H83" s="428"/>
      <c r="I83" s="428"/>
      <c r="J83" s="428"/>
      <c r="K83" s="429"/>
      <c r="L83" s="430"/>
      <c r="M83" s="430"/>
      <c r="N83" s="430"/>
      <c r="O83" s="430"/>
      <c r="P83" s="430"/>
      <c r="Q83" s="430"/>
      <c r="R83" s="430"/>
      <c r="S83" s="431"/>
      <c r="T83" s="432"/>
      <c r="U83" s="432"/>
      <c r="V83" s="432"/>
      <c r="W83" s="432"/>
      <c r="X83" s="433"/>
      <c r="Y83" s="433"/>
      <c r="Z83" s="433"/>
      <c r="AA83" s="433"/>
      <c r="AB83" s="433"/>
      <c r="AC83" s="433"/>
      <c r="AD83" s="434"/>
      <c r="AF83" s="53"/>
    </row>
    <row r="84" spans="1:32" ht="36" thickBot="1">
      <c r="A84" s="420" t="s">
        <v>606</v>
      </c>
      <c r="B84" s="420"/>
      <c r="C84" s="420"/>
      <c r="D84" s="420"/>
      <c r="E84" s="420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21" t="s">
        <v>113</v>
      </c>
      <c r="B85" s="422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3"/>
    </row>
    <row r="86" spans="1:32" ht="30.75" customHeight="1">
      <c r="A86" s="435">
        <v>1</v>
      </c>
      <c r="B86" s="436"/>
      <c r="C86" s="450"/>
      <c r="D86" s="450"/>
      <c r="E86" s="450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50"/>
      <c r="R86" s="450"/>
      <c r="S86" s="450"/>
      <c r="T86" s="450"/>
      <c r="U86" s="450"/>
      <c r="V86" s="451"/>
      <c r="W86" s="451"/>
      <c r="X86" s="451"/>
      <c r="Y86" s="452"/>
      <c r="Z86" s="452"/>
      <c r="AA86" s="452"/>
      <c r="AB86" s="452"/>
      <c r="AC86" s="452"/>
      <c r="AD86" s="453"/>
      <c r="AF86" s="53"/>
    </row>
    <row r="87" spans="1:32" ht="30.75" customHeight="1">
      <c r="A87" s="427">
        <v>2</v>
      </c>
      <c r="B87" s="428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2"/>
      <c r="U87" s="462"/>
      <c r="V87" s="463"/>
      <c r="W87" s="463"/>
      <c r="X87" s="463"/>
      <c r="Y87" s="454"/>
      <c r="Z87" s="454"/>
      <c r="AA87" s="454"/>
      <c r="AB87" s="454"/>
      <c r="AC87" s="454"/>
      <c r="AD87" s="455"/>
      <c r="AF87" s="53"/>
    </row>
    <row r="88" spans="1:32" ht="30.75" customHeight="1" thickBot="1">
      <c r="A88" s="456">
        <v>3</v>
      </c>
      <c r="B88" s="457"/>
      <c r="C88" s="458"/>
      <c r="D88" s="458"/>
      <c r="E88" s="458"/>
      <c r="F88" s="458"/>
      <c r="G88" s="458"/>
      <c r="H88" s="458"/>
      <c r="I88" s="458"/>
      <c r="J88" s="458"/>
      <c r="K88" s="458"/>
      <c r="L88" s="458"/>
      <c r="M88" s="458"/>
      <c r="N88" s="458"/>
      <c r="O88" s="458"/>
      <c r="P88" s="458"/>
      <c r="Q88" s="458"/>
      <c r="R88" s="458"/>
      <c r="S88" s="458"/>
      <c r="T88" s="458"/>
      <c r="U88" s="458"/>
      <c r="V88" s="458"/>
      <c r="W88" s="458"/>
      <c r="X88" s="458"/>
      <c r="Y88" s="459"/>
      <c r="Z88" s="459"/>
      <c r="AA88" s="459"/>
      <c r="AB88" s="459"/>
      <c r="AC88" s="459"/>
      <c r="AD88" s="460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6" zoomScale="72" zoomScaleNormal="72" zoomScaleSheetLayoutView="70" workbookViewId="0">
      <selection activeCell="C67" sqref="C67:Q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607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45" t="s">
        <v>17</v>
      </c>
      <c r="L5" s="245" t="s">
        <v>18</v>
      </c>
      <c r="M5" s="245" t="s">
        <v>19</v>
      </c>
      <c r="N5" s="24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550</v>
      </c>
      <c r="D6" s="55" t="s">
        <v>551</v>
      </c>
      <c r="E6" s="57" t="s">
        <v>552</v>
      </c>
      <c r="F6" s="33" t="s">
        <v>553</v>
      </c>
      <c r="G6" s="36">
        <v>2</v>
      </c>
      <c r="H6" s="38">
        <v>25</v>
      </c>
      <c r="I6" s="7">
        <v>35000</v>
      </c>
      <c r="J6" s="5">
        <v>8530</v>
      </c>
      <c r="K6" s="15">
        <f>L6+7824</f>
        <v>16352</v>
      </c>
      <c r="L6" s="15">
        <f>2558*2+1706*2</f>
        <v>8528</v>
      </c>
      <c r="M6" s="16">
        <f t="shared" ref="M6:M20" si="0">L6-N6</f>
        <v>8528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0.99976553341148888</v>
      </c>
      <c r="AC6" s="9">
        <f t="shared" ref="AC6:AC20" si="5">IF(P6=0,"0",(P6/24))</f>
        <v>1</v>
      </c>
      <c r="AD6" s="10">
        <f t="shared" ref="AD6:AD20" si="6">AC6*AB6*(1-O6)</f>
        <v>0.99976553341148888</v>
      </c>
      <c r="AE6" s="39">
        <f t="shared" ref="AE6:AE20" si="7">$AD$21</f>
        <v>0.37197535307555163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0.37197535307555163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114</v>
      </c>
      <c r="D8" s="55" t="s">
        <v>466</v>
      </c>
      <c r="E8" s="57" t="s">
        <v>467</v>
      </c>
      <c r="F8" s="33" t="s">
        <v>142</v>
      </c>
      <c r="G8" s="12">
        <v>1</v>
      </c>
      <c r="H8" s="13">
        <v>25</v>
      </c>
      <c r="I8" s="34">
        <v>200</v>
      </c>
      <c r="J8" s="5">
        <v>1124</v>
      </c>
      <c r="K8" s="15">
        <f>L8+1124</f>
        <v>1124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0.37197535307555163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114</v>
      </c>
      <c r="D9" s="55" t="s">
        <v>124</v>
      </c>
      <c r="E9" s="57" t="s">
        <v>468</v>
      </c>
      <c r="F9" s="33" t="s">
        <v>469</v>
      </c>
      <c r="G9" s="36">
        <v>1</v>
      </c>
      <c r="H9" s="38">
        <v>25</v>
      </c>
      <c r="I9" s="7">
        <v>1000</v>
      </c>
      <c r="J9" s="5">
        <v>1281</v>
      </c>
      <c r="K9" s="15">
        <f>L9+1281</f>
        <v>1281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0.37197535307555163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0.37197535307555163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550</v>
      </c>
      <c r="D11" s="55" t="s">
        <v>554</v>
      </c>
      <c r="E11" s="57" t="s">
        <v>555</v>
      </c>
      <c r="F11" s="12" t="s">
        <v>556</v>
      </c>
      <c r="G11" s="12">
        <v>1</v>
      </c>
      <c r="H11" s="13">
        <v>25</v>
      </c>
      <c r="I11" s="34">
        <v>35000</v>
      </c>
      <c r="J11" s="14">
        <v>5080</v>
      </c>
      <c r="K11" s="15">
        <f>L11+4976</f>
        <v>10051</v>
      </c>
      <c r="L11" s="15">
        <f>2893+2182</f>
        <v>5075</v>
      </c>
      <c r="M11" s="16">
        <f t="shared" si="0"/>
        <v>5075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0.99901574803149606</v>
      </c>
      <c r="AC11" s="9">
        <f t="shared" si="5"/>
        <v>1</v>
      </c>
      <c r="AD11" s="10">
        <f t="shared" si="6"/>
        <v>0.99901574803149606</v>
      </c>
      <c r="AE11" s="39">
        <f t="shared" si="7"/>
        <v>0.37197535307555163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121</v>
      </c>
      <c r="D12" s="55" t="s">
        <v>558</v>
      </c>
      <c r="E12" s="57" t="s">
        <v>557</v>
      </c>
      <c r="F12" s="12" t="s">
        <v>130</v>
      </c>
      <c r="G12" s="12">
        <v>1</v>
      </c>
      <c r="H12" s="13">
        <v>25</v>
      </c>
      <c r="I12" s="7">
        <v>6500</v>
      </c>
      <c r="J12" s="14">
        <v>2930</v>
      </c>
      <c r="K12" s="15">
        <f>L12+5352</f>
        <v>8275</v>
      </c>
      <c r="L12" s="15">
        <f>735+2188</f>
        <v>2923</v>
      </c>
      <c r="M12" s="16">
        <f t="shared" si="0"/>
        <v>2923</v>
      </c>
      <c r="N12" s="16">
        <v>0</v>
      </c>
      <c r="O12" s="62">
        <f t="shared" si="1"/>
        <v>0</v>
      </c>
      <c r="P12" s="42">
        <f t="shared" si="2"/>
        <v>18</v>
      </c>
      <c r="Q12" s="43">
        <f t="shared" si="3"/>
        <v>6</v>
      </c>
      <c r="R12" s="7"/>
      <c r="S12" s="6"/>
      <c r="T12" s="17"/>
      <c r="U12" s="17"/>
      <c r="V12" s="18"/>
      <c r="W12" s="19">
        <v>6</v>
      </c>
      <c r="X12" s="17"/>
      <c r="Y12" s="20"/>
      <c r="Z12" s="20"/>
      <c r="AA12" s="21"/>
      <c r="AB12" s="8">
        <f t="shared" si="4"/>
        <v>0.99761092150170649</v>
      </c>
      <c r="AC12" s="9">
        <f t="shared" si="5"/>
        <v>0.75</v>
      </c>
      <c r="AD12" s="10">
        <f t="shared" si="6"/>
        <v>0.7482081911262799</v>
      </c>
      <c r="AE12" s="39">
        <f t="shared" si="7"/>
        <v>0.37197535307555163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475</v>
      </c>
      <c r="E13" s="57" t="s">
        <v>476</v>
      </c>
      <c r="F13" s="12" t="s">
        <v>130</v>
      </c>
      <c r="G13" s="12">
        <v>1</v>
      </c>
      <c r="H13" s="13">
        <v>25</v>
      </c>
      <c r="I13" s="7">
        <v>6500</v>
      </c>
      <c r="J13" s="14">
        <v>4681</v>
      </c>
      <c r="K13" s="15">
        <f>L13+2757+5610+4681</f>
        <v>13048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0.37197535307555163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613</v>
      </c>
      <c r="F14" s="33" t="s">
        <v>560</v>
      </c>
      <c r="G14" s="36">
        <v>1</v>
      </c>
      <c r="H14" s="38">
        <v>25</v>
      </c>
      <c r="I14" s="7">
        <v>200</v>
      </c>
      <c r="J14" s="5">
        <v>140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0.37197535307555163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511</v>
      </c>
      <c r="D15" s="55" t="s">
        <v>512</v>
      </c>
      <c r="E15" s="57" t="s">
        <v>513</v>
      </c>
      <c r="F15" s="12">
        <v>8301</v>
      </c>
      <c r="G15" s="12">
        <v>1</v>
      </c>
      <c r="H15" s="13">
        <v>24</v>
      </c>
      <c r="I15" s="34">
        <v>5000</v>
      </c>
      <c r="J15" s="14">
        <v>3040</v>
      </c>
      <c r="K15" s="15">
        <f>L15+3285+3031</f>
        <v>6316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0.37197535307555163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550</v>
      </c>
      <c r="D16" s="55" t="s">
        <v>198</v>
      </c>
      <c r="E16" s="57" t="s">
        <v>561</v>
      </c>
      <c r="F16" s="12" t="s">
        <v>553</v>
      </c>
      <c r="G16" s="12">
        <v>2</v>
      </c>
      <c r="H16" s="13">
        <v>25</v>
      </c>
      <c r="I16" s="7">
        <v>35000</v>
      </c>
      <c r="J16" s="14">
        <v>9790</v>
      </c>
      <c r="K16" s="15">
        <f>L16+9478</f>
        <v>19264</v>
      </c>
      <c r="L16" s="15">
        <f>2752*2+2141*2</f>
        <v>9786</v>
      </c>
      <c r="M16" s="16">
        <f t="shared" si="0"/>
        <v>9786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0.99959141981613897</v>
      </c>
      <c r="AC16" s="9">
        <f t="shared" si="5"/>
        <v>1</v>
      </c>
      <c r="AD16" s="10">
        <f t="shared" si="6"/>
        <v>0.99959141981613897</v>
      </c>
      <c r="AE16" s="39">
        <f t="shared" si="7"/>
        <v>0.37197535307555163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550</v>
      </c>
      <c r="D17" s="55" t="s">
        <v>136</v>
      </c>
      <c r="E17" s="57" t="s">
        <v>562</v>
      </c>
      <c r="F17" s="12" t="s">
        <v>556</v>
      </c>
      <c r="G17" s="12">
        <v>1</v>
      </c>
      <c r="H17" s="13">
        <v>25</v>
      </c>
      <c r="I17" s="34">
        <v>35000</v>
      </c>
      <c r="J17" s="5">
        <v>11220</v>
      </c>
      <c r="K17" s="15">
        <f>L17+9090</f>
        <v>20310</v>
      </c>
      <c r="L17" s="15">
        <f>3062*2+2548*2</f>
        <v>11220</v>
      </c>
      <c r="M17" s="16">
        <f t="shared" si="0"/>
        <v>11220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1</v>
      </c>
      <c r="AD17" s="10">
        <f t="shared" si="6"/>
        <v>1</v>
      </c>
      <c r="AE17" s="39">
        <f t="shared" si="7"/>
        <v>0.37197535307555163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550</v>
      </c>
      <c r="D18" s="55" t="s">
        <v>563</v>
      </c>
      <c r="E18" s="57" t="s">
        <v>564</v>
      </c>
      <c r="F18" s="12" t="s">
        <v>565</v>
      </c>
      <c r="G18" s="12" t="s">
        <v>566</v>
      </c>
      <c r="H18" s="13">
        <v>24</v>
      </c>
      <c r="I18" s="34">
        <v>1000</v>
      </c>
      <c r="J18" s="14">
        <v>1064</v>
      </c>
      <c r="K18" s="15">
        <f>L18+1064</f>
        <v>1064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0.37197535307555163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425</v>
      </c>
      <c r="D19" s="55" t="s">
        <v>124</v>
      </c>
      <c r="E19" s="57" t="s">
        <v>567</v>
      </c>
      <c r="F19" s="12" t="s">
        <v>135</v>
      </c>
      <c r="G19" s="12">
        <v>2</v>
      </c>
      <c r="H19" s="13">
        <v>25</v>
      </c>
      <c r="I19" s="7">
        <v>35000</v>
      </c>
      <c r="J19" s="14">
        <v>5870</v>
      </c>
      <c r="K19" s="15">
        <f>L19+10284</f>
        <v>16152</v>
      </c>
      <c r="L19" s="15">
        <f>452*2+1840+1562*2</f>
        <v>5868</v>
      </c>
      <c r="M19" s="16">
        <f t="shared" si="0"/>
        <v>5868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0.99965928449744468</v>
      </c>
      <c r="AC19" s="9">
        <f t="shared" si="5"/>
        <v>0.83333333333333337</v>
      </c>
      <c r="AD19" s="10">
        <f t="shared" si="6"/>
        <v>0.83304940374787062</v>
      </c>
      <c r="AE19" s="39">
        <f t="shared" si="7"/>
        <v>0.37197535307555163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0.37197535307555163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998300</v>
      </c>
      <c r="J21" s="22">
        <f t="shared" si="9"/>
        <v>58680</v>
      </c>
      <c r="K21" s="23">
        <f t="shared" si="9"/>
        <v>493243</v>
      </c>
      <c r="L21" s="24">
        <f t="shared" si="9"/>
        <v>43400</v>
      </c>
      <c r="M21" s="23">
        <f t="shared" si="9"/>
        <v>43400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134</v>
      </c>
      <c r="Q21" s="46">
        <f t="shared" si="10"/>
        <v>202</v>
      </c>
      <c r="R21" s="26">
        <f t="shared" si="10"/>
        <v>0</v>
      </c>
      <c r="S21" s="27">
        <f t="shared" si="10"/>
        <v>76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126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0.39970952715055164</v>
      </c>
      <c r="AC21" s="4">
        <f>SUM(AC6:AC20)/15</f>
        <v>0.37222222222222218</v>
      </c>
      <c r="AD21" s="4">
        <f>SUM(AD6:AD20)/15</f>
        <v>0.37197535307555163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608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618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246" t="s">
        <v>46</v>
      </c>
      <c r="D50" s="246" t="s">
        <v>47</v>
      </c>
      <c r="E50" s="246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246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5" t="s">
        <v>609</v>
      </c>
      <c r="B51" s="396"/>
      <c r="C51" s="248" t="s">
        <v>610</v>
      </c>
      <c r="D51" s="248" t="s">
        <v>611</v>
      </c>
      <c r="E51" s="248" t="s">
        <v>612</v>
      </c>
      <c r="F51" s="397" t="s">
        <v>617</v>
      </c>
      <c r="G51" s="397"/>
      <c r="H51" s="397"/>
      <c r="I51" s="397"/>
      <c r="J51" s="397"/>
      <c r="K51" s="397"/>
      <c r="L51" s="397"/>
      <c r="M51" s="398"/>
      <c r="N51" s="247" t="s">
        <v>609</v>
      </c>
      <c r="O51" s="74" t="s">
        <v>619</v>
      </c>
      <c r="P51" s="396" t="s">
        <v>620</v>
      </c>
      <c r="Q51" s="396"/>
      <c r="R51" s="396" t="s">
        <v>621</v>
      </c>
      <c r="S51" s="396"/>
      <c r="T51" s="396"/>
      <c r="U51" s="396"/>
      <c r="V51" s="397" t="s">
        <v>622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614</v>
      </c>
      <c r="B52" s="396"/>
      <c r="C52" s="248" t="s">
        <v>615</v>
      </c>
      <c r="D52" s="248" t="s">
        <v>132</v>
      </c>
      <c r="E52" s="248" t="s">
        <v>613</v>
      </c>
      <c r="F52" s="397" t="s">
        <v>616</v>
      </c>
      <c r="G52" s="397"/>
      <c r="H52" s="397"/>
      <c r="I52" s="397"/>
      <c r="J52" s="397"/>
      <c r="K52" s="397"/>
      <c r="L52" s="397"/>
      <c r="M52" s="398"/>
      <c r="N52" s="247" t="s">
        <v>587</v>
      </c>
      <c r="O52" s="74" t="s">
        <v>597</v>
      </c>
      <c r="P52" s="396" t="s">
        <v>598</v>
      </c>
      <c r="Q52" s="396"/>
      <c r="R52" s="396" t="s">
        <v>596</v>
      </c>
      <c r="S52" s="396"/>
      <c r="T52" s="396"/>
      <c r="U52" s="396"/>
      <c r="V52" s="397" t="s">
        <v>599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/>
      <c r="B53" s="396"/>
      <c r="C53" s="248"/>
      <c r="D53" s="248"/>
      <c r="E53" s="248"/>
      <c r="F53" s="397"/>
      <c r="G53" s="397"/>
      <c r="H53" s="397"/>
      <c r="I53" s="397"/>
      <c r="J53" s="397"/>
      <c r="K53" s="397"/>
      <c r="L53" s="397"/>
      <c r="M53" s="398"/>
      <c r="N53" s="247" t="s">
        <v>134</v>
      </c>
      <c r="O53" s="74" t="s">
        <v>623</v>
      </c>
      <c r="P53" s="396" t="s">
        <v>624</v>
      </c>
      <c r="Q53" s="396"/>
      <c r="R53" s="396" t="s">
        <v>625</v>
      </c>
      <c r="S53" s="396"/>
      <c r="T53" s="396"/>
      <c r="U53" s="396"/>
      <c r="V53" s="397" t="s">
        <v>626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/>
      <c r="B54" s="396"/>
      <c r="C54" s="248"/>
      <c r="D54" s="248"/>
      <c r="E54" s="248"/>
      <c r="F54" s="397"/>
      <c r="G54" s="397"/>
      <c r="H54" s="397"/>
      <c r="I54" s="397"/>
      <c r="J54" s="397"/>
      <c r="K54" s="397"/>
      <c r="L54" s="397"/>
      <c r="M54" s="398"/>
      <c r="N54" s="247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248"/>
      <c r="D55" s="248"/>
      <c r="E55" s="248"/>
      <c r="F55" s="397"/>
      <c r="G55" s="397"/>
      <c r="H55" s="397"/>
      <c r="I55" s="397"/>
      <c r="J55" s="397"/>
      <c r="K55" s="397"/>
      <c r="L55" s="397"/>
      <c r="M55" s="398"/>
      <c r="N55" s="247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/>
      <c r="B56" s="396"/>
      <c r="C56" s="248"/>
      <c r="D56" s="248"/>
      <c r="E56" s="248"/>
      <c r="F56" s="397"/>
      <c r="G56" s="397"/>
      <c r="H56" s="397"/>
      <c r="I56" s="397"/>
      <c r="J56" s="397"/>
      <c r="K56" s="397"/>
      <c r="L56" s="397"/>
      <c r="M56" s="398"/>
      <c r="N56" s="247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/>
      <c r="B57" s="396"/>
      <c r="C57" s="248"/>
      <c r="D57" s="248"/>
      <c r="E57" s="248"/>
      <c r="F57" s="397"/>
      <c r="G57" s="397"/>
      <c r="H57" s="397"/>
      <c r="I57" s="397"/>
      <c r="J57" s="397"/>
      <c r="K57" s="397"/>
      <c r="L57" s="397"/>
      <c r="M57" s="398"/>
      <c r="N57" s="247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249"/>
      <c r="D58" s="248"/>
      <c r="E58" s="249"/>
      <c r="F58" s="397"/>
      <c r="G58" s="397"/>
      <c r="H58" s="397"/>
      <c r="I58" s="397"/>
      <c r="J58" s="397"/>
      <c r="K58" s="397"/>
      <c r="L58" s="397"/>
      <c r="M58" s="398"/>
      <c r="N58" s="247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248"/>
      <c r="D59" s="248"/>
      <c r="E59" s="248"/>
      <c r="F59" s="397"/>
      <c r="G59" s="397"/>
      <c r="H59" s="397"/>
      <c r="I59" s="397"/>
      <c r="J59" s="397"/>
      <c r="K59" s="397"/>
      <c r="L59" s="397"/>
      <c r="M59" s="398"/>
      <c r="N59" s="247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251"/>
      <c r="D60" s="251"/>
      <c r="E60" s="251"/>
      <c r="F60" s="403"/>
      <c r="G60" s="403"/>
      <c r="H60" s="403"/>
      <c r="I60" s="403"/>
      <c r="J60" s="403"/>
      <c r="K60" s="403"/>
      <c r="L60" s="403"/>
      <c r="M60" s="404"/>
      <c r="N60" s="250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627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52" t="s">
        <v>2</v>
      </c>
      <c r="D62" s="252" t="s">
        <v>37</v>
      </c>
      <c r="E62" s="252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52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601</v>
      </c>
      <c r="D63" s="255"/>
      <c r="E63" s="253" t="s">
        <v>628</v>
      </c>
      <c r="F63" s="416" t="s">
        <v>629</v>
      </c>
      <c r="G63" s="417"/>
      <c r="H63" s="417"/>
      <c r="I63" s="417"/>
      <c r="J63" s="417"/>
      <c r="K63" s="417" t="s">
        <v>630</v>
      </c>
      <c r="L63" s="417"/>
      <c r="M63" s="54" t="s">
        <v>546</v>
      </c>
      <c r="N63" s="417">
        <v>10</v>
      </c>
      <c r="O63" s="417"/>
      <c r="P63" s="418">
        <v>50</v>
      </c>
      <c r="Q63" s="418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 t="s">
        <v>125</v>
      </c>
      <c r="D64" s="255"/>
      <c r="E64" s="253" t="s">
        <v>631</v>
      </c>
      <c r="F64" s="416" t="s">
        <v>632</v>
      </c>
      <c r="G64" s="417"/>
      <c r="H64" s="417"/>
      <c r="I64" s="417"/>
      <c r="J64" s="417"/>
      <c r="K64" s="417" t="s">
        <v>633</v>
      </c>
      <c r="L64" s="417"/>
      <c r="M64" s="54" t="s">
        <v>603</v>
      </c>
      <c r="N64" s="417">
        <v>8</v>
      </c>
      <c r="O64" s="417"/>
      <c r="P64" s="418">
        <v>100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 t="s">
        <v>125</v>
      </c>
      <c r="D65" s="255"/>
      <c r="E65" s="253" t="s">
        <v>132</v>
      </c>
      <c r="F65" s="416" t="s">
        <v>634</v>
      </c>
      <c r="G65" s="417"/>
      <c r="H65" s="417"/>
      <c r="I65" s="417"/>
      <c r="J65" s="417"/>
      <c r="K65" s="417" t="s">
        <v>635</v>
      </c>
      <c r="L65" s="417"/>
      <c r="M65" s="54" t="s">
        <v>603</v>
      </c>
      <c r="N65" s="417">
        <v>8</v>
      </c>
      <c r="O65" s="417"/>
      <c r="P65" s="418">
        <v>50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 t="s">
        <v>636</v>
      </c>
      <c r="D66" s="255"/>
      <c r="E66" s="253" t="s">
        <v>637</v>
      </c>
      <c r="F66" s="416" t="s">
        <v>638</v>
      </c>
      <c r="G66" s="417"/>
      <c r="H66" s="417"/>
      <c r="I66" s="417"/>
      <c r="J66" s="417"/>
      <c r="K66" s="417" t="s">
        <v>639</v>
      </c>
      <c r="L66" s="417"/>
      <c r="M66" s="54" t="s">
        <v>603</v>
      </c>
      <c r="N66" s="417">
        <v>13</v>
      </c>
      <c r="O66" s="417"/>
      <c r="P66" s="418">
        <v>100</v>
      </c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 t="s">
        <v>125</v>
      </c>
      <c r="D67" s="255"/>
      <c r="E67" s="253" t="s">
        <v>640</v>
      </c>
      <c r="F67" s="416" t="s">
        <v>641</v>
      </c>
      <c r="G67" s="417"/>
      <c r="H67" s="417"/>
      <c r="I67" s="417"/>
      <c r="J67" s="417"/>
      <c r="K67" s="417" t="s">
        <v>633</v>
      </c>
      <c r="L67" s="417"/>
      <c r="M67" s="54" t="s">
        <v>603</v>
      </c>
      <c r="N67" s="417">
        <v>5</v>
      </c>
      <c r="O67" s="417"/>
      <c r="P67" s="418">
        <v>120</v>
      </c>
      <c r="Q67" s="418"/>
      <c r="R67" s="397" t="s">
        <v>642</v>
      </c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/>
      <c r="D68" s="255"/>
      <c r="E68" s="253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255"/>
      <c r="E69" s="253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255"/>
      <c r="E70" s="253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643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254" t="s">
        <v>2</v>
      </c>
      <c r="D72" s="254" t="s">
        <v>37</v>
      </c>
      <c r="E72" s="254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256" t="s">
        <v>114</v>
      </c>
      <c r="D73" s="256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255" t="s">
        <v>114</v>
      </c>
      <c r="D74" s="255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255"/>
      <c r="D75" s="255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255"/>
      <c r="D76" s="255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255"/>
      <c r="D77" s="255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255"/>
      <c r="D78" s="255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255"/>
      <c r="D79" s="255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255"/>
      <c r="D80" s="255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255"/>
      <c r="D81" s="255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644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645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68" t="s">
        <v>17</v>
      </c>
      <c r="L5" s="268" t="s">
        <v>18</v>
      </c>
      <c r="M5" s="268" t="s">
        <v>19</v>
      </c>
      <c r="N5" s="26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550</v>
      </c>
      <c r="D6" s="55" t="s">
        <v>551</v>
      </c>
      <c r="E6" s="57" t="s">
        <v>552</v>
      </c>
      <c r="F6" s="33" t="s">
        <v>553</v>
      </c>
      <c r="G6" s="36">
        <v>2</v>
      </c>
      <c r="H6" s="38">
        <v>25</v>
      </c>
      <c r="I6" s="7">
        <v>35000</v>
      </c>
      <c r="J6" s="5">
        <v>9800</v>
      </c>
      <c r="K6" s="15">
        <f>L6+7824+8528</f>
        <v>26148</v>
      </c>
      <c r="L6" s="15">
        <f>2379*2+2519*2</f>
        <v>9796</v>
      </c>
      <c r="M6" s="16">
        <f t="shared" ref="M6:M20" si="0">L6-N6</f>
        <v>9796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0.99959183673469387</v>
      </c>
      <c r="AC6" s="9">
        <f t="shared" ref="AC6:AC20" si="5">IF(P6=0,"0",(P6/24))</f>
        <v>1</v>
      </c>
      <c r="AD6" s="10">
        <f t="shared" ref="AD6:AD20" si="6">AC6*AB6*(1-O6)</f>
        <v>0.99959183673469387</v>
      </c>
      <c r="AE6" s="39">
        <f t="shared" ref="AE6:AE20" si="7">$AD$21</f>
        <v>0.51068445336957247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0.51068445336957247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646</v>
      </c>
      <c r="D8" s="55"/>
      <c r="E8" s="57" t="s">
        <v>647</v>
      </c>
      <c r="F8" s="33" t="s">
        <v>142</v>
      </c>
      <c r="G8" s="12">
        <v>1</v>
      </c>
      <c r="H8" s="13">
        <v>25</v>
      </c>
      <c r="I8" s="34">
        <v>10000</v>
      </c>
      <c r="J8" s="5">
        <v>1940</v>
      </c>
      <c r="K8" s="15">
        <f>L8</f>
        <v>1936</v>
      </c>
      <c r="L8" s="15">
        <f>1528+408</f>
        <v>1936</v>
      </c>
      <c r="M8" s="16">
        <f t="shared" si="0"/>
        <v>1936</v>
      </c>
      <c r="N8" s="16">
        <v>0</v>
      </c>
      <c r="O8" s="62">
        <f t="shared" si="1"/>
        <v>0</v>
      </c>
      <c r="P8" s="42">
        <f t="shared" si="2"/>
        <v>18</v>
      </c>
      <c r="Q8" s="43">
        <f t="shared" si="3"/>
        <v>6</v>
      </c>
      <c r="R8" s="7"/>
      <c r="S8" s="6"/>
      <c r="T8" s="17">
        <v>6</v>
      </c>
      <c r="U8" s="17"/>
      <c r="V8" s="18"/>
      <c r="W8" s="19"/>
      <c r="X8" s="17"/>
      <c r="Y8" s="20"/>
      <c r="Z8" s="20"/>
      <c r="AA8" s="21"/>
      <c r="AB8" s="8">
        <f t="shared" si="4"/>
        <v>0.99793814432989691</v>
      </c>
      <c r="AC8" s="9">
        <f t="shared" si="5"/>
        <v>0.75</v>
      </c>
      <c r="AD8" s="10">
        <f t="shared" si="6"/>
        <v>0.74845360824742269</v>
      </c>
      <c r="AE8" s="39">
        <f t="shared" si="7"/>
        <v>0.51068445336957247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114</v>
      </c>
      <c r="D9" s="55" t="s">
        <v>124</v>
      </c>
      <c r="E9" s="57" t="s">
        <v>436</v>
      </c>
      <c r="F9" s="33" t="s">
        <v>469</v>
      </c>
      <c r="G9" s="36">
        <v>1</v>
      </c>
      <c r="H9" s="38">
        <v>25</v>
      </c>
      <c r="I9" s="7">
        <v>1000</v>
      </c>
      <c r="J9" s="5">
        <v>1281</v>
      </c>
      <c r="K9" s="15">
        <f>L9+1281</f>
        <v>1281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0.51068445336957247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0.51068445336957247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550</v>
      </c>
      <c r="D11" s="55" t="s">
        <v>554</v>
      </c>
      <c r="E11" s="57" t="s">
        <v>555</v>
      </c>
      <c r="F11" s="12" t="s">
        <v>556</v>
      </c>
      <c r="G11" s="12">
        <v>1</v>
      </c>
      <c r="H11" s="13">
        <v>25</v>
      </c>
      <c r="I11" s="34">
        <v>35000</v>
      </c>
      <c r="J11" s="14">
        <v>5440</v>
      </c>
      <c r="K11" s="15">
        <f>L11+4976+5075</f>
        <v>15483</v>
      </c>
      <c r="L11" s="15">
        <f>2677+2755</f>
        <v>5432</v>
      </c>
      <c r="M11" s="16">
        <f t="shared" si="0"/>
        <v>5432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0.99852941176470589</v>
      </c>
      <c r="AC11" s="9">
        <f t="shared" si="5"/>
        <v>1</v>
      </c>
      <c r="AD11" s="10">
        <f t="shared" si="6"/>
        <v>0.99852941176470589</v>
      </c>
      <c r="AE11" s="39">
        <f t="shared" si="7"/>
        <v>0.51068445336957247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134</v>
      </c>
      <c r="D12" s="55" t="s">
        <v>539</v>
      </c>
      <c r="E12" s="57" t="s">
        <v>648</v>
      </c>
      <c r="F12" s="12" t="s">
        <v>649</v>
      </c>
      <c r="G12" s="12">
        <v>1</v>
      </c>
      <c r="H12" s="13">
        <v>25</v>
      </c>
      <c r="I12" s="7">
        <v>12000</v>
      </c>
      <c r="J12" s="14">
        <v>3180</v>
      </c>
      <c r="K12" s="15">
        <f>L12</f>
        <v>3180</v>
      </c>
      <c r="L12" s="15">
        <f>3180</f>
        <v>3180</v>
      </c>
      <c r="M12" s="16">
        <f t="shared" si="0"/>
        <v>3180</v>
      </c>
      <c r="N12" s="16">
        <v>0</v>
      </c>
      <c r="O12" s="62">
        <f t="shared" si="1"/>
        <v>0</v>
      </c>
      <c r="P12" s="42">
        <f t="shared" si="2"/>
        <v>15</v>
      </c>
      <c r="Q12" s="43">
        <f t="shared" si="3"/>
        <v>9</v>
      </c>
      <c r="R12" s="7"/>
      <c r="S12" s="6">
        <v>9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0.625</v>
      </c>
      <c r="AD12" s="10">
        <f t="shared" si="6"/>
        <v>0.625</v>
      </c>
      <c r="AE12" s="39">
        <f t="shared" si="7"/>
        <v>0.51068445336957247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475</v>
      </c>
      <c r="E13" s="57" t="s">
        <v>476</v>
      </c>
      <c r="F13" s="12" t="s">
        <v>130</v>
      </c>
      <c r="G13" s="12">
        <v>1</v>
      </c>
      <c r="H13" s="13">
        <v>25</v>
      </c>
      <c r="I13" s="7">
        <v>6500</v>
      </c>
      <c r="J13" s="14">
        <v>4681</v>
      </c>
      <c r="K13" s="15">
        <f>L13+2757+5610+4681</f>
        <v>13048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0.51068445336957247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613</v>
      </c>
      <c r="F14" s="33" t="s">
        <v>560</v>
      </c>
      <c r="G14" s="36">
        <v>1</v>
      </c>
      <c r="H14" s="38">
        <v>25</v>
      </c>
      <c r="I14" s="7">
        <v>200</v>
      </c>
      <c r="J14" s="5">
        <v>355</v>
      </c>
      <c r="K14" s="15">
        <f>L14</f>
        <v>355</v>
      </c>
      <c r="L14" s="15">
        <v>355</v>
      </c>
      <c r="M14" s="16">
        <f t="shared" si="0"/>
        <v>355</v>
      </c>
      <c r="N14" s="16">
        <v>0</v>
      </c>
      <c r="O14" s="62">
        <f t="shared" si="1"/>
        <v>0</v>
      </c>
      <c r="P14" s="42">
        <f t="shared" si="2"/>
        <v>7</v>
      </c>
      <c r="Q14" s="43">
        <f t="shared" si="3"/>
        <v>17</v>
      </c>
      <c r="R14" s="7"/>
      <c r="S14" s="6">
        <v>4</v>
      </c>
      <c r="T14" s="17"/>
      <c r="U14" s="17"/>
      <c r="V14" s="18"/>
      <c r="W14" s="19">
        <v>13</v>
      </c>
      <c r="X14" s="17"/>
      <c r="Y14" s="20"/>
      <c r="Z14" s="20"/>
      <c r="AA14" s="21"/>
      <c r="AB14" s="8">
        <f t="shared" si="4"/>
        <v>1</v>
      </c>
      <c r="AC14" s="9">
        <f t="shared" si="5"/>
        <v>0.29166666666666669</v>
      </c>
      <c r="AD14" s="10">
        <f t="shared" si="6"/>
        <v>0.29166666666666669</v>
      </c>
      <c r="AE14" s="39">
        <f t="shared" si="7"/>
        <v>0.51068445336957247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650</v>
      </c>
      <c r="D15" s="55" t="s">
        <v>651</v>
      </c>
      <c r="E15" s="57" t="s">
        <v>652</v>
      </c>
      <c r="F15" s="12" t="s">
        <v>653</v>
      </c>
      <c r="G15" s="12">
        <v>1</v>
      </c>
      <c r="H15" s="13">
        <v>24</v>
      </c>
      <c r="I15" s="34">
        <v>4500</v>
      </c>
      <c r="J15" s="14">
        <v>5030</v>
      </c>
      <c r="K15" s="15">
        <f>L15</f>
        <v>5027</v>
      </c>
      <c r="L15" s="15">
        <f>3077+1950</f>
        <v>5027</v>
      </c>
      <c r="M15" s="16">
        <f t="shared" si="0"/>
        <v>5027</v>
      </c>
      <c r="N15" s="16">
        <v>0</v>
      </c>
      <c r="O15" s="62">
        <f t="shared" si="1"/>
        <v>0</v>
      </c>
      <c r="P15" s="42">
        <f t="shared" si="2"/>
        <v>20</v>
      </c>
      <c r="Q15" s="43">
        <f t="shared" si="3"/>
        <v>4</v>
      </c>
      <c r="R15" s="7"/>
      <c r="S15" s="6"/>
      <c r="T15" s="17">
        <v>4</v>
      </c>
      <c r="U15" s="17"/>
      <c r="V15" s="18"/>
      <c r="W15" s="19"/>
      <c r="X15" s="17"/>
      <c r="Y15" s="20"/>
      <c r="Z15" s="20"/>
      <c r="AA15" s="21"/>
      <c r="AB15" s="8">
        <f t="shared" si="4"/>
        <v>0.999403578528827</v>
      </c>
      <c r="AC15" s="9">
        <f t="shared" si="5"/>
        <v>0.83333333333333337</v>
      </c>
      <c r="AD15" s="10">
        <f t="shared" si="6"/>
        <v>0.83283631544068926</v>
      </c>
      <c r="AE15" s="39">
        <f t="shared" si="7"/>
        <v>0.51068445336957247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550</v>
      </c>
      <c r="D16" s="55" t="s">
        <v>198</v>
      </c>
      <c r="E16" s="57" t="s">
        <v>561</v>
      </c>
      <c r="F16" s="12" t="s">
        <v>553</v>
      </c>
      <c r="G16" s="12">
        <v>2</v>
      </c>
      <c r="H16" s="13">
        <v>25</v>
      </c>
      <c r="I16" s="7">
        <v>35000</v>
      </c>
      <c r="J16" s="14">
        <v>10740</v>
      </c>
      <c r="K16" s="15">
        <f>L16+9478+9786</f>
        <v>29996</v>
      </c>
      <c r="L16" s="15">
        <f>2775*2+2591*2</f>
        <v>10732</v>
      </c>
      <c r="M16" s="16">
        <f t="shared" si="0"/>
        <v>10732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0.99925512104283054</v>
      </c>
      <c r="AC16" s="9">
        <f t="shared" si="5"/>
        <v>1</v>
      </c>
      <c r="AD16" s="10">
        <f t="shared" si="6"/>
        <v>0.99925512104283054</v>
      </c>
      <c r="AE16" s="39">
        <f t="shared" si="7"/>
        <v>0.51068445336957247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134</v>
      </c>
      <c r="D17" s="55" t="s">
        <v>654</v>
      </c>
      <c r="E17" s="57" t="s">
        <v>655</v>
      </c>
      <c r="F17" s="12" t="s">
        <v>556</v>
      </c>
      <c r="G17" s="12">
        <v>2</v>
      </c>
      <c r="H17" s="13">
        <v>25</v>
      </c>
      <c r="I17" s="34">
        <v>18000</v>
      </c>
      <c r="J17" s="5">
        <v>10900</v>
      </c>
      <c r="K17" s="15">
        <f>L17</f>
        <v>10898</v>
      </c>
      <c r="L17" s="15">
        <f>3185*2+2264*2</f>
        <v>10898</v>
      </c>
      <c r="M17" s="16">
        <f t="shared" si="0"/>
        <v>10898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0.99981651376146785</v>
      </c>
      <c r="AC17" s="9">
        <f t="shared" si="5"/>
        <v>1</v>
      </c>
      <c r="AD17" s="10">
        <f t="shared" si="6"/>
        <v>0.99981651376146785</v>
      </c>
      <c r="AE17" s="39">
        <f t="shared" si="7"/>
        <v>0.51068445336957247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134</v>
      </c>
      <c r="D18" s="55" t="s">
        <v>656</v>
      </c>
      <c r="E18" s="57" t="s">
        <v>657</v>
      </c>
      <c r="F18" s="12" t="s">
        <v>658</v>
      </c>
      <c r="G18" s="12">
        <v>1</v>
      </c>
      <c r="H18" s="13">
        <v>24</v>
      </c>
      <c r="I18" s="34">
        <v>600</v>
      </c>
      <c r="J18" s="14">
        <v>770</v>
      </c>
      <c r="K18" s="15">
        <f>L18</f>
        <v>767</v>
      </c>
      <c r="L18" s="15">
        <f>767</f>
        <v>767</v>
      </c>
      <c r="M18" s="16">
        <f t="shared" si="0"/>
        <v>767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>
        <v>6</v>
      </c>
      <c r="T18" s="17"/>
      <c r="U18" s="17"/>
      <c r="V18" s="18"/>
      <c r="W18" s="19">
        <v>12</v>
      </c>
      <c r="X18" s="17"/>
      <c r="Y18" s="20"/>
      <c r="Z18" s="20"/>
      <c r="AA18" s="21"/>
      <c r="AB18" s="8">
        <f t="shared" si="4"/>
        <v>0.99610389610389616</v>
      </c>
      <c r="AC18" s="9">
        <f t="shared" si="5"/>
        <v>0.25</v>
      </c>
      <c r="AD18" s="10">
        <f t="shared" si="6"/>
        <v>0.24902597402597404</v>
      </c>
      <c r="AE18" s="39">
        <f t="shared" si="7"/>
        <v>0.51068445336957247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425</v>
      </c>
      <c r="D19" s="55" t="s">
        <v>124</v>
      </c>
      <c r="E19" s="57" t="s">
        <v>567</v>
      </c>
      <c r="F19" s="12" t="s">
        <v>135</v>
      </c>
      <c r="G19" s="12">
        <v>2</v>
      </c>
      <c r="H19" s="13">
        <v>25</v>
      </c>
      <c r="I19" s="7">
        <v>35000</v>
      </c>
      <c r="J19" s="14">
        <v>9560</v>
      </c>
      <c r="K19" s="15">
        <f>L19+10284+5868</f>
        <v>25706</v>
      </c>
      <c r="L19" s="15">
        <f>2809*2+1968*2</f>
        <v>9554</v>
      </c>
      <c r="M19" s="16">
        <f t="shared" si="0"/>
        <v>9554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0.99937238493723846</v>
      </c>
      <c r="AC19" s="9">
        <f t="shared" si="5"/>
        <v>0.91666666666666663</v>
      </c>
      <c r="AD19" s="10">
        <f t="shared" si="6"/>
        <v>0.91609135285913523</v>
      </c>
      <c r="AE19" s="39">
        <f t="shared" si="7"/>
        <v>0.51068445336957247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0.51068445336957247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995700</v>
      </c>
      <c r="J21" s="22">
        <f t="shared" si="9"/>
        <v>67607</v>
      </c>
      <c r="K21" s="23">
        <f t="shared" si="9"/>
        <v>513831</v>
      </c>
      <c r="L21" s="24">
        <f t="shared" si="9"/>
        <v>57677</v>
      </c>
      <c r="M21" s="23">
        <f t="shared" si="9"/>
        <v>57677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184</v>
      </c>
      <c r="Q21" s="46">
        <f t="shared" si="10"/>
        <v>176</v>
      </c>
      <c r="R21" s="26">
        <f t="shared" si="10"/>
        <v>0</v>
      </c>
      <c r="S21" s="27">
        <f t="shared" si="10"/>
        <v>45</v>
      </c>
      <c r="T21" s="27">
        <f t="shared" si="10"/>
        <v>10</v>
      </c>
      <c r="U21" s="27">
        <f t="shared" si="10"/>
        <v>0</v>
      </c>
      <c r="V21" s="28">
        <f t="shared" si="10"/>
        <v>0</v>
      </c>
      <c r="W21" s="29">
        <f t="shared" si="10"/>
        <v>121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0.66600072581357039</v>
      </c>
      <c r="AC21" s="4">
        <f>SUM(AC6:AC20)/15</f>
        <v>0.51111111111111118</v>
      </c>
      <c r="AD21" s="4">
        <f>SUM(AD6:AD20)/15</f>
        <v>0.51068445336957247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659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673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267" t="s">
        <v>46</v>
      </c>
      <c r="D50" s="267" t="s">
        <v>47</v>
      </c>
      <c r="E50" s="267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267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5" t="s">
        <v>609</v>
      </c>
      <c r="B51" s="396"/>
      <c r="C51" s="263" t="s">
        <v>610</v>
      </c>
      <c r="D51" s="263" t="s">
        <v>611</v>
      </c>
      <c r="E51" s="263" t="s">
        <v>612</v>
      </c>
      <c r="F51" s="397" t="s">
        <v>660</v>
      </c>
      <c r="G51" s="397"/>
      <c r="H51" s="397"/>
      <c r="I51" s="397"/>
      <c r="J51" s="397"/>
      <c r="K51" s="397"/>
      <c r="L51" s="397"/>
      <c r="M51" s="398"/>
      <c r="N51" s="262" t="s">
        <v>674</v>
      </c>
      <c r="O51" s="74" t="s">
        <v>675</v>
      </c>
      <c r="P51" s="396" t="s">
        <v>676</v>
      </c>
      <c r="Q51" s="396"/>
      <c r="R51" s="396" t="s">
        <v>677</v>
      </c>
      <c r="S51" s="396"/>
      <c r="T51" s="396"/>
      <c r="U51" s="396"/>
      <c r="V51" s="397" t="s">
        <v>678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614</v>
      </c>
      <c r="B52" s="396"/>
      <c r="C52" s="263" t="s">
        <v>615</v>
      </c>
      <c r="D52" s="263" t="s">
        <v>124</v>
      </c>
      <c r="E52" s="263" t="s">
        <v>613</v>
      </c>
      <c r="F52" s="397" t="s">
        <v>661</v>
      </c>
      <c r="G52" s="397"/>
      <c r="H52" s="397"/>
      <c r="I52" s="397"/>
      <c r="J52" s="397"/>
      <c r="K52" s="397"/>
      <c r="L52" s="397"/>
      <c r="M52" s="398"/>
      <c r="N52" s="262" t="s">
        <v>511</v>
      </c>
      <c r="O52" s="74" t="s">
        <v>597</v>
      </c>
      <c r="P52" s="396" t="s">
        <v>598</v>
      </c>
      <c r="Q52" s="396"/>
      <c r="R52" s="396" t="s">
        <v>679</v>
      </c>
      <c r="S52" s="396"/>
      <c r="T52" s="396"/>
      <c r="U52" s="396"/>
      <c r="V52" s="397" t="s">
        <v>678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650</v>
      </c>
      <c r="B53" s="396"/>
      <c r="C53" s="263" t="s">
        <v>662</v>
      </c>
      <c r="D53" s="263"/>
      <c r="E53" s="263" t="s">
        <v>663</v>
      </c>
      <c r="F53" s="397" t="s">
        <v>664</v>
      </c>
      <c r="G53" s="397"/>
      <c r="H53" s="397"/>
      <c r="I53" s="397"/>
      <c r="J53" s="397"/>
      <c r="K53" s="397"/>
      <c r="L53" s="397"/>
      <c r="M53" s="398"/>
      <c r="N53" s="262"/>
      <c r="O53" s="74"/>
      <c r="P53" s="396"/>
      <c r="Q53" s="396"/>
      <c r="R53" s="396"/>
      <c r="S53" s="396"/>
      <c r="T53" s="396"/>
      <c r="U53" s="396"/>
      <c r="V53" s="397"/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665</v>
      </c>
      <c r="B54" s="396"/>
      <c r="C54" s="263" t="s">
        <v>666</v>
      </c>
      <c r="D54" s="263" t="s">
        <v>667</v>
      </c>
      <c r="E54" s="263" t="s">
        <v>655</v>
      </c>
      <c r="F54" s="397" t="s">
        <v>664</v>
      </c>
      <c r="G54" s="397"/>
      <c r="H54" s="397"/>
      <c r="I54" s="397"/>
      <c r="J54" s="397"/>
      <c r="K54" s="397"/>
      <c r="L54" s="397"/>
      <c r="M54" s="398"/>
      <c r="N54" s="262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134</v>
      </c>
      <c r="B55" s="396"/>
      <c r="C55" s="263" t="s">
        <v>668</v>
      </c>
      <c r="D55" s="263" t="s">
        <v>669</v>
      </c>
      <c r="E55" s="263" t="s">
        <v>648</v>
      </c>
      <c r="F55" s="397" t="s">
        <v>664</v>
      </c>
      <c r="G55" s="397"/>
      <c r="H55" s="397"/>
      <c r="I55" s="397"/>
      <c r="J55" s="397"/>
      <c r="K55" s="397"/>
      <c r="L55" s="397"/>
      <c r="M55" s="398"/>
      <c r="N55" s="262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134</v>
      </c>
      <c r="B56" s="396"/>
      <c r="C56" s="263" t="s">
        <v>670</v>
      </c>
      <c r="D56" s="263" t="s">
        <v>671</v>
      </c>
      <c r="E56" s="263" t="s">
        <v>657</v>
      </c>
      <c r="F56" s="397" t="s">
        <v>672</v>
      </c>
      <c r="G56" s="397"/>
      <c r="H56" s="397"/>
      <c r="I56" s="397"/>
      <c r="J56" s="397"/>
      <c r="K56" s="397"/>
      <c r="L56" s="397"/>
      <c r="M56" s="398"/>
      <c r="N56" s="262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/>
      <c r="B57" s="396"/>
      <c r="C57" s="263"/>
      <c r="D57" s="263"/>
      <c r="E57" s="263"/>
      <c r="F57" s="397"/>
      <c r="G57" s="397"/>
      <c r="H57" s="397"/>
      <c r="I57" s="397"/>
      <c r="J57" s="397"/>
      <c r="K57" s="397"/>
      <c r="L57" s="397"/>
      <c r="M57" s="398"/>
      <c r="N57" s="262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266"/>
      <c r="D58" s="263"/>
      <c r="E58" s="266"/>
      <c r="F58" s="397"/>
      <c r="G58" s="397"/>
      <c r="H58" s="397"/>
      <c r="I58" s="397"/>
      <c r="J58" s="397"/>
      <c r="K58" s="397"/>
      <c r="L58" s="397"/>
      <c r="M58" s="398"/>
      <c r="N58" s="262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263"/>
      <c r="D59" s="263"/>
      <c r="E59" s="263"/>
      <c r="F59" s="397"/>
      <c r="G59" s="397"/>
      <c r="H59" s="397"/>
      <c r="I59" s="397"/>
      <c r="J59" s="397"/>
      <c r="K59" s="397"/>
      <c r="L59" s="397"/>
      <c r="M59" s="398"/>
      <c r="N59" s="262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265"/>
      <c r="D60" s="265"/>
      <c r="E60" s="265"/>
      <c r="F60" s="403"/>
      <c r="G60" s="403"/>
      <c r="H60" s="403"/>
      <c r="I60" s="403"/>
      <c r="J60" s="403"/>
      <c r="K60" s="403"/>
      <c r="L60" s="403"/>
      <c r="M60" s="404"/>
      <c r="N60" s="264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680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61" t="s">
        <v>2</v>
      </c>
      <c r="D62" s="261" t="s">
        <v>37</v>
      </c>
      <c r="E62" s="261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61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352</v>
      </c>
      <c r="D63" s="257"/>
      <c r="E63" s="260" t="s">
        <v>353</v>
      </c>
      <c r="F63" s="416" t="s">
        <v>354</v>
      </c>
      <c r="G63" s="417"/>
      <c r="H63" s="417"/>
      <c r="I63" s="417"/>
      <c r="J63" s="417"/>
      <c r="K63" s="417" t="s">
        <v>355</v>
      </c>
      <c r="L63" s="417"/>
      <c r="M63" s="54" t="s">
        <v>603</v>
      </c>
      <c r="N63" s="417">
        <v>4</v>
      </c>
      <c r="O63" s="417"/>
      <c r="P63" s="418">
        <v>100</v>
      </c>
      <c r="Q63" s="418"/>
      <c r="R63" s="397" t="s">
        <v>681</v>
      </c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/>
      <c r="D64" s="257"/>
      <c r="E64" s="260"/>
      <c r="F64" s="416"/>
      <c r="G64" s="417"/>
      <c r="H64" s="417"/>
      <c r="I64" s="417"/>
      <c r="J64" s="417"/>
      <c r="K64" s="417"/>
      <c r="L64" s="417"/>
      <c r="M64" s="54"/>
      <c r="N64" s="417"/>
      <c r="O64" s="417"/>
      <c r="P64" s="418"/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/>
      <c r="D65" s="257"/>
      <c r="E65" s="260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/>
      <c r="D66" s="257"/>
      <c r="E66" s="260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/>
      <c r="D67" s="257"/>
      <c r="E67" s="260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/>
      <c r="D68" s="257"/>
      <c r="E68" s="260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257"/>
      <c r="E69" s="260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257"/>
      <c r="E70" s="260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682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259" t="s">
        <v>2</v>
      </c>
      <c r="D72" s="259" t="s">
        <v>37</v>
      </c>
      <c r="E72" s="259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258" t="s">
        <v>114</v>
      </c>
      <c r="D73" s="258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257" t="s">
        <v>114</v>
      </c>
      <c r="D74" s="257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257"/>
      <c r="D75" s="257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257"/>
      <c r="D76" s="257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257"/>
      <c r="D77" s="257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257"/>
      <c r="D78" s="257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257"/>
      <c r="D79" s="257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257"/>
      <c r="D80" s="257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257"/>
      <c r="D81" s="257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683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684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69" t="s">
        <v>17</v>
      </c>
      <c r="L5" s="269" t="s">
        <v>18</v>
      </c>
      <c r="M5" s="269" t="s">
        <v>19</v>
      </c>
      <c r="N5" s="26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550</v>
      </c>
      <c r="D6" s="55" t="s">
        <v>551</v>
      </c>
      <c r="E6" s="57" t="s">
        <v>552</v>
      </c>
      <c r="F6" s="33" t="s">
        <v>553</v>
      </c>
      <c r="G6" s="36">
        <v>2</v>
      </c>
      <c r="H6" s="38">
        <v>25</v>
      </c>
      <c r="I6" s="7">
        <v>35000</v>
      </c>
      <c r="J6" s="5">
        <v>9830</v>
      </c>
      <c r="K6" s="15">
        <f>L6+7824+8528+9796</f>
        <v>35978</v>
      </c>
      <c r="L6" s="15">
        <f>2366*2+2549*2</f>
        <v>9830</v>
      </c>
      <c r="M6" s="16">
        <f t="shared" ref="M6:M20" si="0">L6-N6</f>
        <v>9830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1</v>
      </c>
      <c r="AC6" s="9">
        <f t="shared" ref="AC6:AC20" si="5">IF(P6=0,"0",(P6/24))</f>
        <v>1</v>
      </c>
      <c r="AD6" s="10">
        <f t="shared" ref="AD6:AD20" si="6">AC6*AB6*(1-O6)</f>
        <v>1</v>
      </c>
      <c r="AE6" s="39">
        <f t="shared" ref="AE6:AE20" si="7">$AD$21</f>
        <v>0.5636250322526658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0.5636250322526658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646</v>
      </c>
      <c r="D8" s="55"/>
      <c r="E8" s="57" t="s">
        <v>647</v>
      </c>
      <c r="F8" s="33" t="s">
        <v>142</v>
      </c>
      <c r="G8" s="12">
        <v>1</v>
      </c>
      <c r="H8" s="13">
        <v>25</v>
      </c>
      <c r="I8" s="34">
        <v>10000</v>
      </c>
      <c r="J8" s="5">
        <v>3001</v>
      </c>
      <c r="K8" s="15">
        <f>L8+1936</f>
        <v>4937</v>
      </c>
      <c r="L8" s="15">
        <f>1457+1544</f>
        <v>3001</v>
      </c>
      <c r="M8" s="16">
        <f t="shared" si="0"/>
        <v>3001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 t="shared" si="7"/>
        <v>0.5636250322526658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685</v>
      </c>
      <c r="D9" s="55" t="s">
        <v>686</v>
      </c>
      <c r="E9" s="57" t="s">
        <v>687</v>
      </c>
      <c r="F9" s="33" t="s">
        <v>688</v>
      </c>
      <c r="G9" s="36">
        <v>32</v>
      </c>
      <c r="H9" s="38">
        <v>25</v>
      </c>
      <c r="I9" s="7">
        <v>70000</v>
      </c>
      <c r="J9" s="5">
        <v>175776</v>
      </c>
      <c r="K9" s="15">
        <f>L9</f>
        <v>175776</v>
      </c>
      <c r="L9" s="15">
        <f>3209*32+2284*32</f>
        <v>175776</v>
      </c>
      <c r="M9" s="16">
        <f t="shared" si="0"/>
        <v>175776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/>
      <c r="T9" s="17">
        <v>2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9">
        <f t="shared" si="7"/>
        <v>0.5636250322526658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0.5636250322526658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550</v>
      </c>
      <c r="D11" s="55" t="s">
        <v>554</v>
      </c>
      <c r="E11" s="57" t="s">
        <v>555</v>
      </c>
      <c r="F11" s="12" t="s">
        <v>556</v>
      </c>
      <c r="G11" s="12">
        <v>1</v>
      </c>
      <c r="H11" s="13">
        <v>25</v>
      </c>
      <c r="I11" s="34">
        <v>35000</v>
      </c>
      <c r="J11" s="14">
        <v>4960</v>
      </c>
      <c r="K11" s="15">
        <f>L11+4976+5075+5432</f>
        <v>20439</v>
      </c>
      <c r="L11" s="15">
        <f>2560+2396</f>
        <v>4956</v>
      </c>
      <c r="M11" s="16">
        <f t="shared" si="0"/>
        <v>4956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0.99919354838709673</v>
      </c>
      <c r="AC11" s="9">
        <f t="shared" si="5"/>
        <v>1</v>
      </c>
      <c r="AD11" s="10">
        <f t="shared" si="6"/>
        <v>0.99919354838709673</v>
      </c>
      <c r="AE11" s="39">
        <f t="shared" si="7"/>
        <v>0.5636250322526658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539</v>
      </c>
      <c r="E12" s="57" t="s">
        <v>648</v>
      </c>
      <c r="F12" s="12" t="s">
        <v>649</v>
      </c>
      <c r="G12" s="12">
        <v>1</v>
      </c>
      <c r="H12" s="13">
        <v>25</v>
      </c>
      <c r="I12" s="7">
        <v>12000</v>
      </c>
      <c r="J12" s="14">
        <v>725</v>
      </c>
      <c r="K12" s="15">
        <f>L12+3180</f>
        <v>3905</v>
      </c>
      <c r="L12" s="15">
        <v>725</v>
      </c>
      <c r="M12" s="16">
        <f t="shared" si="0"/>
        <v>725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/>
      <c r="T12" s="17"/>
      <c r="U12" s="17"/>
      <c r="V12" s="18">
        <v>20</v>
      </c>
      <c r="W12" s="19"/>
      <c r="X12" s="17"/>
      <c r="Y12" s="20"/>
      <c r="Z12" s="20"/>
      <c r="AA12" s="21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9">
        <f t="shared" si="7"/>
        <v>0.5636250322526658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475</v>
      </c>
      <c r="E13" s="57" t="s">
        <v>476</v>
      </c>
      <c r="F13" s="12" t="s">
        <v>130</v>
      </c>
      <c r="G13" s="12">
        <v>1</v>
      </c>
      <c r="H13" s="13">
        <v>25</v>
      </c>
      <c r="I13" s="7">
        <v>6500</v>
      </c>
      <c r="J13" s="14">
        <v>4681</v>
      </c>
      <c r="K13" s="15">
        <f>L13+2757+5610+4681</f>
        <v>13048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0.5636250322526658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689</v>
      </c>
      <c r="F14" s="33" t="s">
        <v>688</v>
      </c>
      <c r="G14" s="36">
        <v>1</v>
      </c>
      <c r="H14" s="38">
        <v>25</v>
      </c>
      <c r="I14" s="7">
        <v>300</v>
      </c>
      <c r="J14" s="5">
        <v>382</v>
      </c>
      <c r="K14" s="15">
        <f>L14</f>
        <v>382</v>
      </c>
      <c r="L14" s="15">
        <v>382</v>
      </c>
      <c r="M14" s="16">
        <f t="shared" si="0"/>
        <v>382</v>
      </c>
      <c r="N14" s="16">
        <v>0</v>
      </c>
      <c r="O14" s="62">
        <f t="shared" si="1"/>
        <v>0</v>
      </c>
      <c r="P14" s="42">
        <f t="shared" si="2"/>
        <v>8</v>
      </c>
      <c r="Q14" s="43">
        <f t="shared" si="3"/>
        <v>16</v>
      </c>
      <c r="R14" s="7"/>
      <c r="S14" s="6"/>
      <c r="T14" s="17"/>
      <c r="U14" s="17"/>
      <c r="V14" s="18"/>
      <c r="W14" s="19">
        <v>16</v>
      </c>
      <c r="X14" s="17"/>
      <c r="Y14" s="20"/>
      <c r="Z14" s="20"/>
      <c r="AA14" s="21"/>
      <c r="AB14" s="8">
        <f t="shared" si="4"/>
        <v>1</v>
      </c>
      <c r="AC14" s="9">
        <f t="shared" si="5"/>
        <v>0.33333333333333331</v>
      </c>
      <c r="AD14" s="10">
        <f t="shared" si="6"/>
        <v>0.33333333333333331</v>
      </c>
      <c r="AE14" s="39">
        <f t="shared" si="7"/>
        <v>0.5636250322526658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650</v>
      </c>
      <c r="D15" s="55" t="s">
        <v>651</v>
      </c>
      <c r="E15" s="57" t="s">
        <v>652</v>
      </c>
      <c r="F15" s="12" t="s">
        <v>653</v>
      </c>
      <c r="G15" s="12">
        <v>1</v>
      </c>
      <c r="H15" s="13">
        <v>24</v>
      </c>
      <c r="I15" s="34">
        <v>4500</v>
      </c>
      <c r="J15" s="14">
        <v>1210</v>
      </c>
      <c r="K15" s="15">
        <f>L15+5027</f>
        <v>6235</v>
      </c>
      <c r="L15" s="15">
        <v>1208</v>
      </c>
      <c r="M15" s="16">
        <f t="shared" si="0"/>
        <v>1208</v>
      </c>
      <c r="N15" s="16">
        <v>0</v>
      </c>
      <c r="O15" s="62">
        <f t="shared" si="1"/>
        <v>0</v>
      </c>
      <c r="P15" s="42">
        <f t="shared" si="2"/>
        <v>6</v>
      </c>
      <c r="Q15" s="43">
        <f t="shared" si="3"/>
        <v>18</v>
      </c>
      <c r="R15" s="7"/>
      <c r="S15" s="6"/>
      <c r="T15" s="17"/>
      <c r="U15" s="17"/>
      <c r="V15" s="18"/>
      <c r="W15" s="19">
        <v>18</v>
      </c>
      <c r="X15" s="17"/>
      <c r="Y15" s="20"/>
      <c r="Z15" s="20"/>
      <c r="AA15" s="21"/>
      <c r="AB15" s="8">
        <f t="shared" si="4"/>
        <v>0.99834710743801658</v>
      </c>
      <c r="AC15" s="9">
        <f t="shared" si="5"/>
        <v>0.25</v>
      </c>
      <c r="AD15" s="10">
        <f t="shared" si="6"/>
        <v>0.24958677685950414</v>
      </c>
      <c r="AE15" s="39">
        <f t="shared" si="7"/>
        <v>0.5636250322526658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550</v>
      </c>
      <c r="D16" s="55" t="s">
        <v>198</v>
      </c>
      <c r="E16" s="57" t="s">
        <v>561</v>
      </c>
      <c r="F16" s="12" t="s">
        <v>553</v>
      </c>
      <c r="G16" s="12">
        <v>2</v>
      </c>
      <c r="H16" s="13">
        <v>25</v>
      </c>
      <c r="I16" s="7">
        <v>35000</v>
      </c>
      <c r="J16" s="14">
        <v>10650</v>
      </c>
      <c r="K16" s="15">
        <f>L16+9478+9786+10732</f>
        <v>40642</v>
      </c>
      <c r="L16" s="15">
        <f>2574*2+2749*2</f>
        <v>10646</v>
      </c>
      <c r="M16" s="16">
        <f t="shared" si="0"/>
        <v>10646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0.99962441314553996</v>
      </c>
      <c r="AC16" s="9">
        <f t="shared" si="5"/>
        <v>1</v>
      </c>
      <c r="AD16" s="10">
        <f t="shared" si="6"/>
        <v>0.99962441314553996</v>
      </c>
      <c r="AE16" s="39">
        <f t="shared" si="7"/>
        <v>0.5636250322526658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114</v>
      </c>
      <c r="D17" s="55" t="s">
        <v>654</v>
      </c>
      <c r="E17" s="57" t="s">
        <v>655</v>
      </c>
      <c r="F17" s="12" t="s">
        <v>556</v>
      </c>
      <c r="G17" s="12">
        <v>2</v>
      </c>
      <c r="H17" s="13">
        <v>25</v>
      </c>
      <c r="I17" s="34">
        <v>18000</v>
      </c>
      <c r="J17" s="5">
        <v>13160</v>
      </c>
      <c r="K17" s="15">
        <f>L17+10898</f>
        <v>24056</v>
      </c>
      <c r="L17" s="15">
        <f>2986*2+3188*2+405*2</f>
        <v>13158</v>
      </c>
      <c r="M17" s="16">
        <f t="shared" si="0"/>
        <v>13158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0.99984802431610942</v>
      </c>
      <c r="AC17" s="9">
        <f t="shared" si="5"/>
        <v>1</v>
      </c>
      <c r="AD17" s="10">
        <f t="shared" si="6"/>
        <v>0.99984802431610942</v>
      </c>
      <c r="AE17" s="39">
        <f t="shared" si="7"/>
        <v>0.5636250322526658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690</v>
      </c>
      <c r="D18" s="55"/>
      <c r="E18" s="57" t="s">
        <v>691</v>
      </c>
      <c r="F18" s="12">
        <v>7301</v>
      </c>
      <c r="G18" s="12">
        <v>1</v>
      </c>
      <c r="H18" s="13">
        <v>24</v>
      </c>
      <c r="I18" s="34">
        <v>2000</v>
      </c>
      <c r="J18" s="14">
        <v>3330</v>
      </c>
      <c r="K18" s="15">
        <f>L18</f>
        <v>3323</v>
      </c>
      <c r="L18" s="15">
        <f>2710+613</f>
        <v>3323</v>
      </c>
      <c r="M18" s="16">
        <f t="shared" si="0"/>
        <v>3323</v>
      </c>
      <c r="N18" s="16">
        <v>0</v>
      </c>
      <c r="O18" s="62">
        <f t="shared" si="1"/>
        <v>0</v>
      </c>
      <c r="P18" s="42">
        <f t="shared" si="2"/>
        <v>19</v>
      </c>
      <c r="Q18" s="43">
        <f t="shared" si="3"/>
        <v>5</v>
      </c>
      <c r="R18" s="7"/>
      <c r="S18" s="6"/>
      <c r="T18" s="17">
        <v>5</v>
      </c>
      <c r="U18" s="17"/>
      <c r="V18" s="18"/>
      <c r="W18" s="19"/>
      <c r="X18" s="17"/>
      <c r="Y18" s="20"/>
      <c r="Z18" s="20"/>
      <c r="AA18" s="21"/>
      <c r="AB18" s="8">
        <f t="shared" si="4"/>
        <v>0.99789789789789785</v>
      </c>
      <c r="AC18" s="9">
        <f t="shared" si="5"/>
        <v>0.79166666666666663</v>
      </c>
      <c r="AD18" s="10">
        <f t="shared" si="6"/>
        <v>0.79000250250250248</v>
      </c>
      <c r="AE18" s="39">
        <f t="shared" si="7"/>
        <v>0.5636250322526658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425</v>
      </c>
      <c r="D19" s="55" t="s">
        <v>124</v>
      </c>
      <c r="E19" s="57" t="s">
        <v>567</v>
      </c>
      <c r="F19" s="12" t="s">
        <v>135</v>
      </c>
      <c r="G19" s="12">
        <v>2</v>
      </c>
      <c r="H19" s="13">
        <v>25</v>
      </c>
      <c r="I19" s="7">
        <v>35000</v>
      </c>
      <c r="J19" s="14">
        <v>10980</v>
      </c>
      <c r="K19" s="15">
        <f>L19+10284+5868+9554</f>
        <v>36680</v>
      </c>
      <c r="L19" s="15">
        <f>2647*2+2840*2</f>
        <v>10974</v>
      </c>
      <c r="M19" s="16">
        <f t="shared" si="0"/>
        <v>10974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0.99945355191256835</v>
      </c>
      <c r="AC19" s="9">
        <f t="shared" si="5"/>
        <v>1</v>
      </c>
      <c r="AD19" s="10">
        <f t="shared" si="6"/>
        <v>0.99945355191256835</v>
      </c>
      <c r="AE19" s="39">
        <f t="shared" si="7"/>
        <v>0.5636250322526658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0.5636250322526658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1066200</v>
      </c>
      <c r="J21" s="22">
        <f t="shared" si="9"/>
        <v>242615</v>
      </c>
      <c r="K21" s="23">
        <f t="shared" si="9"/>
        <v>745407</v>
      </c>
      <c r="L21" s="24">
        <f t="shared" si="9"/>
        <v>233979</v>
      </c>
      <c r="M21" s="23">
        <f t="shared" si="9"/>
        <v>233979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203</v>
      </c>
      <c r="Q21" s="46">
        <f t="shared" si="10"/>
        <v>157</v>
      </c>
      <c r="R21" s="26">
        <f t="shared" si="10"/>
        <v>0</v>
      </c>
      <c r="S21" s="27">
        <f t="shared" si="10"/>
        <v>24</v>
      </c>
      <c r="T21" s="27">
        <f t="shared" si="10"/>
        <v>7</v>
      </c>
      <c r="U21" s="27">
        <f t="shared" si="10"/>
        <v>0</v>
      </c>
      <c r="V21" s="28">
        <f t="shared" si="10"/>
        <v>20</v>
      </c>
      <c r="W21" s="29">
        <f t="shared" si="10"/>
        <v>106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0.73295763620648191</v>
      </c>
      <c r="AC21" s="4">
        <f>SUM(AC6:AC20)/15</f>
        <v>0.56388888888888877</v>
      </c>
      <c r="AD21" s="4">
        <f>SUM(AD6:AD20)/15</f>
        <v>0.5636250322526658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692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700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270" t="s">
        <v>46</v>
      </c>
      <c r="D50" s="270" t="s">
        <v>47</v>
      </c>
      <c r="E50" s="270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270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5" t="s">
        <v>693</v>
      </c>
      <c r="B51" s="396"/>
      <c r="C51" s="272" t="s">
        <v>694</v>
      </c>
      <c r="D51" s="272"/>
      <c r="E51" s="272" t="s">
        <v>691</v>
      </c>
      <c r="F51" s="397" t="s">
        <v>695</v>
      </c>
      <c r="G51" s="397"/>
      <c r="H51" s="397"/>
      <c r="I51" s="397"/>
      <c r="J51" s="397"/>
      <c r="K51" s="397"/>
      <c r="L51" s="397"/>
      <c r="M51" s="398"/>
      <c r="N51" s="271" t="s">
        <v>701</v>
      </c>
      <c r="O51" s="74" t="s">
        <v>702</v>
      </c>
      <c r="P51" s="396" t="s">
        <v>703</v>
      </c>
      <c r="Q51" s="396"/>
      <c r="R51" s="396" t="s">
        <v>704</v>
      </c>
      <c r="S51" s="396"/>
      <c r="T51" s="396"/>
      <c r="U51" s="396"/>
      <c r="V51" s="397" t="s">
        <v>705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614</v>
      </c>
      <c r="B52" s="396"/>
      <c r="C52" s="272" t="s">
        <v>495</v>
      </c>
      <c r="D52" s="272" t="s">
        <v>124</v>
      </c>
      <c r="E52" s="272" t="s">
        <v>689</v>
      </c>
      <c r="F52" s="397" t="s">
        <v>695</v>
      </c>
      <c r="G52" s="397"/>
      <c r="H52" s="397"/>
      <c r="I52" s="397"/>
      <c r="J52" s="397"/>
      <c r="K52" s="397"/>
      <c r="L52" s="397"/>
      <c r="M52" s="398"/>
      <c r="N52" s="271" t="s">
        <v>707</v>
      </c>
      <c r="O52" s="74" t="s">
        <v>708</v>
      </c>
      <c r="P52" s="396" t="s">
        <v>709</v>
      </c>
      <c r="Q52" s="396"/>
      <c r="R52" s="396" t="s">
        <v>706</v>
      </c>
      <c r="S52" s="396"/>
      <c r="T52" s="396"/>
      <c r="U52" s="396"/>
      <c r="V52" s="397" t="s">
        <v>705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114</v>
      </c>
      <c r="B53" s="396"/>
      <c r="C53" s="272" t="s">
        <v>668</v>
      </c>
      <c r="D53" s="272" t="s">
        <v>669</v>
      </c>
      <c r="E53" s="272" t="s">
        <v>648</v>
      </c>
      <c r="F53" s="397" t="s">
        <v>696</v>
      </c>
      <c r="G53" s="397"/>
      <c r="H53" s="397"/>
      <c r="I53" s="397"/>
      <c r="J53" s="397"/>
      <c r="K53" s="397"/>
      <c r="L53" s="397"/>
      <c r="M53" s="398"/>
      <c r="N53" s="271"/>
      <c r="O53" s="74"/>
      <c r="P53" s="396"/>
      <c r="Q53" s="396"/>
      <c r="R53" s="396"/>
      <c r="S53" s="396"/>
      <c r="T53" s="396"/>
      <c r="U53" s="396"/>
      <c r="V53" s="397"/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697</v>
      </c>
      <c r="B54" s="396"/>
      <c r="C54" s="272" t="s">
        <v>698</v>
      </c>
      <c r="D54" s="272" t="s">
        <v>699</v>
      </c>
      <c r="E54" s="272" t="s">
        <v>687</v>
      </c>
      <c r="F54" s="397" t="s">
        <v>695</v>
      </c>
      <c r="G54" s="397"/>
      <c r="H54" s="397"/>
      <c r="I54" s="397"/>
      <c r="J54" s="397"/>
      <c r="K54" s="397"/>
      <c r="L54" s="397"/>
      <c r="M54" s="398"/>
      <c r="N54" s="271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272"/>
      <c r="D55" s="272"/>
      <c r="E55" s="272"/>
      <c r="F55" s="397"/>
      <c r="G55" s="397"/>
      <c r="H55" s="397"/>
      <c r="I55" s="397"/>
      <c r="J55" s="397"/>
      <c r="K55" s="397"/>
      <c r="L55" s="397"/>
      <c r="M55" s="398"/>
      <c r="N55" s="271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/>
      <c r="B56" s="396"/>
      <c r="C56" s="272"/>
      <c r="D56" s="272"/>
      <c r="E56" s="272"/>
      <c r="F56" s="397"/>
      <c r="G56" s="397"/>
      <c r="H56" s="397"/>
      <c r="I56" s="397"/>
      <c r="J56" s="397"/>
      <c r="K56" s="397"/>
      <c r="L56" s="397"/>
      <c r="M56" s="398"/>
      <c r="N56" s="271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/>
      <c r="B57" s="396"/>
      <c r="C57" s="272"/>
      <c r="D57" s="272"/>
      <c r="E57" s="272"/>
      <c r="F57" s="397"/>
      <c r="G57" s="397"/>
      <c r="H57" s="397"/>
      <c r="I57" s="397"/>
      <c r="J57" s="397"/>
      <c r="K57" s="397"/>
      <c r="L57" s="397"/>
      <c r="M57" s="398"/>
      <c r="N57" s="271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273"/>
      <c r="D58" s="272"/>
      <c r="E58" s="273"/>
      <c r="F58" s="397"/>
      <c r="G58" s="397"/>
      <c r="H58" s="397"/>
      <c r="I58" s="397"/>
      <c r="J58" s="397"/>
      <c r="K58" s="397"/>
      <c r="L58" s="397"/>
      <c r="M58" s="398"/>
      <c r="N58" s="271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272"/>
      <c r="D59" s="272"/>
      <c r="E59" s="272"/>
      <c r="F59" s="397"/>
      <c r="G59" s="397"/>
      <c r="H59" s="397"/>
      <c r="I59" s="397"/>
      <c r="J59" s="397"/>
      <c r="K59" s="397"/>
      <c r="L59" s="397"/>
      <c r="M59" s="398"/>
      <c r="N59" s="271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275"/>
      <c r="D60" s="275"/>
      <c r="E60" s="275"/>
      <c r="F60" s="403"/>
      <c r="G60" s="403"/>
      <c r="H60" s="403"/>
      <c r="I60" s="403"/>
      <c r="J60" s="403"/>
      <c r="K60" s="403"/>
      <c r="L60" s="403"/>
      <c r="M60" s="404"/>
      <c r="N60" s="274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710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76" t="s">
        <v>2</v>
      </c>
      <c r="D62" s="276" t="s">
        <v>37</v>
      </c>
      <c r="E62" s="27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76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/>
      <c r="D63" s="279"/>
      <c r="E63" s="277"/>
      <c r="F63" s="416"/>
      <c r="G63" s="417"/>
      <c r="H63" s="417"/>
      <c r="I63" s="417"/>
      <c r="J63" s="417"/>
      <c r="K63" s="417"/>
      <c r="L63" s="417"/>
      <c r="M63" s="54"/>
      <c r="N63" s="417"/>
      <c r="O63" s="417"/>
      <c r="P63" s="418"/>
      <c r="Q63" s="418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/>
      <c r="D64" s="279"/>
      <c r="E64" s="277"/>
      <c r="F64" s="416"/>
      <c r="G64" s="417"/>
      <c r="H64" s="417"/>
      <c r="I64" s="417"/>
      <c r="J64" s="417"/>
      <c r="K64" s="417"/>
      <c r="L64" s="417"/>
      <c r="M64" s="54"/>
      <c r="N64" s="417"/>
      <c r="O64" s="417"/>
      <c r="P64" s="418"/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/>
      <c r="D65" s="279"/>
      <c r="E65" s="277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/>
      <c r="D66" s="279"/>
      <c r="E66" s="277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/>
      <c r="D67" s="279"/>
      <c r="E67" s="277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/>
      <c r="D68" s="279"/>
      <c r="E68" s="277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279"/>
      <c r="E69" s="277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279"/>
      <c r="E70" s="277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711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278" t="s">
        <v>2</v>
      </c>
      <c r="D72" s="278" t="s">
        <v>37</v>
      </c>
      <c r="E72" s="278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280" t="s">
        <v>114</v>
      </c>
      <c r="D73" s="280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279" t="s">
        <v>114</v>
      </c>
      <c r="D74" s="279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279"/>
      <c r="D75" s="279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279"/>
      <c r="D76" s="279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279"/>
      <c r="D77" s="279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279"/>
      <c r="D78" s="279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279"/>
      <c r="D79" s="279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279"/>
      <c r="D80" s="279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279"/>
      <c r="D81" s="279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712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A63" sqref="A63:XFD6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713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92" t="s">
        <v>17</v>
      </c>
      <c r="L5" s="292" t="s">
        <v>18</v>
      </c>
      <c r="M5" s="292" t="s">
        <v>19</v>
      </c>
      <c r="N5" s="29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550</v>
      </c>
      <c r="D6" s="55" t="s">
        <v>551</v>
      </c>
      <c r="E6" s="57" t="s">
        <v>552</v>
      </c>
      <c r="F6" s="33" t="s">
        <v>553</v>
      </c>
      <c r="G6" s="36">
        <v>2</v>
      </c>
      <c r="H6" s="38">
        <v>25</v>
      </c>
      <c r="I6" s="7">
        <v>35000</v>
      </c>
      <c r="J6" s="5">
        <v>5030</v>
      </c>
      <c r="K6" s="15">
        <f>L6+7824+8528+9796+9830</f>
        <v>41002</v>
      </c>
      <c r="L6" s="15">
        <f>2512*2</f>
        <v>5024</v>
      </c>
      <c r="M6" s="16">
        <f t="shared" ref="M6:M20" si="0">L6-N6</f>
        <v>5024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14</v>
      </c>
      <c r="Q6" s="43">
        <f t="shared" ref="Q6:Q20" si="3">SUM(R6:AA6)</f>
        <v>10</v>
      </c>
      <c r="R6" s="7"/>
      <c r="S6" s="6"/>
      <c r="T6" s="17"/>
      <c r="U6" s="17"/>
      <c r="V6" s="18"/>
      <c r="W6" s="19">
        <v>10</v>
      </c>
      <c r="X6" s="17"/>
      <c r="Y6" s="20"/>
      <c r="Z6" s="20"/>
      <c r="AA6" s="21"/>
      <c r="AB6" s="8">
        <f t="shared" ref="AB6:AB20" si="4">IF(J6=0,"0",(L6/J6))</f>
        <v>0.9988071570576541</v>
      </c>
      <c r="AC6" s="9">
        <f t="shared" ref="AC6:AC20" si="5">IF(P6=0,"0",(P6/24))</f>
        <v>0.58333333333333337</v>
      </c>
      <c r="AD6" s="10">
        <f t="shared" ref="AD6:AD20" si="6">AC6*AB6*(1-O6)</f>
        <v>0.58263750828363159</v>
      </c>
      <c r="AE6" s="39">
        <f t="shared" ref="AE6:AE20" si="7">$AD$21</f>
        <v>0.53561125257979647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0.53561125257979647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646</v>
      </c>
      <c r="D8" s="55"/>
      <c r="E8" s="57" t="s">
        <v>647</v>
      </c>
      <c r="F8" s="33" t="s">
        <v>142</v>
      </c>
      <c r="G8" s="12">
        <v>1</v>
      </c>
      <c r="H8" s="13">
        <v>25</v>
      </c>
      <c r="I8" s="34">
        <v>10000</v>
      </c>
      <c r="J8" s="5">
        <v>2820</v>
      </c>
      <c r="K8" s="15">
        <f>L8+1936+3001</f>
        <v>7754</v>
      </c>
      <c r="L8" s="15">
        <f>1368+1449</f>
        <v>2817</v>
      </c>
      <c r="M8" s="16">
        <f t="shared" si="0"/>
        <v>2817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0.99893617021276593</v>
      </c>
      <c r="AC8" s="9">
        <f t="shared" si="5"/>
        <v>1</v>
      </c>
      <c r="AD8" s="10">
        <f t="shared" si="6"/>
        <v>0.99893617021276593</v>
      </c>
      <c r="AE8" s="39">
        <f t="shared" si="7"/>
        <v>0.53561125257979647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685</v>
      </c>
      <c r="D9" s="55" t="s">
        <v>686</v>
      </c>
      <c r="E9" s="57" t="s">
        <v>687</v>
      </c>
      <c r="F9" s="33" t="s">
        <v>688</v>
      </c>
      <c r="G9" s="36">
        <v>32</v>
      </c>
      <c r="H9" s="38">
        <v>25</v>
      </c>
      <c r="I9" s="7">
        <v>70000</v>
      </c>
      <c r="J9" s="5">
        <v>190150</v>
      </c>
      <c r="K9" s="15">
        <f>L9+175776</f>
        <v>365920</v>
      </c>
      <c r="L9" s="15">
        <f>2874*32+3068*32</f>
        <v>190144</v>
      </c>
      <c r="M9" s="16">
        <f t="shared" si="0"/>
        <v>190144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0.99996844596371282</v>
      </c>
      <c r="AC9" s="9">
        <f t="shared" si="5"/>
        <v>1</v>
      </c>
      <c r="AD9" s="10">
        <f t="shared" si="6"/>
        <v>0.99996844596371282</v>
      </c>
      <c r="AE9" s="39">
        <f t="shared" si="7"/>
        <v>0.53561125257979647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0.53561125257979647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550</v>
      </c>
      <c r="D11" s="55" t="s">
        <v>554</v>
      </c>
      <c r="E11" s="57" t="s">
        <v>555</v>
      </c>
      <c r="F11" s="12" t="s">
        <v>556</v>
      </c>
      <c r="G11" s="12">
        <v>1</v>
      </c>
      <c r="H11" s="13">
        <v>25</v>
      </c>
      <c r="I11" s="34">
        <v>35000</v>
      </c>
      <c r="J11" s="14">
        <v>5160</v>
      </c>
      <c r="K11" s="15">
        <f>L11+4976+5075+5432+4956</f>
        <v>25593</v>
      </c>
      <c r="L11" s="15">
        <f>2482+2672</f>
        <v>5154</v>
      </c>
      <c r="M11" s="16">
        <f t="shared" si="0"/>
        <v>5154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0.99883720930232556</v>
      </c>
      <c r="AC11" s="9">
        <f t="shared" si="5"/>
        <v>1</v>
      </c>
      <c r="AD11" s="10">
        <f t="shared" si="6"/>
        <v>0.99883720930232556</v>
      </c>
      <c r="AE11" s="39">
        <f t="shared" si="7"/>
        <v>0.53561125257979647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539</v>
      </c>
      <c r="E12" s="57" t="s">
        <v>648</v>
      </c>
      <c r="F12" s="12" t="s">
        <v>649</v>
      </c>
      <c r="G12" s="12">
        <v>1</v>
      </c>
      <c r="H12" s="13">
        <v>25</v>
      </c>
      <c r="I12" s="7">
        <v>12000</v>
      </c>
      <c r="J12" s="14">
        <v>725</v>
      </c>
      <c r="K12" s="15">
        <f>L12+3180+725</f>
        <v>3905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>
        <v>24</v>
      </c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0.53561125257979647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114</v>
      </c>
      <c r="D13" s="55" t="s">
        <v>475</v>
      </c>
      <c r="E13" s="57" t="s">
        <v>714</v>
      </c>
      <c r="F13" s="12">
        <v>7301</v>
      </c>
      <c r="G13" s="12">
        <v>1</v>
      </c>
      <c r="H13" s="13">
        <v>25</v>
      </c>
      <c r="I13" s="7">
        <v>3000</v>
      </c>
      <c r="J13" s="14">
        <v>2620</v>
      </c>
      <c r="K13" s="15">
        <f>L13</f>
        <v>2616</v>
      </c>
      <c r="L13" s="15">
        <f>2137+479</f>
        <v>2616</v>
      </c>
      <c r="M13" s="16">
        <f t="shared" si="0"/>
        <v>2616</v>
      </c>
      <c r="N13" s="16">
        <v>0</v>
      </c>
      <c r="O13" s="62">
        <f t="shared" si="1"/>
        <v>0</v>
      </c>
      <c r="P13" s="42">
        <f t="shared" si="2"/>
        <v>18</v>
      </c>
      <c r="Q13" s="43">
        <f t="shared" si="3"/>
        <v>6</v>
      </c>
      <c r="R13" s="7"/>
      <c r="S13" s="6"/>
      <c r="T13" s="17">
        <v>6</v>
      </c>
      <c r="U13" s="17"/>
      <c r="V13" s="18"/>
      <c r="W13" s="19"/>
      <c r="X13" s="17"/>
      <c r="Y13" s="20"/>
      <c r="Z13" s="20"/>
      <c r="AA13" s="21"/>
      <c r="AB13" s="8">
        <f t="shared" si="4"/>
        <v>0.99847328244274813</v>
      </c>
      <c r="AC13" s="9">
        <f t="shared" si="5"/>
        <v>0.75</v>
      </c>
      <c r="AD13" s="10">
        <f t="shared" si="6"/>
        <v>0.74885496183206113</v>
      </c>
      <c r="AE13" s="39">
        <f t="shared" si="7"/>
        <v>0.53561125257979647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689</v>
      </c>
      <c r="F14" s="33" t="s">
        <v>688</v>
      </c>
      <c r="G14" s="36">
        <v>1</v>
      </c>
      <c r="H14" s="38">
        <v>25</v>
      </c>
      <c r="I14" s="7">
        <v>300</v>
      </c>
      <c r="J14" s="5">
        <v>382</v>
      </c>
      <c r="K14" s="15">
        <f>L14+382</f>
        <v>382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0.53561125257979647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114</v>
      </c>
      <c r="D15" s="55" t="s">
        <v>715</v>
      </c>
      <c r="E15" s="57" t="s">
        <v>716</v>
      </c>
      <c r="F15" s="12">
        <v>8301</v>
      </c>
      <c r="G15" s="12">
        <v>1</v>
      </c>
      <c r="H15" s="13">
        <v>24</v>
      </c>
      <c r="I15" s="34">
        <v>10000</v>
      </c>
      <c r="J15" s="14">
        <v>2980</v>
      </c>
      <c r="K15" s="15">
        <f>L15</f>
        <v>2974</v>
      </c>
      <c r="L15" s="15">
        <f>2974</f>
        <v>2974</v>
      </c>
      <c r="M15" s="16">
        <f t="shared" si="0"/>
        <v>2974</v>
      </c>
      <c r="N15" s="16">
        <v>0</v>
      </c>
      <c r="O15" s="62">
        <f t="shared" si="1"/>
        <v>0</v>
      </c>
      <c r="P15" s="42">
        <f t="shared" si="2"/>
        <v>18</v>
      </c>
      <c r="Q15" s="43">
        <f t="shared" si="3"/>
        <v>6</v>
      </c>
      <c r="R15" s="7"/>
      <c r="S15" s="6"/>
      <c r="T15" s="17">
        <v>6</v>
      </c>
      <c r="U15" s="17"/>
      <c r="V15" s="18"/>
      <c r="W15" s="19"/>
      <c r="X15" s="17"/>
      <c r="Y15" s="20"/>
      <c r="Z15" s="20"/>
      <c r="AA15" s="21"/>
      <c r="AB15" s="8">
        <f t="shared" si="4"/>
        <v>0.99798657718120809</v>
      </c>
      <c r="AC15" s="9">
        <f t="shared" si="5"/>
        <v>0.75</v>
      </c>
      <c r="AD15" s="10">
        <f t="shared" si="6"/>
        <v>0.74848993288590604</v>
      </c>
      <c r="AE15" s="39">
        <f t="shared" si="7"/>
        <v>0.53561125257979647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717</v>
      </c>
      <c r="D16" s="55" t="s">
        <v>718</v>
      </c>
      <c r="E16" s="57" t="s">
        <v>719</v>
      </c>
      <c r="F16" s="12">
        <v>7301</v>
      </c>
      <c r="G16" s="12" t="s">
        <v>720</v>
      </c>
      <c r="H16" s="13">
        <v>25</v>
      </c>
      <c r="I16" s="7">
        <v>1000</v>
      </c>
      <c r="J16" s="14">
        <v>2530</v>
      </c>
      <c r="K16" s="15">
        <f>L16</f>
        <v>2528</v>
      </c>
      <c r="L16" s="15">
        <f>1341+1187</f>
        <v>2528</v>
      </c>
      <c r="M16" s="16">
        <f t="shared" si="0"/>
        <v>2528</v>
      </c>
      <c r="N16" s="16">
        <v>0</v>
      </c>
      <c r="O16" s="62">
        <f t="shared" si="1"/>
        <v>0</v>
      </c>
      <c r="P16" s="42">
        <f t="shared" si="2"/>
        <v>14</v>
      </c>
      <c r="Q16" s="43">
        <f t="shared" si="3"/>
        <v>10</v>
      </c>
      <c r="R16" s="7"/>
      <c r="S16" s="6"/>
      <c r="T16" s="17"/>
      <c r="U16" s="17"/>
      <c r="V16" s="18"/>
      <c r="W16" s="19">
        <v>10</v>
      </c>
      <c r="X16" s="17"/>
      <c r="Y16" s="20"/>
      <c r="Z16" s="20"/>
      <c r="AA16" s="21"/>
      <c r="AB16" s="8">
        <f t="shared" si="4"/>
        <v>0.99920948616600791</v>
      </c>
      <c r="AC16" s="9">
        <f t="shared" si="5"/>
        <v>0.58333333333333337</v>
      </c>
      <c r="AD16" s="10">
        <f t="shared" si="6"/>
        <v>0.58287220026350461</v>
      </c>
      <c r="AE16" s="39">
        <f t="shared" si="7"/>
        <v>0.53561125257979647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550</v>
      </c>
      <c r="D17" s="55" t="s">
        <v>136</v>
      </c>
      <c r="E17" s="57" t="s">
        <v>562</v>
      </c>
      <c r="F17" s="12" t="s">
        <v>556</v>
      </c>
      <c r="G17" s="12">
        <v>1</v>
      </c>
      <c r="H17" s="13">
        <v>25</v>
      </c>
      <c r="I17" s="34">
        <v>35000</v>
      </c>
      <c r="J17" s="5">
        <v>8880</v>
      </c>
      <c r="K17" s="15">
        <f>L17+9090+11220</f>
        <v>29186</v>
      </c>
      <c r="L17" s="15">
        <f>1894*2+2544*2</f>
        <v>8876</v>
      </c>
      <c r="M17" s="16">
        <f t="shared" si="0"/>
        <v>8876</v>
      </c>
      <c r="N17" s="16">
        <v>0</v>
      </c>
      <c r="O17" s="62">
        <f t="shared" si="1"/>
        <v>0</v>
      </c>
      <c r="P17" s="42">
        <f t="shared" si="2"/>
        <v>22</v>
      </c>
      <c r="Q17" s="43">
        <f t="shared" si="3"/>
        <v>2</v>
      </c>
      <c r="R17" s="7"/>
      <c r="S17" s="6"/>
      <c r="T17" s="17">
        <v>2</v>
      </c>
      <c r="U17" s="17"/>
      <c r="V17" s="18"/>
      <c r="W17" s="19"/>
      <c r="X17" s="17"/>
      <c r="Y17" s="20"/>
      <c r="Z17" s="20"/>
      <c r="AA17" s="21"/>
      <c r="AB17" s="8">
        <f t="shared" si="4"/>
        <v>0.99954954954954955</v>
      </c>
      <c r="AC17" s="9">
        <f t="shared" si="5"/>
        <v>0.91666666666666663</v>
      </c>
      <c r="AD17" s="10">
        <f t="shared" si="6"/>
        <v>0.91625375375375373</v>
      </c>
      <c r="AE17" s="39">
        <f t="shared" si="7"/>
        <v>0.53561125257979647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690</v>
      </c>
      <c r="D18" s="55"/>
      <c r="E18" s="57" t="s">
        <v>691</v>
      </c>
      <c r="F18" s="12">
        <v>7301</v>
      </c>
      <c r="G18" s="12">
        <v>1</v>
      </c>
      <c r="H18" s="13">
        <v>24</v>
      </c>
      <c r="I18" s="34">
        <v>2000</v>
      </c>
      <c r="J18" s="14">
        <v>2170</v>
      </c>
      <c r="K18" s="15">
        <f>L18+3323</f>
        <v>5491</v>
      </c>
      <c r="L18" s="15">
        <f>2168</f>
        <v>2168</v>
      </c>
      <c r="M18" s="16">
        <f t="shared" si="0"/>
        <v>2168</v>
      </c>
      <c r="N18" s="16">
        <v>0</v>
      </c>
      <c r="O18" s="62">
        <f t="shared" si="1"/>
        <v>0</v>
      </c>
      <c r="P18" s="42">
        <f t="shared" si="2"/>
        <v>11</v>
      </c>
      <c r="Q18" s="43">
        <f t="shared" si="3"/>
        <v>13</v>
      </c>
      <c r="R18" s="7"/>
      <c r="S18" s="6"/>
      <c r="T18" s="17"/>
      <c r="U18" s="17"/>
      <c r="V18" s="18"/>
      <c r="W18" s="19">
        <v>13</v>
      </c>
      <c r="X18" s="17"/>
      <c r="Y18" s="20"/>
      <c r="Z18" s="20"/>
      <c r="AA18" s="21"/>
      <c r="AB18" s="8">
        <f t="shared" si="4"/>
        <v>0.99907834101382487</v>
      </c>
      <c r="AC18" s="9">
        <f t="shared" si="5"/>
        <v>0.45833333333333331</v>
      </c>
      <c r="AD18" s="10">
        <f t="shared" si="6"/>
        <v>0.45791090629800307</v>
      </c>
      <c r="AE18" s="39">
        <f t="shared" si="7"/>
        <v>0.53561125257979647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425</v>
      </c>
      <c r="D19" s="55" t="s">
        <v>124</v>
      </c>
      <c r="E19" s="57" t="s">
        <v>567</v>
      </c>
      <c r="F19" s="12" t="s">
        <v>135</v>
      </c>
      <c r="G19" s="12">
        <v>2</v>
      </c>
      <c r="H19" s="13">
        <v>25</v>
      </c>
      <c r="I19" s="7">
        <v>35000</v>
      </c>
      <c r="J19" s="14">
        <v>10130</v>
      </c>
      <c r="K19" s="15">
        <f>L19+10284+5868+9554+10974</f>
        <v>46804</v>
      </c>
      <c r="L19" s="15">
        <f>2405*2+2657*2</f>
        <v>10124</v>
      </c>
      <c r="M19" s="16">
        <f t="shared" si="0"/>
        <v>10124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0.99940769990128331</v>
      </c>
      <c r="AC19" s="9">
        <f t="shared" si="5"/>
        <v>1</v>
      </c>
      <c r="AD19" s="10">
        <f t="shared" si="6"/>
        <v>0.99940769990128331</v>
      </c>
      <c r="AE19" s="39">
        <f t="shared" si="7"/>
        <v>0.53561125257979647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0.53561125257979647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1051200</v>
      </c>
      <c r="J21" s="22">
        <f t="shared" si="9"/>
        <v>237507</v>
      </c>
      <c r="K21" s="23">
        <f t="shared" si="9"/>
        <v>914161</v>
      </c>
      <c r="L21" s="24">
        <f t="shared" si="9"/>
        <v>232425</v>
      </c>
      <c r="M21" s="23">
        <f t="shared" si="9"/>
        <v>232425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193</v>
      </c>
      <c r="Q21" s="46">
        <f t="shared" si="10"/>
        <v>167</v>
      </c>
      <c r="R21" s="26">
        <f t="shared" si="10"/>
        <v>0</v>
      </c>
      <c r="S21" s="27">
        <f t="shared" si="10"/>
        <v>24</v>
      </c>
      <c r="T21" s="27">
        <f t="shared" si="10"/>
        <v>14</v>
      </c>
      <c r="U21" s="27">
        <f t="shared" si="10"/>
        <v>0</v>
      </c>
      <c r="V21" s="28">
        <f t="shared" si="10"/>
        <v>24</v>
      </c>
      <c r="W21" s="29">
        <f t="shared" si="10"/>
        <v>105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0.66601692791940537</v>
      </c>
      <c r="AC21" s="4">
        <f>SUM(AC6:AC20)/15</f>
        <v>0.5361111111111112</v>
      </c>
      <c r="AD21" s="4">
        <f>SUM(AD6:AD20)/15</f>
        <v>0.53561125257979647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721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731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291" t="s">
        <v>46</v>
      </c>
      <c r="D50" s="291" t="s">
        <v>47</v>
      </c>
      <c r="E50" s="291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291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5" t="s">
        <v>722</v>
      </c>
      <c r="B51" s="396"/>
      <c r="C51" s="287" t="s">
        <v>723</v>
      </c>
      <c r="D51" s="287" t="s">
        <v>124</v>
      </c>
      <c r="E51" s="287" t="s">
        <v>714</v>
      </c>
      <c r="F51" s="397" t="s">
        <v>695</v>
      </c>
      <c r="G51" s="397"/>
      <c r="H51" s="397"/>
      <c r="I51" s="397"/>
      <c r="J51" s="397"/>
      <c r="K51" s="397"/>
      <c r="L51" s="397"/>
      <c r="M51" s="398"/>
      <c r="N51" s="286" t="s">
        <v>732</v>
      </c>
      <c r="O51" s="74" t="s">
        <v>733</v>
      </c>
      <c r="P51" s="396" t="s">
        <v>734</v>
      </c>
      <c r="Q51" s="396"/>
      <c r="R51" s="396" t="s">
        <v>735</v>
      </c>
      <c r="S51" s="396"/>
      <c r="T51" s="396"/>
      <c r="U51" s="396"/>
      <c r="V51" s="397" t="s">
        <v>705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614</v>
      </c>
      <c r="B52" s="396"/>
      <c r="C52" s="287" t="s">
        <v>724</v>
      </c>
      <c r="D52" s="287" t="s">
        <v>725</v>
      </c>
      <c r="E52" s="287" t="s">
        <v>716</v>
      </c>
      <c r="F52" s="397" t="s">
        <v>695</v>
      </c>
      <c r="G52" s="397"/>
      <c r="H52" s="397"/>
      <c r="I52" s="397"/>
      <c r="J52" s="397"/>
      <c r="K52" s="397"/>
      <c r="L52" s="397"/>
      <c r="M52" s="398"/>
      <c r="N52" s="286" t="s">
        <v>707</v>
      </c>
      <c r="O52" s="74" t="s">
        <v>736</v>
      </c>
      <c r="P52" s="396" t="s">
        <v>737</v>
      </c>
      <c r="Q52" s="396"/>
      <c r="R52" s="396" t="s">
        <v>738</v>
      </c>
      <c r="S52" s="396"/>
      <c r="T52" s="396"/>
      <c r="U52" s="396"/>
      <c r="V52" s="397" t="s">
        <v>705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726</v>
      </c>
      <c r="B53" s="396"/>
      <c r="C53" s="287" t="s">
        <v>727</v>
      </c>
      <c r="D53" s="287" t="s">
        <v>718</v>
      </c>
      <c r="E53" s="287" t="s">
        <v>719</v>
      </c>
      <c r="F53" s="397" t="s">
        <v>695</v>
      </c>
      <c r="G53" s="397"/>
      <c r="H53" s="397"/>
      <c r="I53" s="397"/>
      <c r="J53" s="397"/>
      <c r="K53" s="397"/>
      <c r="L53" s="397"/>
      <c r="M53" s="398"/>
      <c r="N53" s="286" t="s">
        <v>740</v>
      </c>
      <c r="O53" s="74" t="s">
        <v>741</v>
      </c>
      <c r="P53" s="396" t="s">
        <v>742</v>
      </c>
      <c r="Q53" s="396"/>
      <c r="R53" s="396" t="s">
        <v>739</v>
      </c>
      <c r="S53" s="396"/>
      <c r="T53" s="396"/>
      <c r="U53" s="396"/>
      <c r="V53" s="397" t="s">
        <v>705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728</v>
      </c>
      <c r="B54" s="396"/>
      <c r="C54" s="287" t="s">
        <v>729</v>
      </c>
      <c r="D54" s="287" t="s">
        <v>136</v>
      </c>
      <c r="E54" s="287" t="s">
        <v>730</v>
      </c>
      <c r="F54" s="397" t="s">
        <v>695</v>
      </c>
      <c r="G54" s="397"/>
      <c r="H54" s="397"/>
      <c r="I54" s="397"/>
      <c r="J54" s="397"/>
      <c r="K54" s="397"/>
      <c r="L54" s="397"/>
      <c r="M54" s="398"/>
      <c r="N54" s="286" t="s">
        <v>744</v>
      </c>
      <c r="O54" s="74" t="s">
        <v>745</v>
      </c>
      <c r="P54" s="396" t="s">
        <v>746</v>
      </c>
      <c r="Q54" s="396"/>
      <c r="R54" s="396" t="s">
        <v>743</v>
      </c>
      <c r="S54" s="396"/>
      <c r="T54" s="396"/>
      <c r="U54" s="396"/>
      <c r="V54" s="397" t="s">
        <v>705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287"/>
      <c r="D55" s="287"/>
      <c r="E55" s="287"/>
      <c r="F55" s="397"/>
      <c r="G55" s="397"/>
      <c r="H55" s="397"/>
      <c r="I55" s="397"/>
      <c r="J55" s="397"/>
      <c r="K55" s="397"/>
      <c r="L55" s="397"/>
      <c r="M55" s="398"/>
      <c r="N55" s="286" t="s">
        <v>114</v>
      </c>
      <c r="O55" s="74" t="s">
        <v>748</v>
      </c>
      <c r="P55" s="396" t="s">
        <v>749</v>
      </c>
      <c r="Q55" s="396"/>
      <c r="R55" s="396" t="s">
        <v>747</v>
      </c>
      <c r="S55" s="396"/>
      <c r="T55" s="396"/>
      <c r="U55" s="396"/>
      <c r="V55" s="397" t="s">
        <v>705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/>
      <c r="B56" s="396"/>
      <c r="C56" s="287"/>
      <c r="D56" s="287"/>
      <c r="E56" s="287"/>
      <c r="F56" s="397"/>
      <c r="G56" s="397"/>
      <c r="H56" s="397"/>
      <c r="I56" s="397"/>
      <c r="J56" s="397"/>
      <c r="K56" s="397"/>
      <c r="L56" s="397"/>
      <c r="M56" s="398"/>
      <c r="N56" s="286" t="s">
        <v>121</v>
      </c>
      <c r="O56" s="74" t="s">
        <v>751</v>
      </c>
      <c r="P56" s="396" t="s">
        <v>752</v>
      </c>
      <c r="Q56" s="396"/>
      <c r="R56" s="396" t="s">
        <v>750</v>
      </c>
      <c r="S56" s="396"/>
      <c r="T56" s="396"/>
      <c r="U56" s="396"/>
      <c r="V56" s="397" t="s">
        <v>705</v>
      </c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/>
      <c r="B57" s="396"/>
      <c r="C57" s="287"/>
      <c r="D57" s="287"/>
      <c r="E57" s="287"/>
      <c r="F57" s="397"/>
      <c r="G57" s="397"/>
      <c r="H57" s="397"/>
      <c r="I57" s="397"/>
      <c r="J57" s="397"/>
      <c r="K57" s="397"/>
      <c r="L57" s="397"/>
      <c r="M57" s="398"/>
      <c r="N57" s="286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9"/>
      <c r="B58" s="400"/>
      <c r="C58" s="290"/>
      <c r="D58" s="287"/>
      <c r="E58" s="290"/>
      <c r="F58" s="397"/>
      <c r="G58" s="397"/>
      <c r="H58" s="397"/>
      <c r="I58" s="397"/>
      <c r="J58" s="397"/>
      <c r="K58" s="397"/>
      <c r="L58" s="397"/>
      <c r="M58" s="398"/>
      <c r="N58" s="286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287"/>
      <c r="D59" s="287"/>
      <c r="E59" s="287"/>
      <c r="F59" s="397"/>
      <c r="G59" s="397"/>
      <c r="H59" s="397"/>
      <c r="I59" s="397"/>
      <c r="J59" s="397"/>
      <c r="K59" s="397"/>
      <c r="L59" s="397"/>
      <c r="M59" s="398"/>
      <c r="N59" s="286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289"/>
      <c r="D60" s="289"/>
      <c r="E60" s="289"/>
      <c r="F60" s="403"/>
      <c r="G60" s="403"/>
      <c r="H60" s="403"/>
      <c r="I60" s="403"/>
      <c r="J60" s="403"/>
      <c r="K60" s="403"/>
      <c r="L60" s="403"/>
      <c r="M60" s="404"/>
      <c r="N60" s="288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753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285" t="s">
        <v>2</v>
      </c>
      <c r="D62" s="285" t="s">
        <v>37</v>
      </c>
      <c r="E62" s="285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285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125</v>
      </c>
      <c r="D63" s="281"/>
      <c r="E63" s="284" t="s">
        <v>640</v>
      </c>
      <c r="F63" s="416" t="s">
        <v>641</v>
      </c>
      <c r="G63" s="417"/>
      <c r="H63" s="417"/>
      <c r="I63" s="417"/>
      <c r="J63" s="417"/>
      <c r="K63" s="417" t="s">
        <v>633</v>
      </c>
      <c r="L63" s="417"/>
      <c r="M63" s="54" t="s">
        <v>603</v>
      </c>
      <c r="N63" s="417">
        <v>5</v>
      </c>
      <c r="O63" s="417"/>
      <c r="P63" s="418"/>
      <c r="Q63" s="418"/>
      <c r="R63" s="397" t="s">
        <v>756</v>
      </c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 t="s">
        <v>601</v>
      </c>
      <c r="D64" s="281"/>
      <c r="E64" s="284" t="s">
        <v>542</v>
      </c>
      <c r="F64" s="416" t="s">
        <v>602</v>
      </c>
      <c r="G64" s="417"/>
      <c r="H64" s="417"/>
      <c r="I64" s="417"/>
      <c r="J64" s="417"/>
      <c r="K64" s="417" t="s">
        <v>413</v>
      </c>
      <c r="L64" s="417"/>
      <c r="M64" s="54" t="s">
        <v>546</v>
      </c>
      <c r="N64" s="417">
        <v>8</v>
      </c>
      <c r="O64" s="417"/>
      <c r="P64" s="418">
        <v>200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/>
      <c r="D65" s="281"/>
      <c r="E65" s="284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/>
      <c r="D66" s="281"/>
      <c r="E66" s="284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/>
      <c r="D67" s="281"/>
      <c r="E67" s="284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/>
      <c r="D68" s="281"/>
      <c r="E68" s="284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281"/>
      <c r="E69" s="284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281"/>
      <c r="E70" s="284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754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283" t="s">
        <v>2</v>
      </c>
      <c r="D72" s="283" t="s">
        <v>37</v>
      </c>
      <c r="E72" s="283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282" t="s">
        <v>114</v>
      </c>
      <c r="D73" s="282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281" t="s">
        <v>114</v>
      </c>
      <c r="D74" s="281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281"/>
      <c r="D75" s="281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281"/>
      <c r="D76" s="281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281"/>
      <c r="D77" s="281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281"/>
      <c r="D78" s="281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281"/>
      <c r="D79" s="281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281"/>
      <c r="D80" s="281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281"/>
      <c r="D81" s="281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755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6" zoomScale="72" zoomScaleNormal="72" zoomScaleSheetLayoutView="70" workbookViewId="0">
      <selection activeCell="A84" sqref="A84:B84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757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550</v>
      </c>
      <c r="D6" s="55" t="s">
        <v>551</v>
      </c>
      <c r="E6" s="57" t="s">
        <v>758</v>
      </c>
      <c r="F6" s="33" t="s">
        <v>759</v>
      </c>
      <c r="G6" s="36">
        <v>1</v>
      </c>
      <c r="H6" s="38">
        <v>25</v>
      </c>
      <c r="I6" s="7">
        <v>70000</v>
      </c>
      <c r="J6" s="5">
        <v>2400</v>
      </c>
      <c r="K6" s="15">
        <f>L6</f>
        <v>2396</v>
      </c>
      <c r="L6" s="15">
        <f>2396</f>
        <v>2396</v>
      </c>
      <c r="M6" s="16">
        <f t="shared" ref="M6:M21" si="0">L6-N6</f>
        <v>2396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18</v>
      </c>
      <c r="Q6" s="43">
        <f t="shared" ref="Q6:Q21" si="3">SUM(R6:AA6)</f>
        <v>6</v>
      </c>
      <c r="R6" s="7"/>
      <c r="S6" s="6">
        <v>6</v>
      </c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0.99833333333333329</v>
      </c>
      <c r="AC6" s="9">
        <f t="shared" ref="AC6:AC21" si="5">IF(P6=0,"0",(P6/24))</f>
        <v>0.75</v>
      </c>
      <c r="AD6" s="10">
        <f t="shared" ref="AD6:AD21" si="6">AC6*AB6*(1-O6)</f>
        <v>0.74875000000000003</v>
      </c>
      <c r="AE6" s="39">
        <f t="shared" ref="AE6:AE21" si="7">$AD$22</f>
        <v>0.51917680512601849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0.51917680512601849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646</v>
      </c>
      <c r="D8" s="55"/>
      <c r="E8" s="57" t="s">
        <v>647</v>
      </c>
      <c r="F8" s="33" t="s">
        <v>142</v>
      </c>
      <c r="G8" s="12">
        <v>1</v>
      </c>
      <c r="H8" s="13">
        <v>25</v>
      </c>
      <c r="I8" s="34">
        <v>10000</v>
      </c>
      <c r="J8" s="5">
        <v>2690</v>
      </c>
      <c r="K8" s="15">
        <f>L8+1936+3001+2817</f>
        <v>10443</v>
      </c>
      <c r="L8" s="15">
        <f>1561+1128</f>
        <v>2689</v>
      </c>
      <c r="M8" s="16">
        <f t="shared" si="0"/>
        <v>2689</v>
      </c>
      <c r="N8" s="16">
        <v>0</v>
      </c>
      <c r="O8" s="62">
        <f t="shared" si="1"/>
        <v>0</v>
      </c>
      <c r="P8" s="42">
        <f t="shared" si="2"/>
        <v>23</v>
      </c>
      <c r="Q8" s="43">
        <f t="shared" si="3"/>
        <v>1</v>
      </c>
      <c r="R8" s="7"/>
      <c r="S8" s="6"/>
      <c r="T8" s="17"/>
      <c r="U8" s="17"/>
      <c r="V8" s="18">
        <v>1</v>
      </c>
      <c r="W8" s="19"/>
      <c r="X8" s="17"/>
      <c r="Y8" s="20"/>
      <c r="Z8" s="20"/>
      <c r="AA8" s="21"/>
      <c r="AB8" s="8">
        <f t="shared" si="4"/>
        <v>0.99962825278810408</v>
      </c>
      <c r="AC8" s="9">
        <f t="shared" si="5"/>
        <v>0.95833333333333337</v>
      </c>
      <c r="AD8" s="10">
        <f t="shared" si="6"/>
        <v>0.95797707558859979</v>
      </c>
      <c r="AE8" s="39">
        <f t="shared" si="7"/>
        <v>0.51917680512601849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685</v>
      </c>
      <c r="D9" s="55" t="s">
        <v>686</v>
      </c>
      <c r="E9" s="57" t="s">
        <v>760</v>
      </c>
      <c r="F9" s="33" t="s">
        <v>761</v>
      </c>
      <c r="G9" s="36">
        <v>32</v>
      </c>
      <c r="H9" s="38">
        <v>25</v>
      </c>
      <c r="I9" s="7">
        <v>120000</v>
      </c>
      <c r="J9" s="5">
        <v>124130</v>
      </c>
      <c r="K9" s="15">
        <f>L9</f>
        <v>124128</v>
      </c>
      <c r="L9" s="15">
        <f>3538*32+341*32</f>
        <v>124128</v>
      </c>
      <c r="M9" s="16">
        <f t="shared" si="0"/>
        <v>124128</v>
      </c>
      <c r="N9" s="16">
        <v>0</v>
      </c>
      <c r="O9" s="62">
        <f t="shared" si="1"/>
        <v>0</v>
      </c>
      <c r="P9" s="42">
        <f t="shared" si="2"/>
        <v>20</v>
      </c>
      <c r="Q9" s="43">
        <f t="shared" si="3"/>
        <v>4</v>
      </c>
      <c r="R9" s="7"/>
      <c r="S9" s="6"/>
      <c r="T9" s="17">
        <v>4</v>
      </c>
      <c r="U9" s="17"/>
      <c r="V9" s="18"/>
      <c r="W9" s="19"/>
      <c r="X9" s="17"/>
      <c r="Y9" s="20"/>
      <c r="Z9" s="20"/>
      <c r="AA9" s="21"/>
      <c r="AB9" s="8">
        <f t="shared" si="4"/>
        <v>0.9999838878595021</v>
      </c>
      <c r="AC9" s="9">
        <f t="shared" si="5"/>
        <v>0.83333333333333337</v>
      </c>
      <c r="AD9" s="10">
        <f t="shared" si="6"/>
        <v>0.8333199065495851</v>
      </c>
      <c r="AE9" s="39">
        <f t="shared" si="7"/>
        <v>0.51917680512601849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0.51917680512601849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11" t="s">
        <v>114</v>
      </c>
      <c r="D11" s="55" t="s">
        <v>762</v>
      </c>
      <c r="E11" s="57" t="s">
        <v>763</v>
      </c>
      <c r="F11" s="12" t="s">
        <v>764</v>
      </c>
      <c r="G11" s="12">
        <v>1</v>
      </c>
      <c r="H11" s="13">
        <v>25</v>
      </c>
      <c r="I11" s="34">
        <v>2000</v>
      </c>
      <c r="J11" s="14">
        <v>2620</v>
      </c>
      <c r="K11" s="15">
        <f>L11</f>
        <v>2618</v>
      </c>
      <c r="L11" s="15">
        <f>294+2324</f>
        <v>2618</v>
      </c>
      <c r="M11" s="16">
        <f t="shared" si="0"/>
        <v>2618</v>
      </c>
      <c r="N11" s="16">
        <v>0</v>
      </c>
      <c r="O11" s="62">
        <f t="shared" si="1"/>
        <v>0</v>
      </c>
      <c r="P11" s="42">
        <f t="shared" si="2"/>
        <v>15</v>
      </c>
      <c r="Q11" s="43">
        <f t="shared" si="3"/>
        <v>9</v>
      </c>
      <c r="R11" s="7"/>
      <c r="S11" s="6">
        <v>5</v>
      </c>
      <c r="T11" s="17"/>
      <c r="U11" s="17"/>
      <c r="V11" s="18"/>
      <c r="W11" s="19">
        <v>4</v>
      </c>
      <c r="X11" s="17"/>
      <c r="Y11" s="20"/>
      <c r="Z11" s="20"/>
      <c r="AA11" s="21"/>
      <c r="AB11" s="8">
        <f t="shared" si="4"/>
        <v>0.99923664122137401</v>
      </c>
      <c r="AC11" s="9">
        <f t="shared" si="5"/>
        <v>0.625</v>
      </c>
      <c r="AD11" s="10">
        <f t="shared" si="6"/>
        <v>0.62452290076335881</v>
      </c>
      <c r="AE11" s="39">
        <f t="shared" si="7"/>
        <v>0.51917680512601849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114</v>
      </c>
      <c r="D12" s="55" t="s">
        <v>539</v>
      </c>
      <c r="E12" s="57" t="s">
        <v>648</v>
      </c>
      <c r="F12" s="12" t="s">
        <v>649</v>
      </c>
      <c r="G12" s="12">
        <v>1</v>
      </c>
      <c r="H12" s="13">
        <v>25</v>
      </c>
      <c r="I12" s="7">
        <v>12000</v>
      </c>
      <c r="J12" s="14">
        <v>725</v>
      </c>
      <c r="K12" s="15">
        <f>L12+3180+725</f>
        <v>3905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>
        <v>24</v>
      </c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0.51917680512601849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114</v>
      </c>
      <c r="D13" s="55" t="s">
        <v>475</v>
      </c>
      <c r="E13" s="57" t="s">
        <v>714</v>
      </c>
      <c r="F13" s="12">
        <v>7301</v>
      </c>
      <c r="G13" s="12">
        <v>1</v>
      </c>
      <c r="H13" s="13">
        <v>25</v>
      </c>
      <c r="I13" s="7">
        <v>3000</v>
      </c>
      <c r="J13" s="14">
        <v>2620</v>
      </c>
      <c r="K13" s="15">
        <f>L13+2616</f>
        <v>2616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0.51917680512601849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689</v>
      </c>
      <c r="F14" s="33" t="s">
        <v>688</v>
      </c>
      <c r="G14" s="36">
        <v>1</v>
      </c>
      <c r="H14" s="38">
        <v>25</v>
      </c>
      <c r="I14" s="7">
        <v>300</v>
      </c>
      <c r="J14" s="5">
        <v>382</v>
      </c>
      <c r="K14" s="15">
        <f>L14+382</f>
        <v>382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0.51917680512601849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114</v>
      </c>
      <c r="D15" s="55" t="s">
        <v>715</v>
      </c>
      <c r="E15" s="57" t="s">
        <v>716</v>
      </c>
      <c r="F15" s="12">
        <v>8301</v>
      </c>
      <c r="G15" s="12">
        <v>1</v>
      </c>
      <c r="H15" s="13">
        <v>24</v>
      </c>
      <c r="I15" s="34">
        <v>10000</v>
      </c>
      <c r="J15" s="14">
        <v>5940</v>
      </c>
      <c r="K15" s="15">
        <f>L15+2974</f>
        <v>8914</v>
      </c>
      <c r="L15" s="15">
        <f>3337+2603</f>
        <v>5940</v>
      </c>
      <c r="M15" s="16">
        <f t="shared" si="0"/>
        <v>5940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1</v>
      </c>
      <c r="AD15" s="10">
        <f t="shared" si="6"/>
        <v>1</v>
      </c>
      <c r="AE15" s="39">
        <f t="shared" si="7"/>
        <v>0.51917680512601849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11" t="s">
        <v>114</v>
      </c>
      <c r="D16" s="55" t="s">
        <v>141</v>
      </c>
      <c r="E16" s="57" t="s">
        <v>765</v>
      </c>
      <c r="F16" s="12">
        <v>7301</v>
      </c>
      <c r="G16" s="12">
        <v>1</v>
      </c>
      <c r="H16" s="13">
        <v>25</v>
      </c>
      <c r="I16" s="7">
        <v>10000</v>
      </c>
      <c r="J16" s="14">
        <v>3071</v>
      </c>
      <c r="K16" s="15">
        <f>L16</f>
        <v>3071</v>
      </c>
      <c r="L16" s="15">
        <f>3071</f>
        <v>3071</v>
      </c>
      <c r="M16" s="16">
        <f t="shared" si="0"/>
        <v>3071</v>
      </c>
      <c r="N16" s="16">
        <v>0</v>
      </c>
      <c r="O16" s="62">
        <f t="shared" si="1"/>
        <v>0</v>
      </c>
      <c r="P16" s="42">
        <f t="shared" si="2"/>
        <v>17</v>
      </c>
      <c r="Q16" s="43">
        <f t="shared" si="3"/>
        <v>7</v>
      </c>
      <c r="R16" s="7"/>
      <c r="S16" s="6">
        <v>7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0.70833333333333337</v>
      </c>
      <c r="AD16" s="10">
        <f t="shared" si="6"/>
        <v>0.70833333333333337</v>
      </c>
      <c r="AE16" s="39">
        <f t="shared" si="7"/>
        <v>0.51917680512601849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550</v>
      </c>
      <c r="D17" s="55" t="s">
        <v>136</v>
      </c>
      <c r="E17" s="57" t="s">
        <v>562</v>
      </c>
      <c r="F17" s="12" t="s">
        <v>556</v>
      </c>
      <c r="G17" s="12">
        <v>1</v>
      </c>
      <c r="H17" s="13">
        <v>25</v>
      </c>
      <c r="I17" s="34">
        <v>35000</v>
      </c>
      <c r="J17" s="5">
        <v>11050</v>
      </c>
      <c r="K17" s="15">
        <f>L17+9090+11220+8876</f>
        <v>40234</v>
      </c>
      <c r="L17" s="15">
        <f>3111*2+2413*2</f>
        <v>11048</v>
      </c>
      <c r="M17" s="16">
        <f t="shared" si="0"/>
        <v>11048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0.99981900452488692</v>
      </c>
      <c r="AC17" s="9">
        <f t="shared" si="5"/>
        <v>1</v>
      </c>
      <c r="AD17" s="10">
        <f t="shared" si="6"/>
        <v>0.99981900452488692</v>
      </c>
      <c r="AE17" s="39">
        <f t="shared" si="7"/>
        <v>0.51917680512601849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121</v>
      </c>
      <c r="D18" s="55" t="s">
        <v>766</v>
      </c>
      <c r="E18" s="57" t="s">
        <v>767</v>
      </c>
      <c r="F18" s="12">
        <v>7301</v>
      </c>
      <c r="G18" s="12">
        <v>1</v>
      </c>
      <c r="H18" s="13">
        <v>24</v>
      </c>
      <c r="I18" s="34">
        <v>6000</v>
      </c>
      <c r="J18" s="14">
        <v>4070</v>
      </c>
      <c r="K18" s="15">
        <f>L18</f>
        <v>4068</v>
      </c>
      <c r="L18" s="15">
        <f>1993+2075</f>
        <v>4068</v>
      </c>
      <c r="M18" s="16">
        <f t="shared" si="0"/>
        <v>4068</v>
      </c>
      <c r="N18" s="16">
        <v>0</v>
      </c>
      <c r="O18" s="62">
        <f t="shared" si="1"/>
        <v>0</v>
      </c>
      <c r="P18" s="42">
        <f t="shared" si="2"/>
        <v>23</v>
      </c>
      <c r="Q18" s="43">
        <f t="shared" si="3"/>
        <v>1</v>
      </c>
      <c r="R18" s="7"/>
      <c r="S18" s="6"/>
      <c r="T18" s="17">
        <v>1</v>
      </c>
      <c r="U18" s="17"/>
      <c r="V18" s="18"/>
      <c r="W18" s="19"/>
      <c r="X18" s="17"/>
      <c r="Y18" s="20"/>
      <c r="Z18" s="20"/>
      <c r="AA18" s="21"/>
      <c r="AB18" s="8">
        <f t="shared" si="4"/>
        <v>0.99950859950859949</v>
      </c>
      <c r="AC18" s="9">
        <f t="shared" si="5"/>
        <v>0.95833333333333337</v>
      </c>
      <c r="AD18" s="10">
        <f t="shared" si="6"/>
        <v>0.95786240786240784</v>
      </c>
      <c r="AE18" s="39">
        <f t="shared" si="7"/>
        <v>0.51917680512601849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425</v>
      </c>
      <c r="D19" s="55" t="s">
        <v>124</v>
      </c>
      <c r="E19" s="57" t="s">
        <v>567</v>
      </c>
      <c r="F19" s="12" t="s">
        <v>135</v>
      </c>
      <c r="G19" s="12">
        <v>2</v>
      </c>
      <c r="H19" s="13">
        <v>25</v>
      </c>
      <c r="I19" s="7">
        <v>35000</v>
      </c>
      <c r="J19" s="14">
        <v>3120</v>
      </c>
      <c r="K19" s="15">
        <f>L19+10284+5868+9554+10974+10124</f>
        <v>49916</v>
      </c>
      <c r="L19" s="15">
        <f>1556*2</f>
        <v>3112</v>
      </c>
      <c r="M19" s="16">
        <f t="shared" ref="M19" si="9">L19-N19</f>
        <v>3112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8</v>
      </c>
      <c r="Q19" s="43">
        <f t="shared" ref="Q19" si="12">SUM(R19:AA19)</f>
        <v>16</v>
      </c>
      <c r="R19" s="7"/>
      <c r="S19" s="6"/>
      <c r="T19" s="17"/>
      <c r="U19" s="17"/>
      <c r="V19" s="18"/>
      <c r="W19" s="19">
        <v>16</v>
      </c>
      <c r="X19" s="17"/>
      <c r="Y19" s="20"/>
      <c r="Z19" s="20"/>
      <c r="AA19" s="21"/>
      <c r="AB19" s="8">
        <f t="shared" ref="AB19" si="13">IF(J19=0,"0",(L19/J19))</f>
        <v>0.99743589743589745</v>
      </c>
      <c r="AC19" s="9">
        <f t="shared" ref="AC19" si="14">IF(P19=0,"0",(P19/24))</f>
        <v>0.33333333333333331</v>
      </c>
      <c r="AD19" s="10">
        <f t="shared" ref="AD19" si="15">AC19*AB19*(1-O19)</f>
        <v>0.33247863247863246</v>
      </c>
      <c r="AE19" s="39">
        <f t="shared" si="7"/>
        <v>0.51917680512601849</v>
      </c>
      <c r="AF19" s="94">
        <f t="shared" ref="AF19" si="16">A19</f>
        <v>14</v>
      </c>
    </row>
    <row r="20" spans="1:32" ht="27" customHeight="1">
      <c r="A20" s="110">
        <v>14</v>
      </c>
      <c r="B20" s="11" t="s">
        <v>57</v>
      </c>
      <c r="C20" s="11" t="s">
        <v>425</v>
      </c>
      <c r="D20" s="55" t="s">
        <v>124</v>
      </c>
      <c r="E20" s="57" t="s">
        <v>768</v>
      </c>
      <c r="F20" s="12" t="s">
        <v>769</v>
      </c>
      <c r="G20" s="12">
        <v>1</v>
      </c>
      <c r="H20" s="13">
        <v>25</v>
      </c>
      <c r="I20" s="7">
        <v>70000</v>
      </c>
      <c r="J20" s="14">
        <v>3040</v>
      </c>
      <c r="K20" s="15">
        <f>L20</f>
        <v>3038</v>
      </c>
      <c r="L20" s="15">
        <f>3038</f>
        <v>3038</v>
      </c>
      <c r="M20" s="16">
        <f t="shared" si="0"/>
        <v>3038</v>
      </c>
      <c r="N20" s="16">
        <v>0</v>
      </c>
      <c r="O20" s="62">
        <f t="shared" si="1"/>
        <v>0</v>
      </c>
      <c r="P20" s="42">
        <f t="shared" si="2"/>
        <v>15</v>
      </c>
      <c r="Q20" s="43">
        <f t="shared" si="3"/>
        <v>9</v>
      </c>
      <c r="R20" s="7"/>
      <c r="S20" s="6"/>
      <c r="T20" s="17">
        <v>9</v>
      </c>
      <c r="U20" s="17"/>
      <c r="V20" s="18"/>
      <c r="W20" s="19"/>
      <c r="X20" s="17"/>
      <c r="Y20" s="20"/>
      <c r="Z20" s="20"/>
      <c r="AA20" s="21"/>
      <c r="AB20" s="8">
        <f t="shared" si="4"/>
        <v>0.99934210526315792</v>
      </c>
      <c r="AC20" s="9">
        <f t="shared" si="5"/>
        <v>0.625</v>
      </c>
      <c r="AD20" s="10">
        <f t="shared" si="6"/>
        <v>0.62458881578947367</v>
      </c>
      <c r="AE20" s="39">
        <f t="shared" si="7"/>
        <v>0.51917680512601849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122</v>
      </c>
      <c r="D21" s="55"/>
      <c r="E21" s="56" t="s">
        <v>127</v>
      </c>
      <c r="F21" s="12" t="s">
        <v>123</v>
      </c>
      <c r="G21" s="12">
        <v>4</v>
      </c>
      <c r="H21" s="38">
        <v>20</v>
      </c>
      <c r="I21" s="7">
        <v>800000</v>
      </c>
      <c r="J21" s="14">
        <v>2230</v>
      </c>
      <c r="K21" s="15">
        <f>L21+29128+42972+45096+45728+43064+5640+29816+42972+44600+38336+6084+2224</f>
        <v>375660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0.51917680512601849</v>
      </c>
      <c r="AF21" s="94">
        <f t="shared" si="8"/>
        <v>15</v>
      </c>
    </row>
    <row r="22" spans="1:32" ht="31.5" customHeight="1" thickBot="1">
      <c r="A22" s="368" t="s">
        <v>34</v>
      </c>
      <c r="B22" s="369"/>
      <c r="C22" s="369"/>
      <c r="D22" s="369"/>
      <c r="E22" s="369"/>
      <c r="F22" s="369"/>
      <c r="G22" s="369"/>
      <c r="H22" s="370"/>
      <c r="I22" s="25">
        <f t="shared" ref="I22:N22" si="17">SUM(I6:I21)</f>
        <v>1186200</v>
      </c>
      <c r="J22" s="22">
        <f t="shared" si="17"/>
        <v>169788</v>
      </c>
      <c r="K22" s="23">
        <f t="shared" si="17"/>
        <v>635735</v>
      </c>
      <c r="L22" s="24">
        <f t="shared" si="17"/>
        <v>162108</v>
      </c>
      <c r="M22" s="23">
        <f t="shared" si="17"/>
        <v>162108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187</v>
      </c>
      <c r="Q22" s="46">
        <f t="shared" si="18"/>
        <v>197</v>
      </c>
      <c r="R22" s="26">
        <f t="shared" si="18"/>
        <v>0</v>
      </c>
      <c r="S22" s="27">
        <f t="shared" si="18"/>
        <v>42</v>
      </c>
      <c r="T22" s="27">
        <f t="shared" si="18"/>
        <v>14</v>
      </c>
      <c r="U22" s="27">
        <f t="shared" si="18"/>
        <v>0</v>
      </c>
      <c r="V22" s="28">
        <f t="shared" si="18"/>
        <v>25</v>
      </c>
      <c r="W22" s="29">
        <f t="shared" si="18"/>
        <v>116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0.66621918146232384</v>
      </c>
      <c r="AC22" s="4">
        <f>SUM(AC6:AC21)/15</f>
        <v>0.51944444444444438</v>
      </c>
      <c r="AD22" s="4">
        <f>SUM(AD6:AD21)/15</f>
        <v>0.51917680512601849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1" t="s">
        <v>45</v>
      </c>
      <c r="B49" s="371"/>
      <c r="C49" s="371"/>
      <c r="D49" s="371"/>
      <c r="E49" s="37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2" t="s">
        <v>770</v>
      </c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4"/>
      <c r="N50" s="375" t="s">
        <v>790</v>
      </c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7"/>
    </row>
    <row r="51" spans="1:32" ht="27" customHeight="1">
      <c r="A51" s="378" t="s">
        <v>2</v>
      </c>
      <c r="B51" s="379"/>
      <c r="C51" s="294" t="s">
        <v>46</v>
      </c>
      <c r="D51" s="294" t="s">
        <v>47</v>
      </c>
      <c r="E51" s="294" t="s">
        <v>108</v>
      </c>
      <c r="F51" s="379" t="s">
        <v>107</v>
      </c>
      <c r="G51" s="379"/>
      <c r="H51" s="379"/>
      <c r="I51" s="379"/>
      <c r="J51" s="379"/>
      <c r="K51" s="379"/>
      <c r="L51" s="379"/>
      <c r="M51" s="380"/>
      <c r="N51" s="73" t="s">
        <v>112</v>
      </c>
      <c r="O51" s="294" t="s">
        <v>46</v>
      </c>
      <c r="P51" s="381" t="s">
        <v>47</v>
      </c>
      <c r="Q51" s="382"/>
      <c r="R51" s="381" t="s">
        <v>38</v>
      </c>
      <c r="S51" s="383"/>
      <c r="T51" s="383"/>
      <c r="U51" s="382"/>
      <c r="V51" s="381" t="s">
        <v>48</v>
      </c>
      <c r="W51" s="383"/>
      <c r="X51" s="383"/>
      <c r="Y51" s="383"/>
      <c r="Z51" s="383"/>
      <c r="AA51" s="383"/>
      <c r="AB51" s="383"/>
      <c r="AC51" s="383"/>
      <c r="AD51" s="384"/>
    </row>
    <row r="52" spans="1:32" ht="27" customHeight="1">
      <c r="A52" s="395" t="s">
        <v>771</v>
      </c>
      <c r="B52" s="396"/>
      <c r="C52" s="296" t="s">
        <v>772</v>
      </c>
      <c r="D52" s="296" t="s">
        <v>773</v>
      </c>
      <c r="E52" s="296" t="s">
        <v>758</v>
      </c>
      <c r="F52" s="397" t="s">
        <v>695</v>
      </c>
      <c r="G52" s="397"/>
      <c r="H52" s="397"/>
      <c r="I52" s="397"/>
      <c r="J52" s="397"/>
      <c r="K52" s="397"/>
      <c r="L52" s="397"/>
      <c r="M52" s="398"/>
      <c r="N52" s="295" t="s">
        <v>732</v>
      </c>
      <c r="O52" s="74" t="s">
        <v>736</v>
      </c>
      <c r="P52" s="396" t="s">
        <v>737</v>
      </c>
      <c r="Q52" s="396"/>
      <c r="R52" s="396" t="s">
        <v>791</v>
      </c>
      <c r="S52" s="396"/>
      <c r="T52" s="396"/>
      <c r="U52" s="396"/>
      <c r="V52" s="397" t="s">
        <v>705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771</v>
      </c>
      <c r="B53" s="396"/>
      <c r="C53" s="296" t="s">
        <v>774</v>
      </c>
      <c r="D53" s="296" t="s">
        <v>775</v>
      </c>
      <c r="E53" s="296" t="s">
        <v>776</v>
      </c>
      <c r="F53" s="397" t="s">
        <v>695</v>
      </c>
      <c r="G53" s="397"/>
      <c r="H53" s="397"/>
      <c r="I53" s="397"/>
      <c r="J53" s="397"/>
      <c r="K53" s="397"/>
      <c r="L53" s="397"/>
      <c r="M53" s="398"/>
      <c r="N53" s="295" t="s">
        <v>792</v>
      </c>
      <c r="O53" s="74" t="s">
        <v>786</v>
      </c>
      <c r="P53" s="396" t="s">
        <v>793</v>
      </c>
      <c r="Q53" s="396"/>
      <c r="R53" s="396" t="s">
        <v>794</v>
      </c>
      <c r="S53" s="396"/>
      <c r="T53" s="396"/>
      <c r="U53" s="396"/>
      <c r="V53" s="397" t="s">
        <v>795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777</v>
      </c>
      <c r="B54" s="396"/>
      <c r="C54" s="296" t="s">
        <v>727</v>
      </c>
      <c r="D54" s="296" t="s">
        <v>778</v>
      </c>
      <c r="E54" s="296" t="s">
        <v>779</v>
      </c>
      <c r="F54" s="397" t="s">
        <v>788</v>
      </c>
      <c r="G54" s="397"/>
      <c r="H54" s="397"/>
      <c r="I54" s="397"/>
      <c r="J54" s="397"/>
      <c r="K54" s="397"/>
      <c r="L54" s="397"/>
      <c r="M54" s="398"/>
      <c r="N54" s="295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780</v>
      </c>
      <c r="B55" s="396"/>
      <c r="C55" s="296" t="s">
        <v>781</v>
      </c>
      <c r="D55" s="296" t="s">
        <v>782</v>
      </c>
      <c r="E55" s="296" t="s">
        <v>783</v>
      </c>
      <c r="F55" s="397" t="s">
        <v>695</v>
      </c>
      <c r="G55" s="397"/>
      <c r="H55" s="397"/>
      <c r="I55" s="397"/>
      <c r="J55" s="397"/>
      <c r="K55" s="397"/>
      <c r="L55" s="397"/>
      <c r="M55" s="398"/>
      <c r="N55" s="295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121</v>
      </c>
      <c r="B56" s="396"/>
      <c r="C56" s="296" t="s">
        <v>784</v>
      </c>
      <c r="D56" s="296" t="s">
        <v>785</v>
      </c>
      <c r="E56" s="296" t="s">
        <v>760</v>
      </c>
      <c r="F56" s="397" t="s">
        <v>695</v>
      </c>
      <c r="G56" s="397"/>
      <c r="H56" s="397"/>
      <c r="I56" s="397"/>
      <c r="J56" s="397"/>
      <c r="K56" s="397"/>
      <c r="L56" s="397"/>
      <c r="M56" s="398"/>
      <c r="N56" s="295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 t="s">
        <v>114</v>
      </c>
      <c r="B57" s="396"/>
      <c r="C57" s="296" t="s">
        <v>786</v>
      </c>
      <c r="D57" s="296" t="s">
        <v>787</v>
      </c>
      <c r="E57" s="296" t="s">
        <v>763</v>
      </c>
      <c r="F57" s="397" t="s">
        <v>789</v>
      </c>
      <c r="G57" s="397"/>
      <c r="H57" s="397"/>
      <c r="I57" s="397"/>
      <c r="J57" s="397"/>
      <c r="K57" s="397"/>
      <c r="L57" s="397"/>
      <c r="M57" s="398"/>
      <c r="N57" s="295"/>
      <c r="O57" s="74"/>
      <c r="P57" s="396"/>
      <c r="Q57" s="39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/>
      <c r="B58" s="396"/>
      <c r="C58" s="296"/>
      <c r="D58" s="296"/>
      <c r="E58" s="296"/>
      <c r="F58" s="397"/>
      <c r="G58" s="397"/>
      <c r="H58" s="397"/>
      <c r="I58" s="397"/>
      <c r="J58" s="397"/>
      <c r="K58" s="397"/>
      <c r="L58" s="397"/>
      <c r="M58" s="398"/>
      <c r="N58" s="295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9"/>
      <c r="B59" s="400"/>
      <c r="C59" s="297"/>
      <c r="D59" s="296"/>
      <c r="E59" s="297"/>
      <c r="F59" s="397"/>
      <c r="G59" s="397"/>
      <c r="H59" s="397"/>
      <c r="I59" s="397"/>
      <c r="J59" s="397"/>
      <c r="K59" s="397"/>
      <c r="L59" s="397"/>
      <c r="M59" s="398"/>
      <c r="N59" s="295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/>
      <c r="B60" s="396"/>
      <c r="C60" s="296"/>
      <c r="D60" s="296"/>
      <c r="E60" s="296"/>
      <c r="F60" s="397"/>
      <c r="G60" s="397"/>
      <c r="H60" s="397"/>
      <c r="I60" s="397"/>
      <c r="J60" s="397"/>
      <c r="K60" s="397"/>
      <c r="L60" s="397"/>
      <c r="M60" s="398"/>
      <c r="N60" s="295"/>
      <c r="O60" s="74"/>
      <c r="P60" s="396"/>
      <c r="Q60" s="39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  <c r="AF60" s="94">
        <f>8*3000</f>
        <v>24000</v>
      </c>
    </row>
    <row r="61" spans="1:32" ht="27" customHeight="1" thickBot="1">
      <c r="A61" s="401"/>
      <c r="B61" s="402"/>
      <c r="C61" s="299"/>
      <c r="D61" s="299"/>
      <c r="E61" s="299"/>
      <c r="F61" s="403"/>
      <c r="G61" s="403"/>
      <c r="H61" s="403"/>
      <c r="I61" s="403"/>
      <c r="J61" s="403"/>
      <c r="K61" s="403"/>
      <c r="L61" s="403"/>
      <c r="M61" s="404"/>
      <c r="N61" s="298"/>
      <c r="O61" s="121"/>
      <c r="P61" s="402"/>
      <c r="Q61" s="402"/>
      <c r="R61" s="402"/>
      <c r="S61" s="402"/>
      <c r="T61" s="402"/>
      <c r="U61" s="402"/>
      <c r="V61" s="403"/>
      <c r="W61" s="403"/>
      <c r="X61" s="403"/>
      <c r="Y61" s="403"/>
      <c r="Z61" s="403"/>
      <c r="AA61" s="403"/>
      <c r="AB61" s="403"/>
      <c r="AC61" s="403"/>
      <c r="AD61" s="404"/>
      <c r="AF61" s="94">
        <f>16*3000</f>
        <v>48000</v>
      </c>
    </row>
    <row r="62" spans="1:32" ht="27.75" thickBot="1">
      <c r="A62" s="407" t="s">
        <v>796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300" t="s">
        <v>2</v>
      </c>
      <c r="D63" s="300" t="s">
        <v>37</v>
      </c>
      <c r="E63" s="300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00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2"/>
      <c r="T63" s="412"/>
      <c r="U63" s="412"/>
      <c r="V63" s="412"/>
      <c r="W63" s="412"/>
      <c r="X63" s="412"/>
      <c r="Y63" s="412"/>
      <c r="Z63" s="412"/>
      <c r="AA63" s="411"/>
      <c r="AB63" s="409" t="s">
        <v>44</v>
      </c>
      <c r="AC63" s="409"/>
      <c r="AD63" s="413"/>
      <c r="AF63" s="94">
        <f>SUM(AF60:AF62)</f>
        <v>96000</v>
      </c>
    </row>
    <row r="64" spans="1:32" ht="25.5" customHeight="1">
      <c r="A64" s="414">
        <v>1</v>
      </c>
      <c r="B64" s="415"/>
      <c r="C64" s="124" t="s">
        <v>802</v>
      </c>
      <c r="D64" s="303"/>
      <c r="E64" s="301" t="s">
        <v>801</v>
      </c>
      <c r="F64" s="416" t="s">
        <v>797</v>
      </c>
      <c r="G64" s="417"/>
      <c r="H64" s="417"/>
      <c r="I64" s="417"/>
      <c r="J64" s="417"/>
      <c r="K64" s="417" t="s">
        <v>798</v>
      </c>
      <c r="L64" s="417"/>
      <c r="M64" s="54" t="s">
        <v>799</v>
      </c>
      <c r="N64" s="417">
        <v>8</v>
      </c>
      <c r="O64" s="417"/>
      <c r="P64" s="418">
        <v>100</v>
      </c>
      <c r="Q64" s="418"/>
      <c r="R64" s="397" t="s">
        <v>800</v>
      </c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2</v>
      </c>
      <c r="B65" s="415"/>
      <c r="C65" s="124"/>
      <c r="D65" s="303"/>
      <c r="E65" s="301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3</v>
      </c>
      <c r="B66" s="415"/>
      <c r="C66" s="124"/>
      <c r="D66" s="303"/>
      <c r="E66" s="301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4</v>
      </c>
      <c r="B67" s="415"/>
      <c r="C67" s="124"/>
      <c r="D67" s="303"/>
      <c r="E67" s="301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5</v>
      </c>
      <c r="B68" s="415"/>
      <c r="C68" s="124"/>
      <c r="D68" s="303"/>
      <c r="E68" s="301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6</v>
      </c>
      <c r="B69" s="415"/>
      <c r="C69" s="124"/>
      <c r="D69" s="303"/>
      <c r="E69" s="301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7</v>
      </c>
      <c r="B70" s="415"/>
      <c r="C70" s="124"/>
      <c r="D70" s="303"/>
      <c r="E70" s="301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8</v>
      </c>
      <c r="B71" s="415"/>
      <c r="C71" s="124"/>
      <c r="D71" s="303"/>
      <c r="E71" s="301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6.25" customHeight="1" thickBot="1">
      <c r="A72" s="420" t="s">
        <v>803</v>
      </c>
      <c r="B72" s="420"/>
      <c r="C72" s="420"/>
      <c r="D72" s="420"/>
      <c r="E72" s="42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1" t="s">
        <v>113</v>
      </c>
      <c r="B73" s="422"/>
      <c r="C73" s="302" t="s">
        <v>2</v>
      </c>
      <c r="D73" s="302" t="s">
        <v>37</v>
      </c>
      <c r="E73" s="302" t="s">
        <v>3</v>
      </c>
      <c r="F73" s="422" t="s">
        <v>38</v>
      </c>
      <c r="G73" s="422"/>
      <c r="H73" s="422"/>
      <c r="I73" s="422"/>
      <c r="J73" s="422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22" t="s">
        <v>49</v>
      </c>
      <c r="U73" s="422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435">
        <v>1</v>
      </c>
      <c r="B74" s="436"/>
      <c r="C74" s="304" t="s">
        <v>114</v>
      </c>
      <c r="D74" s="304"/>
      <c r="E74" s="71" t="s">
        <v>119</v>
      </c>
      <c r="F74" s="437" t="s">
        <v>120</v>
      </c>
      <c r="G74" s="438"/>
      <c r="H74" s="438"/>
      <c r="I74" s="438"/>
      <c r="J74" s="439"/>
      <c r="K74" s="440" t="s">
        <v>115</v>
      </c>
      <c r="L74" s="441"/>
      <c r="M74" s="441"/>
      <c r="N74" s="441"/>
      <c r="O74" s="441"/>
      <c r="P74" s="441"/>
      <c r="Q74" s="441"/>
      <c r="R74" s="441"/>
      <c r="S74" s="442"/>
      <c r="T74" s="443">
        <v>42901</v>
      </c>
      <c r="U74" s="444"/>
      <c r="V74" s="445"/>
      <c r="W74" s="445"/>
      <c r="X74" s="446"/>
      <c r="Y74" s="446"/>
      <c r="Z74" s="446"/>
      <c r="AA74" s="446"/>
      <c r="AB74" s="446"/>
      <c r="AC74" s="446"/>
      <c r="AD74" s="447"/>
      <c r="AF74" s="53"/>
    </row>
    <row r="75" spans="1:32" ht="30" customHeight="1">
      <c r="A75" s="427">
        <f>A74+1</f>
        <v>2</v>
      </c>
      <c r="B75" s="428"/>
      <c r="C75" s="303" t="s">
        <v>114</v>
      </c>
      <c r="D75" s="303"/>
      <c r="E75" s="35" t="s">
        <v>116</v>
      </c>
      <c r="F75" s="428" t="s">
        <v>117</v>
      </c>
      <c r="G75" s="428"/>
      <c r="H75" s="428"/>
      <c r="I75" s="428"/>
      <c r="J75" s="428"/>
      <c r="K75" s="429" t="s">
        <v>118</v>
      </c>
      <c r="L75" s="430"/>
      <c r="M75" s="430"/>
      <c r="N75" s="430"/>
      <c r="O75" s="430"/>
      <c r="P75" s="430"/>
      <c r="Q75" s="430"/>
      <c r="R75" s="430"/>
      <c r="S75" s="431"/>
      <c r="T75" s="432">
        <v>42867</v>
      </c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ref="A76:A82" si="19">A75+1</f>
        <v>3</v>
      </c>
      <c r="B76" s="428"/>
      <c r="C76" s="303"/>
      <c r="D76" s="303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9"/>
        <v>4</v>
      </c>
      <c r="B77" s="428"/>
      <c r="C77" s="303"/>
      <c r="D77" s="303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9"/>
        <v>5</v>
      </c>
      <c r="B78" s="428"/>
      <c r="C78" s="303"/>
      <c r="D78" s="303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9"/>
        <v>6</v>
      </c>
      <c r="B79" s="428"/>
      <c r="C79" s="303"/>
      <c r="D79" s="303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9"/>
        <v>7</v>
      </c>
      <c r="B80" s="428"/>
      <c r="C80" s="303"/>
      <c r="D80" s="303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9"/>
        <v>8</v>
      </c>
      <c r="B81" s="428"/>
      <c r="C81" s="303"/>
      <c r="D81" s="303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19"/>
        <v>9</v>
      </c>
      <c r="B82" s="428"/>
      <c r="C82" s="303"/>
      <c r="D82" s="303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6" thickBot="1">
      <c r="A83" s="420" t="s">
        <v>804</v>
      </c>
      <c r="B83" s="420"/>
      <c r="C83" s="420"/>
      <c r="D83" s="420"/>
      <c r="E83" s="42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1" t="s">
        <v>113</v>
      </c>
      <c r="B84" s="422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3"/>
    </row>
    <row r="85" spans="1:32" ht="30.75" customHeight="1">
      <c r="A85" s="435">
        <v>1</v>
      </c>
      <c r="B85" s="436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450"/>
      <c r="U85" s="450"/>
      <c r="V85" s="451"/>
      <c r="W85" s="451"/>
      <c r="X85" s="451"/>
      <c r="Y85" s="452"/>
      <c r="Z85" s="452"/>
      <c r="AA85" s="452"/>
      <c r="AB85" s="452"/>
      <c r="AC85" s="452"/>
      <c r="AD85" s="453"/>
      <c r="AF85" s="53"/>
    </row>
    <row r="86" spans="1:32" ht="30.75" customHeight="1">
      <c r="A86" s="427">
        <v>2</v>
      </c>
      <c r="B86" s="428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4"/>
      <c r="Z86" s="454"/>
      <c r="AA86" s="454"/>
      <c r="AB86" s="454"/>
      <c r="AC86" s="454"/>
      <c r="AD86" s="455"/>
      <c r="AF86" s="53"/>
    </row>
    <row r="87" spans="1:32" ht="30.75" customHeight="1" thickBot="1">
      <c r="A87" s="456">
        <v>3</v>
      </c>
      <c r="B87" s="457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K78" sqref="K78:S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805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316" t="s">
        <v>17</v>
      </c>
      <c r="L5" s="316" t="s">
        <v>18</v>
      </c>
      <c r="M5" s="316" t="s">
        <v>19</v>
      </c>
      <c r="N5" s="31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550</v>
      </c>
      <c r="D6" s="55" t="s">
        <v>551</v>
      </c>
      <c r="E6" s="57" t="s">
        <v>758</v>
      </c>
      <c r="F6" s="33" t="s">
        <v>759</v>
      </c>
      <c r="G6" s="36">
        <v>1</v>
      </c>
      <c r="H6" s="38">
        <v>25</v>
      </c>
      <c r="I6" s="7">
        <v>70000</v>
      </c>
      <c r="J6" s="5">
        <v>3204</v>
      </c>
      <c r="K6" s="15">
        <f>L6+2396</f>
        <v>5600</v>
      </c>
      <c r="L6" s="15">
        <f>2284+920</f>
        <v>3204</v>
      </c>
      <c r="M6" s="16">
        <f t="shared" ref="M6:M21" si="0">L6-N6</f>
        <v>3204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19</v>
      </c>
      <c r="Q6" s="43">
        <f t="shared" ref="Q6:Q21" si="3">SUM(R6:AA6)</f>
        <v>5</v>
      </c>
      <c r="R6" s="7"/>
      <c r="S6" s="6">
        <v>5</v>
      </c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1</v>
      </c>
      <c r="AC6" s="9">
        <f t="shared" ref="AC6:AC21" si="5">IF(P6=0,"0",(P6/24))</f>
        <v>0.79166666666666663</v>
      </c>
      <c r="AD6" s="10">
        <f t="shared" ref="AD6:AD21" si="6">AC6*AB6*(1-O6)</f>
        <v>0.79166666666666663</v>
      </c>
      <c r="AE6" s="39">
        <f t="shared" ref="AE6:AE11" si="7">$AD$22</f>
        <v>0.48568171960370804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57</v>
      </c>
      <c r="C7" s="37" t="s">
        <v>145</v>
      </c>
      <c r="D7" s="55"/>
      <c r="E7" s="57" t="s">
        <v>146</v>
      </c>
      <c r="F7" s="33" t="s">
        <v>131</v>
      </c>
      <c r="G7" s="12" t="s">
        <v>147</v>
      </c>
      <c r="H7" s="13">
        <v>25</v>
      </c>
      <c r="I7" s="34">
        <v>2500</v>
      </c>
      <c r="J7" s="5">
        <v>1140</v>
      </c>
      <c r="K7" s="15">
        <f>L7+2651+1135</f>
        <v>3786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0.48568171960370804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646</v>
      </c>
      <c r="D8" s="55"/>
      <c r="E8" s="57" t="s">
        <v>647</v>
      </c>
      <c r="F8" s="33" t="s">
        <v>142</v>
      </c>
      <c r="G8" s="12">
        <v>1</v>
      </c>
      <c r="H8" s="13">
        <v>25</v>
      </c>
      <c r="I8" s="34">
        <v>10000</v>
      </c>
      <c r="J8" s="5">
        <v>470</v>
      </c>
      <c r="K8" s="15">
        <f>L8+1936+3001+2817+2689</f>
        <v>10907</v>
      </c>
      <c r="L8" s="15">
        <v>464</v>
      </c>
      <c r="M8" s="16">
        <f t="shared" si="0"/>
        <v>464</v>
      </c>
      <c r="N8" s="16">
        <v>0</v>
      </c>
      <c r="O8" s="62">
        <f t="shared" si="1"/>
        <v>0</v>
      </c>
      <c r="P8" s="42">
        <f t="shared" si="2"/>
        <v>4</v>
      </c>
      <c r="Q8" s="43">
        <f t="shared" si="3"/>
        <v>20</v>
      </c>
      <c r="R8" s="7"/>
      <c r="S8" s="6"/>
      <c r="T8" s="17"/>
      <c r="U8" s="17"/>
      <c r="V8" s="18"/>
      <c r="W8" s="19">
        <v>20</v>
      </c>
      <c r="X8" s="17"/>
      <c r="Y8" s="20"/>
      <c r="Z8" s="20"/>
      <c r="AA8" s="21"/>
      <c r="AB8" s="8">
        <f t="shared" si="4"/>
        <v>0.98723404255319147</v>
      </c>
      <c r="AC8" s="9">
        <f t="shared" si="5"/>
        <v>0.16666666666666666</v>
      </c>
      <c r="AD8" s="10">
        <f t="shared" si="6"/>
        <v>0.16453900709219857</v>
      </c>
      <c r="AE8" s="39">
        <f t="shared" si="7"/>
        <v>0.48568171960370804</v>
      </c>
      <c r="AF8" s="94">
        <f t="shared" si="8"/>
        <v>3</v>
      </c>
    </row>
    <row r="9" spans="1:32" ht="27" customHeight="1">
      <c r="A9" s="109">
        <v>3</v>
      </c>
      <c r="B9" s="11" t="s">
        <v>57</v>
      </c>
      <c r="C9" s="37" t="s">
        <v>806</v>
      </c>
      <c r="D9" s="55" t="s">
        <v>807</v>
      </c>
      <c r="E9" s="57" t="s">
        <v>808</v>
      </c>
      <c r="F9" s="33" t="s">
        <v>142</v>
      </c>
      <c r="G9" s="12">
        <v>1</v>
      </c>
      <c r="H9" s="13">
        <v>25</v>
      </c>
      <c r="I9" s="34">
        <v>70000</v>
      </c>
      <c r="J9" s="5">
        <v>4540</v>
      </c>
      <c r="K9" s="15">
        <f>L9</f>
        <v>4540</v>
      </c>
      <c r="L9" s="15">
        <f>3115+1425</f>
        <v>4540</v>
      </c>
      <c r="M9" s="16">
        <f t="shared" ref="M9" si="9">L9-N9</f>
        <v>4540</v>
      </c>
      <c r="N9" s="16">
        <v>0</v>
      </c>
      <c r="O9" s="62">
        <f t="shared" ref="O9" si="10">IF(L9=0,"0",N9/L9)</f>
        <v>0</v>
      </c>
      <c r="P9" s="42">
        <f t="shared" ref="P9" si="11">IF(L9=0,"0",(24-Q9))</f>
        <v>19</v>
      </c>
      <c r="Q9" s="43">
        <f t="shared" ref="Q9" si="12">SUM(R9:AA9)</f>
        <v>5</v>
      </c>
      <c r="R9" s="7"/>
      <c r="S9" s="6"/>
      <c r="T9" s="17">
        <v>5</v>
      </c>
      <c r="U9" s="17"/>
      <c r="V9" s="18"/>
      <c r="W9" s="19"/>
      <c r="X9" s="17"/>
      <c r="Y9" s="20"/>
      <c r="Z9" s="20"/>
      <c r="AA9" s="21"/>
      <c r="AB9" s="8">
        <f t="shared" ref="AB9" si="13">IF(J9=0,"0",(L9/J9))</f>
        <v>1</v>
      </c>
      <c r="AC9" s="9">
        <f t="shared" ref="AC9" si="14">IF(P9=0,"0",(P9/24))</f>
        <v>0.79166666666666663</v>
      </c>
      <c r="AD9" s="10">
        <f t="shared" ref="AD9" si="15">AC9*AB9*(1-O9)</f>
        <v>0.79166666666666663</v>
      </c>
      <c r="AE9" s="39">
        <f t="shared" si="7"/>
        <v>0.48568171960370804</v>
      </c>
      <c r="AF9" s="94">
        <f t="shared" ref="AF9" si="16">A9</f>
        <v>3</v>
      </c>
    </row>
    <row r="10" spans="1:32" ht="27" customHeight="1">
      <c r="A10" s="110">
        <v>4</v>
      </c>
      <c r="B10" s="11" t="s">
        <v>57</v>
      </c>
      <c r="C10" s="37" t="s">
        <v>685</v>
      </c>
      <c r="D10" s="55" t="s">
        <v>686</v>
      </c>
      <c r="E10" s="57" t="s">
        <v>760</v>
      </c>
      <c r="F10" s="33" t="s">
        <v>761</v>
      </c>
      <c r="G10" s="36">
        <v>32</v>
      </c>
      <c r="H10" s="38">
        <v>25</v>
      </c>
      <c r="I10" s="7">
        <v>120000</v>
      </c>
      <c r="J10" s="5">
        <v>219240</v>
      </c>
      <c r="K10" s="15">
        <f>L10+124128</f>
        <v>343360</v>
      </c>
      <c r="L10" s="15">
        <f>3564*32+3287*32</f>
        <v>219232</v>
      </c>
      <c r="M10" s="16">
        <f t="shared" si="0"/>
        <v>219232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0.99996351030833786</v>
      </c>
      <c r="AC10" s="9">
        <f t="shared" si="5"/>
        <v>1</v>
      </c>
      <c r="AD10" s="10">
        <f t="shared" si="6"/>
        <v>0.99996351030833786</v>
      </c>
      <c r="AE10" s="39">
        <f t="shared" si="7"/>
        <v>0.48568171960370804</v>
      </c>
      <c r="AF10" s="94">
        <f t="shared" si="8"/>
        <v>4</v>
      </c>
    </row>
    <row r="11" spans="1:32" ht="27" customHeight="1">
      <c r="A11" s="110">
        <v>5</v>
      </c>
      <c r="B11" s="11" t="s">
        <v>57</v>
      </c>
      <c r="C11" s="37" t="s">
        <v>121</v>
      </c>
      <c r="D11" s="55" t="s">
        <v>323</v>
      </c>
      <c r="E11" s="57" t="s">
        <v>324</v>
      </c>
      <c r="F11" s="33" t="s">
        <v>207</v>
      </c>
      <c r="G11" s="36">
        <v>2</v>
      </c>
      <c r="H11" s="38">
        <v>25</v>
      </c>
      <c r="I11" s="7">
        <v>400</v>
      </c>
      <c r="J11" s="5">
        <v>560</v>
      </c>
      <c r="K11" s="15">
        <f>L11+560</f>
        <v>560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0.48568171960370804</v>
      </c>
      <c r="AF11" s="94">
        <f t="shared" si="8"/>
        <v>5</v>
      </c>
    </row>
    <row r="12" spans="1:32" ht="27" customHeight="1">
      <c r="A12" s="110">
        <v>6</v>
      </c>
      <c r="B12" s="11" t="s">
        <v>57</v>
      </c>
      <c r="C12" s="11" t="s">
        <v>550</v>
      </c>
      <c r="D12" s="55" t="s">
        <v>554</v>
      </c>
      <c r="E12" s="57" t="s">
        <v>555</v>
      </c>
      <c r="F12" s="12" t="s">
        <v>556</v>
      </c>
      <c r="G12" s="12">
        <v>1</v>
      </c>
      <c r="H12" s="13">
        <v>25</v>
      </c>
      <c r="I12" s="34">
        <v>35000</v>
      </c>
      <c r="J12" s="14">
        <v>4560</v>
      </c>
      <c r="K12" s="15">
        <f>L12+4976+5075+5432+4956+5154</f>
        <v>30148</v>
      </c>
      <c r="L12" s="15">
        <f>2773+1782</f>
        <v>4555</v>
      </c>
      <c r="M12" s="16">
        <f t="shared" si="0"/>
        <v>4555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>
        <v>1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0.99890350877192979</v>
      </c>
      <c r="AC12" s="9">
        <f t="shared" si="5"/>
        <v>0.95833333333333337</v>
      </c>
      <c r="AD12" s="10">
        <f t="shared" si="6"/>
        <v>0.95728252923976609</v>
      </c>
      <c r="AE12" s="39">
        <f>$AD$20</f>
        <v>0.99981412639405209</v>
      </c>
      <c r="AF12" s="94">
        <f t="shared" si="8"/>
        <v>6</v>
      </c>
    </row>
    <row r="13" spans="1:32" ht="27" customHeight="1">
      <c r="A13" s="110">
        <v>7</v>
      </c>
      <c r="B13" s="11" t="s">
        <v>57</v>
      </c>
      <c r="C13" s="11" t="s">
        <v>114</v>
      </c>
      <c r="D13" s="55" t="s">
        <v>539</v>
      </c>
      <c r="E13" s="57" t="s">
        <v>648</v>
      </c>
      <c r="F13" s="12" t="s">
        <v>649</v>
      </c>
      <c r="G13" s="12">
        <v>1</v>
      </c>
      <c r="H13" s="13">
        <v>25</v>
      </c>
      <c r="I13" s="7">
        <v>12000</v>
      </c>
      <c r="J13" s="14">
        <v>725</v>
      </c>
      <c r="K13" s="15">
        <f>L13+3180+725</f>
        <v>3905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>
        <v>24</v>
      </c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ref="AE13:AE21" si="17">$AD$22</f>
        <v>0.48568171960370804</v>
      </c>
      <c r="AF13" s="94">
        <f t="shared" si="8"/>
        <v>7</v>
      </c>
    </row>
    <row r="14" spans="1:32" ht="27" customHeight="1">
      <c r="A14" s="110">
        <v>8</v>
      </c>
      <c r="B14" s="11" t="s">
        <v>57</v>
      </c>
      <c r="C14" s="11" t="s">
        <v>114</v>
      </c>
      <c r="D14" s="55" t="s">
        <v>475</v>
      </c>
      <c r="E14" s="57" t="s">
        <v>714</v>
      </c>
      <c r="F14" s="12">
        <v>7301</v>
      </c>
      <c r="G14" s="12">
        <v>1</v>
      </c>
      <c r="H14" s="13">
        <v>25</v>
      </c>
      <c r="I14" s="7">
        <v>3000</v>
      </c>
      <c r="J14" s="14">
        <v>2620</v>
      </c>
      <c r="K14" s="15">
        <f>L14+2616</f>
        <v>2616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17"/>
        <v>0.48568171960370804</v>
      </c>
      <c r="AF14" s="94">
        <f t="shared" si="8"/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124</v>
      </c>
      <c r="E15" s="57" t="s">
        <v>689</v>
      </c>
      <c r="F15" s="33" t="s">
        <v>688</v>
      </c>
      <c r="G15" s="36">
        <v>1</v>
      </c>
      <c r="H15" s="38">
        <v>25</v>
      </c>
      <c r="I15" s="7">
        <v>300</v>
      </c>
      <c r="J15" s="5">
        <v>382</v>
      </c>
      <c r="K15" s="15">
        <f>L15+382</f>
        <v>382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17"/>
        <v>0.48568171960370804</v>
      </c>
      <c r="AF15" s="94">
        <f t="shared" si="8"/>
        <v>9</v>
      </c>
    </row>
    <row r="16" spans="1:32" ht="27" customHeight="1">
      <c r="A16" s="109">
        <v>10</v>
      </c>
      <c r="B16" s="11" t="s">
        <v>57</v>
      </c>
      <c r="C16" s="11" t="s">
        <v>114</v>
      </c>
      <c r="D16" s="55" t="s">
        <v>715</v>
      </c>
      <c r="E16" s="57" t="s">
        <v>716</v>
      </c>
      <c r="F16" s="12">
        <v>8301</v>
      </c>
      <c r="G16" s="12">
        <v>1</v>
      </c>
      <c r="H16" s="13">
        <v>24</v>
      </c>
      <c r="I16" s="34">
        <v>10000</v>
      </c>
      <c r="J16" s="14">
        <v>2360</v>
      </c>
      <c r="K16" s="15">
        <f>L16+2974+5940</f>
        <v>11271</v>
      </c>
      <c r="L16" s="15">
        <v>2357</v>
      </c>
      <c r="M16" s="16">
        <f t="shared" si="0"/>
        <v>2357</v>
      </c>
      <c r="N16" s="16">
        <v>0</v>
      </c>
      <c r="O16" s="62">
        <f t="shared" si="1"/>
        <v>0</v>
      </c>
      <c r="P16" s="42">
        <f t="shared" si="2"/>
        <v>14</v>
      </c>
      <c r="Q16" s="43">
        <f t="shared" si="3"/>
        <v>10</v>
      </c>
      <c r="R16" s="7"/>
      <c r="S16" s="6"/>
      <c r="T16" s="17"/>
      <c r="U16" s="17"/>
      <c r="V16" s="18"/>
      <c r="W16" s="19">
        <v>10</v>
      </c>
      <c r="X16" s="17"/>
      <c r="Y16" s="20"/>
      <c r="Z16" s="20"/>
      <c r="AA16" s="21"/>
      <c r="AB16" s="8">
        <f t="shared" si="4"/>
        <v>0.99872881355932208</v>
      </c>
      <c r="AC16" s="9">
        <f t="shared" si="5"/>
        <v>0.58333333333333337</v>
      </c>
      <c r="AD16" s="10">
        <f t="shared" si="6"/>
        <v>0.58259180790960463</v>
      </c>
      <c r="AE16" s="39">
        <f t="shared" si="17"/>
        <v>0.48568171960370804</v>
      </c>
      <c r="AF16" s="94">
        <f t="shared" si="8"/>
        <v>10</v>
      </c>
    </row>
    <row r="17" spans="1:32" ht="27" customHeight="1">
      <c r="A17" s="109">
        <v>11</v>
      </c>
      <c r="B17" s="11" t="s">
        <v>57</v>
      </c>
      <c r="C17" s="11" t="s">
        <v>114</v>
      </c>
      <c r="D17" s="55" t="s">
        <v>141</v>
      </c>
      <c r="E17" s="57" t="s">
        <v>765</v>
      </c>
      <c r="F17" s="12">
        <v>7301</v>
      </c>
      <c r="G17" s="12">
        <v>1</v>
      </c>
      <c r="H17" s="13">
        <v>25</v>
      </c>
      <c r="I17" s="7">
        <v>10000</v>
      </c>
      <c r="J17" s="14">
        <v>5280</v>
      </c>
      <c r="K17" s="15">
        <f>L17+3071</f>
        <v>8344</v>
      </c>
      <c r="L17" s="15">
        <f>2761+2512</f>
        <v>5273</v>
      </c>
      <c r="M17" s="16">
        <f t="shared" si="0"/>
        <v>5273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0.99867424242424241</v>
      </c>
      <c r="AC17" s="9">
        <f t="shared" si="5"/>
        <v>1</v>
      </c>
      <c r="AD17" s="10">
        <f t="shared" si="6"/>
        <v>0.99867424242424241</v>
      </c>
      <c r="AE17" s="39">
        <f t="shared" si="17"/>
        <v>0.48568171960370804</v>
      </c>
      <c r="AF17" s="94">
        <f t="shared" si="8"/>
        <v>11</v>
      </c>
    </row>
    <row r="18" spans="1:32" ht="27" customHeight="1">
      <c r="A18" s="109">
        <v>12</v>
      </c>
      <c r="B18" s="11" t="s">
        <v>57</v>
      </c>
      <c r="C18" s="37" t="s">
        <v>550</v>
      </c>
      <c r="D18" s="55" t="s">
        <v>136</v>
      </c>
      <c r="E18" s="57" t="s">
        <v>562</v>
      </c>
      <c r="F18" s="12" t="s">
        <v>556</v>
      </c>
      <c r="G18" s="12">
        <v>1</v>
      </c>
      <c r="H18" s="13">
        <v>25</v>
      </c>
      <c r="I18" s="34">
        <v>35000</v>
      </c>
      <c r="J18" s="5">
        <v>11050</v>
      </c>
      <c r="K18" s="15">
        <f>L18+9090+11220+8876+11048</f>
        <v>40234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17"/>
        <v>0.48568171960370804</v>
      </c>
      <c r="AF18" s="94">
        <f t="shared" si="8"/>
        <v>12</v>
      </c>
    </row>
    <row r="19" spans="1:32" ht="27" customHeight="1">
      <c r="A19" s="110">
        <v>13</v>
      </c>
      <c r="B19" s="11" t="s">
        <v>57</v>
      </c>
      <c r="C19" s="11" t="s">
        <v>121</v>
      </c>
      <c r="D19" s="55" t="s">
        <v>766</v>
      </c>
      <c r="E19" s="57" t="s">
        <v>767</v>
      </c>
      <c r="F19" s="12">
        <v>7301</v>
      </c>
      <c r="G19" s="12">
        <v>1</v>
      </c>
      <c r="H19" s="13">
        <v>24</v>
      </c>
      <c r="I19" s="34">
        <v>6000</v>
      </c>
      <c r="J19" s="14">
        <v>5140</v>
      </c>
      <c r="K19" s="15">
        <f>L19+4068</f>
        <v>9203</v>
      </c>
      <c r="L19" s="15">
        <f>2671+2464</f>
        <v>5135</v>
      </c>
      <c r="M19" s="16">
        <f t="shared" si="0"/>
        <v>5135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0.99902723735408561</v>
      </c>
      <c r="AC19" s="9">
        <f t="shared" si="5"/>
        <v>1</v>
      </c>
      <c r="AD19" s="10">
        <f t="shared" si="6"/>
        <v>0.99902723735408561</v>
      </c>
      <c r="AE19" s="39">
        <f t="shared" si="17"/>
        <v>0.48568171960370804</v>
      </c>
      <c r="AF19" s="94">
        <f t="shared" si="8"/>
        <v>13</v>
      </c>
    </row>
    <row r="20" spans="1:32" ht="27" customHeight="1">
      <c r="A20" s="110">
        <v>14</v>
      </c>
      <c r="B20" s="11" t="s">
        <v>57</v>
      </c>
      <c r="C20" s="11" t="s">
        <v>425</v>
      </c>
      <c r="D20" s="55" t="s">
        <v>124</v>
      </c>
      <c r="E20" s="57" t="s">
        <v>768</v>
      </c>
      <c r="F20" s="12" t="s">
        <v>769</v>
      </c>
      <c r="G20" s="12">
        <v>1</v>
      </c>
      <c r="H20" s="13">
        <v>25</v>
      </c>
      <c r="I20" s="7">
        <v>70000</v>
      </c>
      <c r="J20" s="14">
        <v>5380</v>
      </c>
      <c r="K20" s="15">
        <f>L20+3038</f>
        <v>8417</v>
      </c>
      <c r="L20" s="15">
        <f>2804+2575</f>
        <v>5379</v>
      </c>
      <c r="M20" s="16">
        <f t="shared" si="0"/>
        <v>5379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0.99981412639405209</v>
      </c>
      <c r="AC20" s="9">
        <f t="shared" si="5"/>
        <v>1</v>
      </c>
      <c r="AD20" s="10">
        <f t="shared" si="6"/>
        <v>0.99981412639405209</v>
      </c>
      <c r="AE20" s="39">
        <f t="shared" si="17"/>
        <v>0.48568171960370804</v>
      </c>
      <c r="AF20" s="94">
        <f t="shared" si="8"/>
        <v>14</v>
      </c>
    </row>
    <row r="21" spans="1:32" ht="27" customHeight="1" thickBot="1">
      <c r="A21" s="110">
        <v>15</v>
      </c>
      <c r="B21" s="11" t="s">
        <v>57</v>
      </c>
      <c r="C21" s="11" t="s">
        <v>122</v>
      </c>
      <c r="D21" s="55"/>
      <c r="E21" s="56" t="s">
        <v>127</v>
      </c>
      <c r="F21" s="12" t="s">
        <v>123</v>
      </c>
      <c r="G21" s="12">
        <v>4</v>
      </c>
      <c r="H21" s="38">
        <v>20</v>
      </c>
      <c r="I21" s="7">
        <v>800000</v>
      </c>
      <c r="J21" s="14">
        <v>2230</v>
      </c>
      <c r="K21" s="15">
        <f>L21+29128+42972+45096+45728+43064+5640+29816+42972+44600+38336+6084+2224</f>
        <v>375660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17"/>
        <v>0.48568171960370804</v>
      </c>
      <c r="AF21" s="94">
        <f t="shared" si="8"/>
        <v>15</v>
      </c>
    </row>
    <row r="22" spans="1:32" ht="31.5" customHeight="1" thickBot="1">
      <c r="A22" s="368" t="s">
        <v>34</v>
      </c>
      <c r="B22" s="369"/>
      <c r="C22" s="369"/>
      <c r="D22" s="369"/>
      <c r="E22" s="369"/>
      <c r="F22" s="369"/>
      <c r="G22" s="369"/>
      <c r="H22" s="370"/>
      <c r="I22" s="25">
        <f t="shared" ref="I22:N22" si="18">SUM(I6:I21)</f>
        <v>1254200</v>
      </c>
      <c r="J22" s="22">
        <f t="shared" si="18"/>
        <v>268881</v>
      </c>
      <c r="K22" s="23">
        <f t="shared" si="18"/>
        <v>858933</v>
      </c>
      <c r="L22" s="24">
        <f t="shared" si="18"/>
        <v>250139</v>
      </c>
      <c r="M22" s="23">
        <f t="shared" si="18"/>
        <v>250139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175</v>
      </c>
      <c r="Q22" s="46">
        <f t="shared" si="19"/>
        <v>209</v>
      </c>
      <c r="R22" s="26">
        <f t="shared" si="19"/>
        <v>0</v>
      </c>
      <c r="S22" s="27">
        <f t="shared" si="19"/>
        <v>30</v>
      </c>
      <c r="T22" s="27">
        <f t="shared" si="19"/>
        <v>5</v>
      </c>
      <c r="U22" s="27">
        <f t="shared" si="19"/>
        <v>0</v>
      </c>
      <c r="V22" s="28">
        <f t="shared" si="19"/>
        <v>24</v>
      </c>
      <c r="W22" s="29">
        <f t="shared" si="19"/>
        <v>150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0</v>
      </c>
      <c r="AB22" s="31">
        <f>SUM(AB6:AB21)/15</f>
        <v>0.59882303209101073</v>
      </c>
      <c r="AC22" s="4">
        <f>SUM(AC6:AC21)/15</f>
        <v>0.4861111111111111</v>
      </c>
      <c r="AD22" s="4">
        <f>SUM(AD6:AD21)/15</f>
        <v>0.48568171960370804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1" t="s">
        <v>45</v>
      </c>
      <c r="B49" s="371"/>
      <c r="C49" s="371"/>
      <c r="D49" s="371"/>
      <c r="E49" s="37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2" t="s">
        <v>809</v>
      </c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4"/>
      <c r="N50" s="375" t="s">
        <v>828</v>
      </c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7"/>
    </row>
    <row r="51" spans="1:32" ht="27" customHeight="1">
      <c r="A51" s="378" t="s">
        <v>2</v>
      </c>
      <c r="B51" s="379"/>
      <c r="C51" s="315" t="s">
        <v>46</v>
      </c>
      <c r="D51" s="315" t="s">
        <v>47</v>
      </c>
      <c r="E51" s="315" t="s">
        <v>108</v>
      </c>
      <c r="F51" s="379" t="s">
        <v>107</v>
      </c>
      <c r="G51" s="379"/>
      <c r="H51" s="379"/>
      <c r="I51" s="379"/>
      <c r="J51" s="379"/>
      <c r="K51" s="379"/>
      <c r="L51" s="379"/>
      <c r="M51" s="380"/>
      <c r="N51" s="73" t="s">
        <v>112</v>
      </c>
      <c r="O51" s="315" t="s">
        <v>46</v>
      </c>
      <c r="P51" s="381" t="s">
        <v>47</v>
      </c>
      <c r="Q51" s="382"/>
      <c r="R51" s="381" t="s">
        <v>38</v>
      </c>
      <c r="S51" s="383"/>
      <c r="T51" s="383"/>
      <c r="U51" s="382"/>
      <c r="V51" s="381" t="s">
        <v>48</v>
      </c>
      <c r="W51" s="383"/>
      <c r="X51" s="383"/>
      <c r="Y51" s="383"/>
      <c r="Z51" s="383"/>
      <c r="AA51" s="383"/>
      <c r="AB51" s="383"/>
      <c r="AC51" s="383"/>
      <c r="AD51" s="384"/>
    </row>
    <row r="52" spans="1:32" ht="27" customHeight="1">
      <c r="A52" s="395" t="s">
        <v>771</v>
      </c>
      <c r="B52" s="396"/>
      <c r="C52" s="311" t="s">
        <v>810</v>
      </c>
      <c r="D52" s="311" t="s">
        <v>811</v>
      </c>
      <c r="E52" s="311" t="s">
        <v>812</v>
      </c>
      <c r="F52" s="397" t="s">
        <v>695</v>
      </c>
      <c r="G52" s="397"/>
      <c r="H52" s="397"/>
      <c r="I52" s="397"/>
      <c r="J52" s="397"/>
      <c r="K52" s="397"/>
      <c r="L52" s="397"/>
      <c r="M52" s="398"/>
      <c r="N52" s="310" t="s">
        <v>732</v>
      </c>
      <c r="O52" s="74" t="s">
        <v>829</v>
      </c>
      <c r="P52" s="396" t="s">
        <v>830</v>
      </c>
      <c r="Q52" s="396"/>
      <c r="R52" s="396" t="s">
        <v>831</v>
      </c>
      <c r="S52" s="396"/>
      <c r="T52" s="396"/>
      <c r="U52" s="396"/>
      <c r="V52" s="397" t="s">
        <v>832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771</v>
      </c>
      <c r="B53" s="396"/>
      <c r="C53" s="311" t="s">
        <v>813</v>
      </c>
      <c r="D53" s="311" t="s">
        <v>814</v>
      </c>
      <c r="E53" s="311" t="s">
        <v>815</v>
      </c>
      <c r="F53" s="397" t="s">
        <v>816</v>
      </c>
      <c r="G53" s="397"/>
      <c r="H53" s="397"/>
      <c r="I53" s="397"/>
      <c r="J53" s="397"/>
      <c r="K53" s="397"/>
      <c r="L53" s="397"/>
      <c r="M53" s="398"/>
      <c r="N53" s="310" t="s">
        <v>833</v>
      </c>
      <c r="O53" s="74" t="s">
        <v>834</v>
      </c>
      <c r="P53" s="396"/>
      <c r="Q53" s="396"/>
      <c r="R53" s="396" t="s">
        <v>835</v>
      </c>
      <c r="S53" s="396"/>
      <c r="T53" s="396"/>
      <c r="U53" s="396"/>
      <c r="V53" s="397" t="s">
        <v>836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806</v>
      </c>
      <c r="B54" s="396"/>
      <c r="C54" s="311" t="s">
        <v>817</v>
      </c>
      <c r="D54" s="311" t="s">
        <v>818</v>
      </c>
      <c r="E54" s="311" t="s">
        <v>819</v>
      </c>
      <c r="F54" s="397" t="s">
        <v>820</v>
      </c>
      <c r="G54" s="397"/>
      <c r="H54" s="397"/>
      <c r="I54" s="397"/>
      <c r="J54" s="397"/>
      <c r="K54" s="397"/>
      <c r="L54" s="397"/>
      <c r="M54" s="398"/>
      <c r="N54" s="310" t="s">
        <v>806</v>
      </c>
      <c r="O54" s="74" t="s">
        <v>829</v>
      </c>
      <c r="P54" s="396" t="s">
        <v>838</v>
      </c>
      <c r="Q54" s="396"/>
      <c r="R54" s="396" t="s">
        <v>837</v>
      </c>
      <c r="S54" s="396"/>
      <c r="T54" s="396"/>
      <c r="U54" s="396"/>
      <c r="V54" s="397" t="s">
        <v>836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806</v>
      </c>
      <c r="B55" s="396"/>
      <c r="C55" s="311" t="s">
        <v>821</v>
      </c>
      <c r="D55" s="311" t="s">
        <v>822</v>
      </c>
      <c r="E55" s="311" t="s">
        <v>823</v>
      </c>
      <c r="F55" s="397" t="s">
        <v>824</v>
      </c>
      <c r="G55" s="397"/>
      <c r="H55" s="397"/>
      <c r="I55" s="397"/>
      <c r="J55" s="397"/>
      <c r="K55" s="397"/>
      <c r="L55" s="397"/>
      <c r="M55" s="398"/>
      <c r="N55" s="310" t="s">
        <v>806</v>
      </c>
      <c r="O55" s="74" t="s">
        <v>825</v>
      </c>
      <c r="P55" s="396" t="s">
        <v>839</v>
      </c>
      <c r="Q55" s="396"/>
      <c r="R55" s="396" t="s">
        <v>831</v>
      </c>
      <c r="S55" s="396"/>
      <c r="T55" s="396"/>
      <c r="U55" s="396"/>
      <c r="V55" s="397" t="s">
        <v>836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806</v>
      </c>
      <c r="B56" s="396"/>
      <c r="C56" s="311" t="s">
        <v>825</v>
      </c>
      <c r="D56" s="311" t="s">
        <v>826</v>
      </c>
      <c r="E56" s="311" t="s">
        <v>827</v>
      </c>
      <c r="F56" s="397" t="s">
        <v>824</v>
      </c>
      <c r="G56" s="397"/>
      <c r="H56" s="397"/>
      <c r="I56" s="397"/>
      <c r="J56" s="397"/>
      <c r="K56" s="397"/>
      <c r="L56" s="397"/>
      <c r="M56" s="398"/>
      <c r="N56" s="310" t="s">
        <v>806</v>
      </c>
      <c r="O56" s="74" t="s">
        <v>842</v>
      </c>
      <c r="P56" s="396" t="s">
        <v>841</v>
      </c>
      <c r="Q56" s="396"/>
      <c r="R56" s="396" t="s">
        <v>840</v>
      </c>
      <c r="S56" s="396"/>
      <c r="T56" s="396"/>
      <c r="U56" s="396"/>
      <c r="V56" s="397" t="s">
        <v>836</v>
      </c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/>
      <c r="B57" s="396"/>
      <c r="C57" s="311"/>
      <c r="D57" s="311"/>
      <c r="E57" s="311"/>
      <c r="F57" s="397"/>
      <c r="G57" s="397"/>
      <c r="H57" s="397"/>
      <c r="I57" s="397"/>
      <c r="J57" s="397"/>
      <c r="K57" s="397"/>
      <c r="L57" s="397"/>
      <c r="M57" s="398"/>
      <c r="N57" s="310" t="s">
        <v>844</v>
      </c>
      <c r="O57" s="74" t="s">
        <v>821</v>
      </c>
      <c r="P57" s="396" t="s">
        <v>845</v>
      </c>
      <c r="Q57" s="396"/>
      <c r="R57" s="396" t="s">
        <v>843</v>
      </c>
      <c r="S57" s="396"/>
      <c r="T57" s="396"/>
      <c r="U57" s="396"/>
      <c r="V57" s="397" t="s">
        <v>836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/>
      <c r="B58" s="396"/>
      <c r="C58" s="311"/>
      <c r="D58" s="311"/>
      <c r="E58" s="311"/>
      <c r="F58" s="397"/>
      <c r="G58" s="397"/>
      <c r="H58" s="397"/>
      <c r="I58" s="397"/>
      <c r="J58" s="397"/>
      <c r="K58" s="397"/>
      <c r="L58" s="397"/>
      <c r="M58" s="398"/>
      <c r="N58" s="310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9"/>
      <c r="B59" s="400"/>
      <c r="C59" s="314"/>
      <c r="D59" s="311"/>
      <c r="E59" s="314"/>
      <c r="F59" s="397"/>
      <c r="G59" s="397"/>
      <c r="H59" s="397"/>
      <c r="I59" s="397"/>
      <c r="J59" s="397"/>
      <c r="K59" s="397"/>
      <c r="L59" s="397"/>
      <c r="M59" s="398"/>
      <c r="N59" s="310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/>
      <c r="B60" s="396"/>
      <c r="C60" s="311"/>
      <c r="D60" s="311"/>
      <c r="E60" s="311"/>
      <c r="F60" s="397"/>
      <c r="G60" s="397"/>
      <c r="H60" s="397"/>
      <c r="I60" s="397"/>
      <c r="J60" s="397"/>
      <c r="K60" s="397"/>
      <c r="L60" s="397"/>
      <c r="M60" s="398"/>
      <c r="N60" s="310"/>
      <c r="O60" s="74"/>
      <c r="P60" s="396"/>
      <c r="Q60" s="39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  <c r="AF60" s="94">
        <f>8*3000</f>
        <v>24000</v>
      </c>
    </row>
    <row r="61" spans="1:32" ht="27" customHeight="1" thickBot="1">
      <c r="A61" s="401"/>
      <c r="B61" s="402"/>
      <c r="C61" s="313"/>
      <c r="D61" s="313"/>
      <c r="E61" s="313"/>
      <c r="F61" s="403"/>
      <c r="G61" s="403"/>
      <c r="H61" s="403"/>
      <c r="I61" s="403"/>
      <c r="J61" s="403"/>
      <c r="K61" s="403"/>
      <c r="L61" s="403"/>
      <c r="M61" s="404"/>
      <c r="N61" s="312"/>
      <c r="O61" s="121"/>
      <c r="P61" s="402"/>
      <c r="Q61" s="402"/>
      <c r="R61" s="402"/>
      <c r="S61" s="402"/>
      <c r="T61" s="402"/>
      <c r="U61" s="402"/>
      <c r="V61" s="403"/>
      <c r="W61" s="403"/>
      <c r="X61" s="403"/>
      <c r="Y61" s="403"/>
      <c r="Z61" s="403"/>
      <c r="AA61" s="403"/>
      <c r="AB61" s="403"/>
      <c r="AC61" s="403"/>
      <c r="AD61" s="404"/>
      <c r="AF61" s="94">
        <f>16*3000</f>
        <v>48000</v>
      </c>
    </row>
    <row r="62" spans="1:32" ht="27.75" thickBot="1">
      <c r="A62" s="407" t="s">
        <v>846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309" t="s">
        <v>2</v>
      </c>
      <c r="D63" s="309" t="s">
        <v>37</v>
      </c>
      <c r="E63" s="309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09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2"/>
      <c r="T63" s="412"/>
      <c r="U63" s="412"/>
      <c r="V63" s="412"/>
      <c r="W63" s="412"/>
      <c r="X63" s="412"/>
      <c r="Y63" s="412"/>
      <c r="Z63" s="412"/>
      <c r="AA63" s="411"/>
      <c r="AB63" s="409" t="s">
        <v>44</v>
      </c>
      <c r="AC63" s="409"/>
      <c r="AD63" s="413"/>
      <c r="AF63" s="94">
        <f>SUM(AF60:AF62)</f>
        <v>96000</v>
      </c>
    </row>
    <row r="64" spans="1:32" ht="25.5" customHeight="1">
      <c r="A64" s="414">
        <v>1</v>
      </c>
      <c r="B64" s="415"/>
      <c r="C64" s="124" t="s">
        <v>848</v>
      </c>
      <c r="D64" s="305"/>
      <c r="E64" s="308"/>
      <c r="F64" s="416" t="s">
        <v>847</v>
      </c>
      <c r="G64" s="417"/>
      <c r="H64" s="417"/>
      <c r="I64" s="417"/>
      <c r="J64" s="417"/>
      <c r="K64" s="417" t="s">
        <v>849</v>
      </c>
      <c r="L64" s="417"/>
      <c r="M64" s="54" t="s">
        <v>850</v>
      </c>
      <c r="N64" s="417">
        <v>8</v>
      </c>
      <c r="O64" s="417"/>
      <c r="P64" s="418"/>
      <c r="Q64" s="418"/>
      <c r="R64" s="397" t="s">
        <v>851</v>
      </c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2</v>
      </c>
      <c r="B65" s="415"/>
      <c r="C65" s="124" t="s">
        <v>844</v>
      </c>
      <c r="D65" s="305"/>
      <c r="E65" s="308" t="s">
        <v>853</v>
      </c>
      <c r="F65" s="416" t="s">
        <v>852</v>
      </c>
      <c r="G65" s="417"/>
      <c r="H65" s="417"/>
      <c r="I65" s="417"/>
      <c r="J65" s="417"/>
      <c r="K65" s="417" t="s">
        <v>854</v>
      </c>
      <c r="L65" s="417"/>
      <c r="M65" s="54" t="s">
        <v>850</v>
      </c>
      <c r="N65" s="417">
        <v>12</v>
      </c>
      <c r="O65" s="417"/>
      <c r="P65" s="418">
        <v>50</v>
      </c>
      <c r="Q65" s="418"/>
      <c r="R65" s="397" t="s">
        <v>855</v>
      </c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3</v>
      </c>
      <c r="B66" s="415"/>
      <c r="C66" s="124"/>
      <c r="D66" s="305"/>
      <c r="E66" s="308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4</v>
      </c>
      <c r="B67" s="415"/>
      <c r="C67" s="124"/>
      <c r="D67" s="305"/>
      <c r="E67" s="308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5</v>
      </c>
      <c r="B68" s="415"/>
      <c r="C68" s="124"/>
      <c r="D68" s="305"/>
      <c r="E68" s="308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6</v>
      </c>
      <c r="B69" s="415"/>
      <c r="C69" s="124"/>
      <c r="D69" s="305"/>
      <c r="E69" s="308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7</v>
      </c>
      <c r="B70" s="415"/>
      <c r="C70" s="124"/>
      <c r="D70" s="305"/>
      <c r="E70" s="308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8</v>
      </c>
      <c r="B71" s="415"/>
      <c r="C71" s="124"/>
      <c r="D71" s="305"/>
      <c r="E71" s="308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6.25" customHeight="1" thickBot="1">
      <c r="A72" s="420" t="s">
        <v>856</v>
      </c>
      <c r="B72" s="420"/>
      <c r="C72" s="420"/>
      <c r="D72" s="420"/>
      <c r="E72" s="42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1" t="s">
        <v>113</v>
      </c>
      <c r="B73" s="422"/>
      <c r="C73" s="307" t="s">
        <v>2</v>
      </c>
      <c r="D73" s="307" t="s">
        <v>37</v>
      </c>
      <c r="E73" s="307" t="s">
        <v>3</v>
      </c>
      <c r="F73" s="422" t="s">
        <v>38</v>
      </c>
      <c r="G73" s="422"/>
      <c r="H73" s="422"/>
      <c r="I73" s="422"/>
      <c r="J73" s="422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22" t="s">
        <v>49</v>
      </c>
      <c r="U73" s="422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435">
        <v>1</v>
      </c>
      <c r="B74" s="436"/>
      <c r="C74" s="306" t="s">
        <v>114</v>
      </c>
      <c r="D74" s="306"/>
      <c r="E74" s="71" t="s">
        <v>119</v>
      </c>
      <c r="F74" s="437" t="s">
        <v>120</v>
      </c>
      <c r="G74" s="438"/>
      <c r="H74" s="438"/>
      <c r="I74" s="438"/>
      <c r="J74" s="439"/>
      <c r="K74" s="440" t="s">
        <v>115</v>
      </c>
      <c r="L74" s="441"/>
      <c r="M74" s="441"/>
      <c r="N74" s="441"/>
      <c r="O74" s="441"/>
      <c r="P74" s="441"/>
      <c r="Q74" s="441"/>
      <c r="R74" s="441"/>
      <c r="S74" s="442"/>
      <c r="T74" s="443">
        <v>42901</v>
      </c>
      <c r="U74" s="444"/>
      <c r="V74" s="445"/>
      <c r="W74" s="445"/>
      <c r="X74" s="446"/>
      <c r="Y74" s="446"/>
      <c r="Z74" s="446"/>
      <c r="AA74" s="446"/>
      <c r="AB74" s="446"/>
      <c r="AC74" s="446"/>
      <c r="AD74" s="447"/>
      <c r="AF74" s="53"/>
    </row>
    <row r="75" spans="1:32" ht="30" customHeight="1">
      <c r="A75" s="427">
        <f>A74+1</f>
        <v>2</v>
      </c>
      <c r="B75" s="428"/>
      <c r="C75" s="305" t="s">
        <v>114</v>
      </c>
      <c r="D75" s="305"/>
      <c r="E75" s="35" t="s">
        <v>116</v>
      </c>
      <c r="F75" s="428" t="s">
        <v>117</v>
      </c>
      <c r="G75" s="428"/>
      <c r="H75" s="428"/>
      <c r="I75" s="428"/>
      <c r="J75" s="428"/>
      <c r="K75" s="429" t="s">
        <v>118</v>
      </c>
      <c r="L75" s="430"/>
      <c r="M75" s="430"/>
      <c r="N75" s="430"/>
      <c r="O75" s="430"/>
      <c r="P75" s="430"/>
      <c r="Q75" s="430"/>
      <c r="R75" s="430"/>
      <c r="S75" s="431"/>
      <c r="T75" s="432">
        <v>42867</v>
      </c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ref="A76:A82" si="20">A75+1</f>
        <v>3</v>
      </c>
      <c r="B76" s="428"/>
      <c r="C76" s="305"/>
      <c r="D76" s="305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20"/>
        <v>4</v>
      </c>
      <c r="B77" s="428"/>
      <c r="C77" s="305"/>
      <c r="D77" s="305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20"/>
        <v>5</v>
      </c>
      <c r="B78" s="428"/>
      <c r="C78" s="305"/>
      <c r="D78" s="305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20"/>
        <v>6</v>
      </c>
      <c r="B79" s="428"/>
      <c r="C79" s="305"/>
      <c r="D79" s="305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20"/>
        <v>7</v>
      </c>
      <c r="B80" s="428"/>
      <c r="C80" s="305"/>
      <c r="D80" s="305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20"/>
        <v>8</v>
      </c>
      <c r="B81" s="428"/>
      <c r="C81" s="305"/>
      <c r="D81" s="305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20"/>
        <v>9</v>
      </c>
      <c r="B82" s="428"/>
      <c r="C82" s="305"/>
      <c r="D82" s="305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6" thickBot="1">
      <c r="A83" s="420" t="s">
        <v>857</v>
      </c>
      <c r="B83" s="420"/>
      <c r="C83" s="420"/>
      <c r="D83" s="420"/>
      <c r="E83" s="42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1" t="s">
        <v>113</v>
      </c>
      <c r="B84" s="422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3"/>
    </row>
    <row r="85" spans="1:32" ht="30.75" customHeight="1">
      <c r="A85" s="435">
        <v>1</v>
      </c>
      <c r="B85" s="436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450"/>
      <c r="U85" s="450"/>
      <c r="V85" s="451"/>
      <c r="W85" s="451"/>
      <c r="X85" s="451"/>
      <c r="Y85" s="452"/>
      <c r="Z85" s="452"/>
      <c r="AA85" s="452"/>
      <c r="AB85" s="452"/>
      <c r="AC85" s="452"/>
      <c r="AD85" s="453"/>
      <c r="AF85" s="53"/>
    </row>
    <row r="86" spans="1:32" ht="30.75" customHeight="1">
      <c r="A86" s="427">
        <v>2</v>
      </c>
      <c r="B86" s="428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4"/>
      <c r="Z86" s="454"/>
      <c r="AA86" s="454"/>
      <c r="AB86" s="454"/>
      <c r="AC86" s="454"/>
      <c r="AD86" s="455"/>
      <c r="AF86" s="53"/>
    </row>
    <row r="87" spans="1:32" ht="30.75" customHeight="1" thickBot="1">
      <c r="A87" s="456">
        <v>3</v>
      </c>
      <c r="B87" s="457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J5" sqref="J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858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317" t="s">
        <v>17</v>
      </c>
      <c r="L5" s="317" t="s">
        <v>18</v>
      </c>
      <c r="M5" s="317" t="s">
        <v>19</v>
      </c>
      <c r="N5" s="31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158</v>
      </c>
      <c r="D6" s="55" t="s">
        <v>551</v>
      </c>
      <c r="E6" s="57" t="s">
        <v>735</v>
      </c>
      <c r="F6" s="33" t="s">
        <v>759</v>
      </c>
      <c r="G6" s="36">
        <v>1</v>
      </c>
      <c r="H6" s="38">
        <v>25</v>
      </c>
      <c r="I6" s="7">
        <v>70000</v>
      </c>
      <c r="J6" s="5">
        <v>5290</v>
      </c>
      <c r="K6" s="15">
        <f>L6+2396+3204</f>
        <v>10887</v>
      </c>
      <c r="L6" s="15">
        <f>2816+2471</f>
        <v>5287</v>
      </c>
      <c r="M6" s="16">
        <f t="shared" ref="M6:M22" si="0">L6-N6</f>
        <v>5287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24</v>
      </c>
      <c r="Q6" s="43">
        <f t="shared" ref="Q6:Q22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0.99943289224952736</v>
      </c>
      <c r="AC6" s="9">
        <f t="shared" ref="AC6:AC22" si="5">IF(P6=0,"0",(P6/24))</f>
        <v>1</v>
      </c>
      <c r="AD6" s="10">
        <f t="shared" ref="AD6:AD22" si="6">AC6*AB6*(1-O6)</f>
        <v>0.99943289224952736</v>
      </c>
      <c r="AE6" s="39">
        <f>$AD$23</f>
        <v>0.53020554363601147</v>
      </c>
      <c r="AF6" s="94">
        <f t="shared" ref="AF6:AF22" si="7">A6</f>
        <v>1</v>
      </c>
    </row>
    <row r="7" spans="1:32" ht="27" customHeight="1">
      <c r="A7" s="108">
        <v>2</v>
      </c>
      <c r="B7" s="11" t="s">
        <v>57</v>
      </c>
      <c r="C7" s="37" t="s">
        <v>859</v>
      </c>
      <c r="D7" s="55"/>
      <c r="E7" s="57" t="s">
        <v>860</v>
      </c>
      <c r="F7" s="33" t="s">
        <v>861</v>
      </c>
      <c r="G7" s="12">
        <v>4</v>
      </c>
      <c r="H7" s="13">
        <v>25</v>
      </c>
      <c r="I7" s="34">
        <v>200000</v>
      </c>
      <c r="J7" s="5">
        <v>12630</v>
      </c>
      <c r="K7" s="15">
        <f>L7</f>
        <v>12624</v>
      </c>
      <c r="L7" s="15">
        <f>3156*4</f>
        <v>12624</v>
      </c>
      <c r="M7" s="16">
        <f t="shared" si="0"/>
        <v>12624</v>
      </c>
      <c r="N7" s="16">
        <v>0</v>
      </c>
      <c r="O7" s="62">
        <f t="shared" si="1"/>
        <v>0</v>
      </c>
      <c r="P7" s="42">
        <f t="shared" si="2"/>
        <v>16</v>
      </c>
      <c r="Q7" s="43">
        <f t="shared" si="3"/>
        <v>8</v>
      </c>
      <c r="R7" s="7">
        <v>8</v>
      </c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0.99952494061757724</v>
      </c>
      <c r="AC7" s="9">
        <f t="shared" si="5"/>
        <v>0.66666666666666663</v>
      </c>
      <c r="AD7" s="10">
        <f t="shared" si="6"/>
        <v>0.66634996041171812</v>
      </c>
      <c r="AE7" s="39">
        <f>$AD$23</f>
        <v>0.53020554363601147</v>
      </c>
      <c r="AF7" s="94">
        <f t="shared" si="7"/>
        <v>2</v>
      </c>
    </row>
    <row r="8" spans="1:32" ht="27" customHeight="1">
      <c r="A8" s="109">
        <v>3</v>
      </c>
      <c r="B8" s="11" t="s">
        <v>57</v>
      </c>
      <c r="C8" s="37" t="s">
        <v>802</v>
      </c>
      <c r="D8" s="55" t="s">
        <v>807</v>
      </c>
      <c r="E8" s="57" t="s">
        <v>738</v>
      </c>
      <c r="F8" s="33" t="s">
        <v>142</v>
      </c>
      <c r="G8" s="12">
        <v>1</v>
      </c>
      <c r="H8" s="13">
        <v>25</v>
      </c>
      <c r="I8" s="34">
        <v>70000</v>
      </c>
      <c r="J8" s="5">
        <v>6070</v>
      </c>
      <c r="K8" s="15">
        <f>L8+4540</f>
        <v>10610</v>
      </c>
      <c r="L8" s="15">
        <f>3179+2891</f>
        <v>6070</v>
      </c>
      <c r="M8" s="16">
        <f t="shared" si="0"/>
        <v>6070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>$AD$23</f>
        <v>0.53020554363601147</v>
      </c>
      <c r="AF8" s="94">
        <f t="shared" si="7"/>
        <v>3</v>
      </c>
    </row>
    <row r="9" spans="1:32" ht="27" customHeight="1">
      <c r="A9" s="110">
        <v>4</v>
      </c>
      <c r="B9" s="11" t="s">
        <v>57</v>
      </c>
      <c r="C9" s="37" t="s">
        <v>158</v>
      </c>
      <c r="D9" s="55" t="s">
        <v>421</v>
      </c>
      <c r="E9" s="57" t="s">
        <v>862</v>
      </c>
      <c r="F9" s="33" t="s">
        <v>863</v>
      </c>
      <c r="G9" s="36">
        <v>1</v>
      </c>
      <c r="H9" s="38">
        <v>25</v>
      </c>
      <c r="I9" s="7">
        <v>1000</v>
      </c>
      <c r="J9" s="5">
        <v>1110</v>
      </c>
      <c r="K9" s="15">
        <f>L9</f>
        <v>1106</v>
      </c>
      <c r="L9" s="15">
        <f>159+947</f>
        <v>1106</v>
      </c>
      <c r="M9" s="16">
        <f t="shared" si="0"/>
        <v>1106</v>
      </c>
      <c r="N9" s="16">
        <v>0</v>
      </c>
      <c r="O9" s="62">
        <f t="shared" si="1"/>
        <v>0</v>
      </c>
      <c r="P9" s="42">
        <f t="shared" si="2"/>
        <v>7</v>
      </c>
      <c r="Q9" s="43">
        <f t="shared" si="3"/>
        <v>17</v>
      </c>
      <c r="R9" s="7"/>
      <c r="S9" s="6"/>
      <c r="T9" s="17"/>
      <c r="U9" s="17"/>
      <c r="V9" s="18"/>
      <c r="W9" s="19">
        <v>17</v>
      </c>
      <c r="X9" s="17"/>
      <c r="Y9" s="20"/>
      <c r="Z9" s="20"/>
      <c r="AA9" s="21"/>
      <c r="AB9" s="8">
        <f t="shared" si="4"/>
        <v>0.99639639639639643</v>
      </c>
      <c r="AC9" s="9">
        <f t="shared" si="5"/>
        <v>0.29166666666666669</v>
      </c>
      <c r="AD9" s="10">
        <f t="shared" si="6"/>
        <v>0.29061561561561566</v>
      </c>
      <c r="AE9" s="39">
        <f>$AD$23</f>
        <v>0.53020554363601147</v>
      </c>
      <c r="AF9" s="94">
        <f t="shared" si="7"/>
        <v>4</v>
      </c>
    </row>
    <row r="10" spans="1:32" ht="27" customHeight="1">
      <c r="A10" s="110">
        <v>5</v>
      </c>
      <c r="B10" s="11" t="s">
        <v>57</v>
      </c>
      <c r="C10" s="37" t="s">
        <v>121</v>
      </c>
      <c r="D10" s="55" t="s">
        <v>323</v>
      </c>
      <c r="E10" s="57" t="s">
        <v>324</v>
      </c>
      <c r="F10" s="33" t="s">
        <v>207</v>
      </c>
      <c r="G10" s="36">
        <v>2</v>
      </c>
      <c r="H10" s="38">
        <v>25</v>
      </c>
      <c r="I10" s="7">
        <v>400</v>
      </c>
      <c r="J10" s="5">
        <v>560</v>
      </c>
      <c r="K10" s="15">
        <f>L10+560</f>
        <v>560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>$AD$23</f>
        <v>0.53020554363601147</v>
      </c>
      <c r="AF10" s="94">
        <f t="shared" si="7"/>
        <v>5</v>
      </c>
    </row>
    <row r="11" spans="1:32" ht="27" customHeight="1">
      <c r="A11" s="110">
        <v>6</v>
      </c>
      <c r="B11" s="11" t="s">
        <v>57</v>
      </c>
      <c r="C11" s="11" t="s">
        <v>158</v>
      </c>
      <c r="D11" s="55" t="s">
        <v>250</v>
      </c>
      <c r="E11" s="57" t="s">
        <v>555</v>
      </c>
      <c r="F11" s="12" t="s">
        <v>556</v>
      </c>
      <c r="G11" s="12">
        <v>1</v>
      </c>
      <c r="H11" s="13">
        <v>25</v>
      </c>
      <c r="I11" s="34">
        <v>35000</v>
      </c>
      <c r="J11" s="14">
        <v>5600</v>
      </c>
      <c r="K11" s="15">
        <f>L11+4976+5075+5432+4956+5154+4555</f>
        <v>35747</v>
      </c>
      <c r="L11" s="15">
        <f>2925+2674</f>
        <v>5599</v>
      </c>
      <c r="M11" s="16">
        <f t="shared" si="0"/>
        <v>5599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0.99982142857142853</v>
      </c>
      <c r="AC11" s="9">
        <f t="shared" si="5"/>
        <v>1</v>
      </c>
      <c r="AD11" s="10">
        <f t="shared" si="6"/>
        <v>0.99982142857142853</v>
      </c>
      <c r="AE11" s="39">
        <f>$AD$21</f>
        <v>0.99926739926739927</v>
      </c>
      <c r="AF11" s="94">
        <f t="shared" si="7"/>
        <v>6</v>
      </c>
    </row>
    <row r="12" spans="1:32" ht="27" customHeight="1">
      <c r="A12" s="110">
        <v>7</v>
      </c>
      <c r="B12" s="11" t="s">
        <v>57</v>
      </c>
      <c r="C12" s="11" t="s">
        <v>158</v>
      </c>
      <c r="D12" s="55" t="s">
        <v>864</v>
      </c>
      <c r="E12" s="57" t="s">
        <v>865</v>
      </c>
      <c r="F12" s="12" t="s">
        <v>863</v>
      </c>
      <c r="G12" s="12">
        <v>1</v>
      </c>
      <c r="H12" s="13">
        <v>25</v>
      </c>
      <c r="I12" s="7">
        <v>1000</v>
      </c>
      <c r="J12" s="14">
        <v>1030</v>
      </c>
      <c r="K12" s="15">
        <f>L12</f>
        <v>1023</v>
      </c>
      <c r="L12" s="15">
        <f>1023</f>
        <v>1023</v>
      </c>
      <c r="M12" s="16">
        <f t="shared" si="0"/>
        <v>1023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/>
      <c r="T12" s="17"/>
      <c r="U12" s="17"/>
      <c r="V12" s="18"/>
      <c r="W12" s="19">
        <v>17</v>
      </c>
      <c r="X12" s="17"/>
      <c r="Y12" s="20"/>
      <c r="Z12" s="20"/>
      <c r="AA12" s="21"/>
      <c r="AB12" s="8">
        <f t="shared" si="4"/>
        <v>0.99320388349514566</v>
      </c>
      <c r="AC12" s="9">
        <f t="shared" si="5"/>
        <v>0.29166666666666669</v>
      </c>
      <c r="AD12" s="10">
        <f t="shared" si="6"/>
        <v>0.2896844660194175</v>
      </c>
      <c r="AE12" s="39">
        <f t="shared" ref="AE12:AE22" si="8">$AD$23</f>
        <v>0.53020554363601147</v>
      </c>
      <c r="AF12" s="94">
        <f t="shared" si="7"/>
        <v>7</v>
      </c>
    </row>
    <row r="13" spans="1:32" ht="27" customHeight="1">
      <c r="A13" s="110">
        <v>7</v>
      </c>
      <c r="B13" s="11" t="s">
        <v>57</v>
      </c>
      <c r="C13" s="11" t="s">
        <v>158</v>
      </c>
      <c r="D13" s="55" t="s">
        <v>866</v>
      </c>
      <c r="E13" s="57" t="s">
        <v>867</v>
      </c>
      <c r="F13" s="12" t="s">
        <v>863</v>
      </c>
      <c r="G13" s="12">
        <v>1</v>
      </c>
      <c r="H13" s="13">
        <v>25</v>
      </c>
      <c r="I13" s="7">
        <v>600</v>
      </c>
      <c r="J13" s="14">
        <v>667</v>
      </c>
      <c r="K13" s="15">
        <f>L13</f>
        <v>667</v>
      </c>
      <c r="L13" s="15">
        <v>667</v>
      </c>
      <c r="M13" s="16">
        <f t="shared" ref="M13" si="9">L13-N13</f>
        <v>667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4</v>
      </c>
      <c r="Q13" s="43">
        <f t="shared" ref="Q13" si="12">SUM(R13:AA13)</f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ref="AB13" si="13">IF(J13=0,"0",(L13/J13))</f>
        <v>1</v>
      </c>
      <c r="AC13" s="9">
        <f t="shared" ref="AC13" si="14">IF(P13=0,"0",(P13/24))</f>
        <v>0.16666666666666666</v>
      </c>
      <c r="AD13" s="10">
        <f t="shared" ref="AD13" si="15">AC13*AB13*(1-O13)</f>
        <v>0.16666666666666666</v>
      </c>
      <c r="AE13" s="39">
        <f t="shared" si="8"/>
        <v>0.53020554363601147</v>
      </c>
      <c r="AF13" s="94">
        <f t="shared" ref="AF13" si="16">A13</f>
        <v>7</v>
      </c>
    </row>
    <row r="14" spans="1:32" ht="27" customHeight="1">
      <c r="A14" s="110">
        <v>8</v>
      </c>
      <c r="B14" s="11" t="s">
        <v>57</v>
      </c>
      <c r="C14" s="11" t="s">
        <v>121</v>
      </c>
      <c r="D14" s="55" t="s">
        <v>124</v>
      </c>
      <c r="E14" s="57" t="s">
        <v>868</v>
      </c>
      <c r="F14" s="12" t="s">
        <v>869</v>
      </c>
      <c r="G14" s="12">
        <v>1</v>
      </c>
      <c r="H14" s="13">
        <v>25</v>
      </c>
      <c r="I14" s="7">
        <v>30000</v>
      </c>
      <c r="J14" s="14">
        <v>3630</v>
      </c>
      <c r="K14" s="15">
        <f>L14</f>
        <v>3630</v>
      </c>
      <c r="L14" s="15">
        <f>1329+2301</f>
        <v>3630</v>
      </c>
      <c r="M14" s="16">
        <f t="shared" si="0"/>
        <v>3630</v>
      </c>
      <c r="N14" s="16">
        <v>0</v>
      </c>
      <c r="O14" s="62">
        <f t="shared" si="1"/>
        <v>0</v>
      </c>
      <c r="P14" s="42">
        <f t="shared" si="2"/>
        <v>19</v>
      </c>
      <c r="Q14" s="43">
        <f t="shared" si="3"/>
        <v>5</v>
      </c>
      <c r="R14" s="7"/>
      <c r="S14" s="6">
        <v>5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0.79166666666666663</v>
      </c>
      <c r="AD14" s="10">
        <f t="shared" si="6"/>
        <v>0.79166666666666663</v>
      </c>
      <c r="AE14" s="39">
        <f t="shared" si="8"/>
        <v>0.53020554363601147</v>
      </c>
      <c r="AF14" s="94">
        <f t="shared" si="7"/>
        <v>8</v>
      </c>
    </row>
    <row r="15" spans="1:32" ht="27" customHeight="1">
      <c r="A15" s="109">
        <v>9</v>
      </c>
      <c r="B15" s="11" t="s">
        <v>57</v>
      </c>
      <c r="C15" s="37" t="s">
        <v>114</v>
      </c>
      <c r="D15" s="55" t="s">
        <v>124</v>
      </c>
      <c r="E15" s="57" t="s">
        <v>679</v>
      </c>
      <c r="F15" s="33" t="s">
        <v>688</v>
      </c>
      <c r="G15" s="36">
        <v>1</v>
      </c>
      <c r="H15" s="38">
        <v>25</v>
      </c>
      <c r="I15" s="7">
        <v>300</v>
      </c>
      <c r="J15" s="5">
        <v>382</v>
      </c>
      <c r="K15" s="15">
        <f>L15+382</f>
        <v>382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8"/>
        <v>0.53020554363601147</v>
      </c>
      <c r="AF15" s="94">
        <f t="shared" si="7"/>
        <v>9</v>
      </c>
    </row>
    <row r="16" spans="1:32" ht="27" customHeight="1">
      <c r="A16" s="109">
        <v>10</v>
      </c>
      <c r="B16" s="11" t="s">
        <v>57</v>
      </c>
      <c r="C16" s="11" t="s">
        <v>114</v>
      </c>
      <c r="D16" s="55" t="s">
        <v>360</v>
      </c>
      <c r="E16" s="57" t="s">
        <v>716</v>
      </c>
      <c r="F16" s="12">
        <v>8301</v>
      </c>
      <c r="G16" s="12">
        <v>1</v>
      </c>
      <c r="H16" s="13">
        <v>24</v>
      </c>
      <c r="I16" s="34">
        <v>10000</v>
      </c>
      <c r="J16" s="14">
        <v>2360</v>
      </c>
      <c r="K16" s="15">
        <f>L16+2974+5940+2357</f>
        <v>11271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8"/>
        <v>0.53020554363601147</v>
      </c>
      <c r="AF16" s="94">
        <f t="shared" si="7"/>
        <v>10</v>
      </c>
    </row>
    <row r="17" spans="1:32" ht="27" customHeight="1">
      <c r="A17" s="109">
        <v>11</v>
      </c>
      <c r="B17" s="11" t="s">
        <v>57</v>
      </c>
      <c r="C17" s="11" t="s">
        <v>114</v>
      </c>
      <c r="D17" s="55" t="s">
        <v>141</v>
      </c>
      <c r="E17" s="57" t="s">
        <v>747</v>
      </c>
      <c r="F17" s="12">
        <v>7301</v>
      </c>
      <c r="G17" s="12">
        <v>1</v>
      </c>
      <c r="H17" s="13">
        <v>25</v>
      </c>
      <c r="I17" s="7">
        <v>10000</v>
      </c>
      <c r="J17" s="14">
        <v>4740</v>
      </c>
      <c r="K17" s="15">
        <f>L17+3071+5273</f>
        <v>13082</v>
      </c>
      <c r="L17" s="15">
        <f>2181+2557</f>
        <v>4738</v>
      </c>
      <c r="M17" s="16">
        <f t="shared" si="0"/>
        <v>4738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0.99957805907172992</v>
      </c>
      <c r="AC17" s="9">
        <f t="shared" si="5"/>
        <v>1</v>
      </c>
      <c r="AD17" s="10">
        <f t="shared" si="6"/>
        <v>0.99957805907172992</v>
      </c>
      <c r="AE17" s="39">
        <f t="shared" si="8"/>
        <v>0.53020554363601147</v>
      </c>
      <c r="AF17" s="94">
        <f t="shared" si="7"/>
        <v>11</v>
      </c>
    </row>
    <row r="18" spans="1:32" ht="27" customHeight="1">
      <c r="A18" s="109">
        <v>12</v>
      </c>
      <c r="B18" s="11" t="s">
        <v>57</v>
      </c>
      <c r="C18" s="37" t="s">
        <v>158</v>
      </c>
      <c r="D18" s="55" t="s">
        <v>421</v>
      </c>
      <c r="E18" s="57" t="s">
        <v>870</v>
      </c>
      <c r="F18" s="12" t="s">
        <v>556</v>
      </c>
      <c r="G18" s="12">
        <v>1</v>
      </c>
      <c r="H18" s="13">
        <v>25</v>
      </c>
      <c r="I18" s="34">
        <v>600</v>
      </c>
      <c r="J18" s="5">
        <v>520</v>
      </c>
      <c r="K18" s="15">
        <f>L18</f>
        <v>520</v>
      </c>
      <c r="L18" s="15">
        <f>520</f>
        <v>520</v>
      </c>
      <c r="M18" s="16">
        <f t="shared" si="0"/>
        <v>520</v>
      </c>
      <c r="N18" s="16">
        <v>0</v>
      </c>
      <c r="O18" s="62">
        <f t="shared" si="1"/>
        <v>0</v>
      </c>
      <c r="P18" s="42">
        <f t="shared" si="2"/>
        <v>4</v>
      </c>
      <c r="Q18" s="43">
        <f t="shared" si="3"/>
        <v>20</v>
      </c>
      <c r="R18" s="7"/>
      <c r="S18" s="6">
        <v>20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0.16666666666666666</v>
      </c>
      <c r="AD18" s="10">
        <f t="shared" si="6"/>
        <v>0.16666666666666666</v>
      </c>
      <c r="AE18" s="39">
        <f t="shared" si="8"/>
        <v>0.53020554363601147</v>
      </c>
      <c r="AF18" s="94">
        <f t="shared" si="7"/>
        <v>12</v>
      </c>
    </row>
    <row r="19" spans="1:32" ht="27" customHeight="1">
      <c r="A19" s="110">
        <v>13</v>
      </c>
      <c r="B19" s="11" t="s">
        <v>57</v>
      </c>
      <c r="C19" s="11" t="s">
        <v>121</v>
      </c>
      <c r="D19" s="55" t="s">
        <v>274</v>
      </c>
      <c r="E19" s="57" t="s">
        <v>153</v>
      </c>
      <c r="F19" s="12">
        <v>7301</v>
      </c>
      <c r="G19" s="12">
        <v>1</v>
      </c>
      <c r="H19" s="13">
        <v>24</v>
      </c>
      <c r="I19" s="34">
        <v>6000</v>
      </c>
      <c r="J19" s="14">
        <v>1610</v>
      </c>
      <c r="K19" s="15">
        <f>L19+4068+5135</f>
        <v>10813</v>
      </c>
      <c r="L19" s="15">
        <v>1610</v>
      </c>
      <c r="M19" s="16">
        <f t="shared" si="0"/>
        <v>1610</v>
      </c>
      <c r="N19" s="16">
        <v>0</v>
      </c>
      <c r="O19" s="62">
        <f t="shared" si="1"/>
        <v>0</v>
      </c>
      <c r="P19" s="42">
        <f t="shared" si="2"/>
        <v>7</v>
      </c>
      <c r="Q19" s="43">
        <f t="shared" si="3"/>
        <v>17</v>
      </c>
      <c r="R19" s="7"/>
      <c r="S19" s="6"/>
      <c r="T19" s="17"/>
      <c r="U19" s="17"/>
      <c r="V19" s="18"/>
      <c r="W19" s="19">
        <v>17</v>
      </c>
      <c r="X19" s="17"/>
      <c r="Y19" s="20"/>
      <c r="Z19" s="20"/>
      <c r="AA19" s="21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9">
        <f t="shared" si="8"/>
        <v>0.53020554363601147</v>
      </c>
      <c r="AF19" s="94">
        <f t="shared" si="7"/>
        <v>13</v>
      </c>
    </row>
    <row r="20" spans="1:32" ht="27" customHeight="1">
      <c r="A20" s="110">
        <v>13</v>
      </c>
      <c r="B20" s="11" t="s">
        <v>57</v>
      </c>
      <c r="C20" s="11" t="s">
        <v>158</v>
      </c>
      <c r="D20" s="55" t="s">
        <v>871</v>
      </c>
      <c r="E20" s="57" t="s">
        <v>872</v>
      </c>
      <c r="F20" s="12">
        <v>7301</v>
      </c>
      <c r="G20" s="12">
        <v>1</v>
      </c>
      <c r="H20" s="13">
        <v>24</v>
      </c>
      <c r="I20" s="34">
        <v>1000</v>
      </c>
      <c r="J20" s="14">
        <v>1092</v>
      </c>
      <c r="K20" s="15">
        <f>L20</f>
        <v>1092</v>
      </c>
      <c r="L20" s="15">
        <v>1092</v>
      </c>
      <c r="M20" s="16">
        <f t="shared" ref="M20" si="17">L20-N20</f>
        <v>1092</v>
      </c>
      <c r="N20" s="16">
        <v>0</v>
      </c>
      <c r="O20" s="62">
        <f t="shared" ref="O20" si="18">IF(L20=0,"0",N20/L20)</f>
        <v>0</v>
      </c>
      <c r="P20" s="42">
        <f t="shared" ref="P20" si="19">IF(L20=0,"0",(24-Q20))</f>
        <v>7</v>
      </c>
      <c r="Q20" s="43">
        <f t="shared" ref="Q20" si="20">SUM(R20:AA20)</f>
        <v>17</v>
      </c>
      <c r="R20" s="7"/>
      <c r="S20" s="6"/>
      <c r="T20" s="17"/>
      <c r="U20" s="17"/>
      <c r="V20" s="18"/>
      <c r="W20" s="19">
        <v>17</v>
      </c>
      <c r="X20" s="17"/>
      <c r="Y20" s="20"/>
      <c r="Z20" s="20"/>
      <c r="AA20" s="21"/>
      <c r="AB20" s="8">
        <f t="shared" ref="AB20" si="21">IF(J20=0,"0",(L20/J20))</f>
        <v>1</v>
      </c>
      <c r="AC20" s="9">
        <f t="shared" ref="AC20" si="22">IF(P20=0,"0",(P20/24))</f>
        <v>0.29166666666666669</v>
      </c>
      <c r="AD20" s="10">
        <f t="shared" ref="AD20" si="23">AC20*AB20*(1-O20)</f>
        <v>0.29166666666666669</v>
      </c>
      <c r="AE20" s="39">
        <f t="shared" si="8"/>
        <v>0.53020554363601147</v>
      </c>
      <c r="AF20" s="94">
        <f t="shared" ref="AF20" si="24">A20</f>
        <v>13</v>
      </c>
    </row>
    <row r="21" spans="1:32" ht="27" customHeight="1">
      <c r="A21" s="110">
        <v>14</v>
      </c>
      <c r="B21" s="11" t="s">
        <v>57</v>
      </c>
      <c r="C21" s="11" t="s">
        <v>158</v>
      </c>
      <c r="D21" s="55" t="s">
        <v>124</v>
      </c>
      <c r="E21" s="57" t="s">
        <v>768</v>
      </c>
      <c r="F21" s="12" t="s">
        <v>210</v>
      </c>
      <c r="G21" s="12">
        <v>1</v>
      </c>
      <c r="H21" s="13">
        <v>25</v>
      </c>
      <c r="I21" s="7">
        <v>70000</v>
      </c>
      <c r="J21" s="14">
        <v>5460</v>
      </c>
      <c r="K21" s="15">
        <f>L21+3038+5379</f>
        <v>13873</v>
      </c>
      <c r="L21" s="15">
        <f>2851+2605</f>
        <v>5456</v>
      </c>
      <c r="M21" s="16">
        <f t="shared" si="0"/>
        <v>5456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0.99926739926739927</v>
      </c>
      <c r="AC21" s="9">
        <f t="shared" si="5"/>
        <v>1</v>
      </c>
      <c r="AD21" s="10">
        <f t="shared" si="6"/>
        <v>0.99926739926739927</v>
      </c>
      <c r="AE21" s="39">
        <f t="shared" si="8"/>
        <v>0.53020554363601147</v>
      </c>
      <c r="AF21" s="94">
        <f t="shared" si="7"/>
        <v>14</v>
      </c>
    </row>
    <row r="22" spans="1:32" ht="27" customHeight="1" thickBot="1">
      <c r="A22" s="110">
        <v>15</v>
      </c>
      <c r="B22" s="11" t="s">
        <v>57</v>
      </c>
      <c r="C22" s="11" t="s">
        <v>122</v>
      </c>
      <c r="D22" s="55"/>
      <c r="E22" s="56" t="s">
        <v>127</v>
      </c>
      <c r="F22" s="12" t="s">
        <v>123</v>
      </c>
      <c r="G22" s="12">
        <v>4</v>
      </c>
      <c r="H22" s="38">
        <v>20</v>
      </c>
      <c r="I22" s="7">
        <v>800000</v>
      </c>
      <c r="J22" s="14">
        <v>2230</v>
      </c>
      <c r="K22" s="15">
        <f>L22+29128+42972+45096+45728+43064+5640+29816+42972+44600+38336+6084+2224</f>
        <v>375660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>
        <v>24</v>
      </c>
      <c r="T22" s="17"/>
      <c r="U22" s="17"/>
      <c r="V22" s="18"/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8"/>
        <v>0.53020554363601147</v>
      </c>
      <c r="AF22" s="94">
        <f t="shared" si="7"/>
        <v>15</v>
      </c>
    </row>
    <row r="23" spans="1:32" ht="31.5" customHeight="1" thickBot="1">
      <c r="A23" s="368" t="s">
        <v>34</v>
      </c>
      <c r="B23" s="369"/>
      <c r="C23" s="369"/>
      <c r="D23" s="369"/>
      <c r="E23" s="369"/>
      <c r="F23" s="369"/>
      <c r="G23" s="369"/>
      <c r="H23" s="370"/>
      <c r="I23" s="25">
        <f t="shared" ref="I23:N23" si="25">SUM(I6:I22)</f>
        <v>1305900</v>
      </c>
      <c r="J23" s="22">
        <f t="shared" si="25"/>
        <v>54981</v>
      </c>
      <c r="K23" s="23">
        <f t="shared" si="25"/>
        <v>503547</v>
      </c>
      <c r="L23" s="24">
        <f t="shared" si="25"/>
        <v>49422</v>
      </c>
      <c r="M23" s="23">
        <f t="shared" si="25"/>
        <v>49422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191</v>
      </c>
      <c r="Q23" s="46">
        <f t="shared" si="26"/>
        <v>217</v>
      </c>
      <c r="R23" s="26">
        <f t="shared" si="26"/>
        <v>8</v>
      </c>
      <c r="S23" s="27">
        <f t="shared" si="26"/>
        <v>49</v>
      </c>
      <c r="T23" s="27">
        <f t="shared" si="26"/>
        <v>0</v>
      </c>
      <c r="U23" s="27">
        <f t="shared" si="26"/>
        <v>0</v>
      </c>
      <c r="V23" s="28">
        <f t="shared" si="26"/>
        <v>0</v>
      </c>
      <c r="W23" s="29">
        <f t="shared" si="26"/>
        <v>160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0.86581499997794686</v>
      </c>
      <c r="AC23" s="4">
        <f>SUM(AC6:AC22)/15</f>
        <v>0.53055555555555567</v>
      </c>
      <c r="AD23" s="4">
        <f>SUM(AD6:AD22)/15</f>
        <v>0.53020554363601147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71" t="s">
        <v>45</v>
      </c>
      <c r="B50" s="371"/>
      <c r="C50" s="371"/>
      <c r="D50" s="371"/>
      <c r="E50" s="37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72" t="s">
        <v>873</v>
      </c>
      <c r="B51" s="373"/>
      <c r="C51" s="373"/>
      <c r="D51" s="373"/>
      <c r="E51" s="373"/>
      <c r="F51" s="373"/>
      <c r="G51" s="373"/>
      <c r="H51" s="373"/>
      <c r="I51" s="373"/>
      <c r="J51" s="373"/>
      <c r="K51" s="373"/>
      <c r="L51" s="373"/>
      <c r="M51" s="374"/>
      <c r="N51" s="375" t="s">
        <v>883</v>
      </c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6"/>
      <c r="AA51" s="376"/>
      <c r="AB51" s="376"/>
      <c r="AC51" s="376"/>
      <c r="AD51" s="377"/>
    </row>
    <row r="52" spans="1:32" ht="27" customHeight="1">
      <c r="A52" s="378" t="s">
        <v>2</v>
      </c>
      <c r="B52" s="379"/>
      <c r="C52" s="318" t="s">
        <v>46</v>
      </c>
      <c r="D52" s="318" t="s">
        <v>47</v>
      </c>
      <c r="E52" s="318" t="s">
        <v>108</v>
      </c>
      <c r="F52" s="379" t="s">
        <v>107</v>
      </c>
      <c r="G52" s="379"/>
      <c r="H52" s="379"/>
      <c r="I52" s="379"/>
      <c r="J52" s="379"/>
      <c r="K52" s="379"/>
      <c r="L52" s="379"/>
      <c r="M52" s="380"/>
      <c r="N52" s="73" t="s">
        <v>112</v>
      </c>
      <c r="O52" s="318" t="s">
        <v>46</v>
      </c>
      <c r="P52" s="381" t="s">
        <v>47</v>
      </c>
      <c r="Q52" s="382"/>
      <c r="R52" s="381" t="s">
        <v>38</v>
      </c>
      <c r="S52" s="383"/>
      <c r="T52" s="383"/>
      <c r="U52" s="382"/>
      <c r="V52" s="381" t="s">
        <v>48</v>
      </c>
      <c r="W52" s="383"/>
      <c r="X52" s="383"/>
      <c r="Y52" s="383"/>
      <c r="Z52" s="383"/>
      <c r="AA52" s="383"/>
      <c r="AB52" s="383"/>
      <c r="AC52" s="383"/>
      <c r="AD52" s="384"/>
    </row>
    <row r="53" spans="1:32" ht="27" customHeight="1">
      <c r="A53" s="395" t="s">
        <v>178</v>
      </c>
      <c r="B53" s="396"/>
      <c r="C53" s="320" t="s">
        <v>229</v>
      </c>
      <c r="D53" s="320" t="s">
        <v>421</v>
      </c>
      <c r="E53" s="320" t="s">
        <v>827</v>
      </c>
      <c r="F53" s="397" t="s">
        <v>874</v>
      </c>
      <c r="G53" s="397"/>
      <c r="H53" s="397"/>
      <c r="I53" s="397"/>
      <c r="J53" s="397"/>
      <c r="K53" s="397"/>
      <c r="L53" s="397"/>
      <c r="M53" s="398"/>
      <c r="N53" s="319" t="s">
        <v>121</v>
      </c>
      <c r="O53" s="74" t="s">
        <v>187</v>
      </c>
      <c r="P53" s="396" t="s">
        <v>124</v>
      </c>
      <c r="Q53" s="396"/>
      <c r="R53" s="396" t="s">
        <v>843</v>
      </c>
      <c r="S53" s="396"/>
      <c r="T53" s="396"/>
      <c r="U53" s="396"/>
      <c r="V53" s="397" t="s">
        <v>884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802</v>
      </c>
      <c r="B54" s="396"/>
      <c r="C54" s="320" t="s">
        <v>171</v>
      </c>
      <c r="D54" s="320" t="s">
        <v>822</v>
      </c>
      <c r="E54" s="320" t="s">
        <v>823</v>
      </c>
      <c r="F54" s="397" t="s">
        <v>874</v>
      </c>
      <c r="G54" s="397"/>
      <c r="H54" s="397"/>
      <c r="I54" s="397"/>
      <c r="J54" s="397"/>
      <c r="K54" s="397"/>
      <c r="L54" s="397"/>
      <c r="M54" s="398"/>
      <c r="N54" s="319" t="s">
        <v>833</v>
      </c>
      <c r="O54" s="74" t="s">
        <v>834</v>
      </c>
      <c r="P54" s="396"/>
      <c r="Q54" s="396"/>
      <c r="R54" s="396" t="s">
        <v>835</v>
      </c>
      <c r="S54" s="396"/>
      <c r="T54" s="396"/>
      <c r="U54" s="396"/>
      <c r="V54" s="397" t="s">
        <v>884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158</v>
      </c>
      <c r="B55" s="396"/>
      <c r="C55" s="320" t="s">
        <v>171</v>
      </c>
      <c r="D55" s="320" t="s">
        <v>875</v>
      </c>
      <c r="E55" s="320" t="s">
        <v>876</v>
      </c>
      <c r="F55" s="397" t="s">
        <v>874</v>
      </c>
      <c r="G55" s="397"/>
      <c r="H55" s="397"/>
      <c r="I55" s="397"/>
      <c r="J55" s="397"/>
      <c r="K55" s="397"/>
      <c r="L55" s="397"/>
      <c r="M55" s="398"/>
      <c r="N55" s="319" t="s">
        <v>158</v>
      </c>
      <c r="O55" s="74" t="s">
        <v>229</v>
      </c>
      <c r="P55" s="396" t="s">
        <v>886</v>
      </c>
      <c r="Q55" s="396"/>
      <c r="R55" s="396" t="s">
        <v>885</v>
      </c>
      <c r="S55" s="396"/>
      <c r="T55" s="396"/>
      <c r="U55" s="396"/>
      <c r="V55" s="397" t="s">
        <v>836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877</v>
      </c>
      <c r="B56" s="396"/>
      <c r="C56" s="320" t="s">
        <v>187</v>
      </c>
      <c r="D56" s="320" t="s">
        <v>878</v>
      </c>
      <c r="E56" s="320" t="s">
        <v>868</v>
      </c>
      <c r="F56" s="397" t="s">
        <v>879</v>
      </c>
      <c r="G56" s="397"/>
      <c r="H56" s="397"/>
      <c r="I56" s="397"/>
      <c r="J56" s="397"/>
      <c r="K56" s="397"/>
      <c r="L56" s="397"/>
      <c r="M56" s="398"/>
      <c r="N56" s="319" t="s">
        <v>158</v>
      </c>
      <c r="O56" s="74" t="s">
        <v>229</v>
      </c>
      <c r="P56" s="396" t="s">
        <v>888</v>
      </c>
      <c r="Q56" s="396"/>
      <c r="R56" s="396" t="s">
        <v>887</v>
      </c>
      <c r="S56" s="396"/>
      <c r="T56" s="396"/>
      <c r="U56" s="396"/>
      <c r="V56" s="397" t="s">
        <v>836</v>
      </c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 t="s">
        <v>880</v>
      </c>
      <c r="B57" s="396"/>
      <c r="C57" s="320" t="s">
        <v>881</v>
      </c>
      <c r="D57" s="320" t="s">
        <v>882</v>
      </c>
      <c r="E57" s="320"/>
      <c r="F57" s="397" t="s">
        <v>879</v>
      </c>
      <c r="G57" s="397"/>
      <c r="H57" s="397"/>
      <c r="I57" s="397"/>
      <c r="J57" s="397"/>
      <c r="K57" s="397"/>
      <c r="L57" s="397"/>
      <c r="M57" s="398"/>
      <c r="N57" s="319" t="s">
        <v>158</v>
      </c>
      <c r="O57" s="74" t="s">
        <v>889</v>
      </c>
      <c r="P57" s="396" t="s">
        <v>891</v>
      </c>
      <c r="Q57" s="396"/>
      <c r="R57" s="396" t="s">
        <v>890</v>
      </c>
      <c r="S57" s="396"/>
      <c r="T57" s="396"/>
      <c r="U57" s="396"/>
      <c r="V57" s="397" t="s">
        <v>884</v>
      </c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 t="s">
        <v>158</v>
      </c>
      <c r="B58" s="396"/>
      <c r="C58" s="320" t="s">
        <v>889</v>
      </c>
      <c r="D58" s="320" t="s">
        <v>421</v>
      </c>
      <c r="E58" s="320" t="s">
        <v>890</v>
      </c>
      <c r="F58" s="397" t="s">
        <v>879</v>
      </c>
      <c r="G58" s="397"/>
      <c r="H58" s="397"/>
      <c r="I58" s="397"/>
      <c r="J58" s="397"/>
      <c r="K58" s="397"/>
      <c r="L58" s="397"/>
      <c r="M58" s="398"/>
      <c r="N58" s="319" t="s">
        <v>158</v>
      </c>
      <c r="O58" s="74" t="s">
        <v>892</v>
      </c>
      <c r="P58" s="396" t="s">
        <v>894</v>
      </c>
      <c r="Q58" s="396"/>
      <c r="R58" s="396" t="s">
        <v>893</v>
      </c>
      <c r="S58" s="396"/>
      <c r="T58" s="396"/>
      <c r="U58" s="396"/>
      <c r="V58" s="397" t="s">
        <v>272</v>
      </c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320"/>
      <c r="D59" s="320"/>
      <c r="E59" s="320"/>
      <c r="F59" s="397"/>
      <c r="G59" s="397"/>
      <c r="H59" s="397"/>
      <c r="I59" s="397"/>
      <c r="J59" s="397"/>
      <c r="K59" s="397"/>
      <c r="L59" s="397"/>
      <c r="M59" s="398"/>
      <c r="N59" s="319" t="s">
        <v>895</v>
      </c>
      <c r="O59" s="74" t="s">
        <v>896</v>
      </c>
      <c r="P59" s="405" t="s">
        <v>897</v>
      </c>
      <c r="Q59" s="406"/>
      <c r="R59" s="396" t="s">
        <v>898</v>
      </c>
      <c r="S59" s="396"/>
      <c r="T59" s="396"/>
      <c r="U59" s="396"/>
      <c r="V59" s="397" t="s">
        <v>272</v>
      </c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9"/>
      <c r="B60" s="400"/>
      <c r="C60" s="321"/>
      <c r="D60" s="320"/>
      <c r="E60" s="321"/>
      <c r="F60" s="397"/>
      <c r="G60" s="397"/>
      <c r="H60" s="397"/>
      <c r="I60" s="397"/>
      <c r="J60" s="397"/>
      <c r="K60" s="397"/>
      <c r="L60" s="397"/>
      <c r="M60" s="398"/>
      <c r="N60" s="319"/>
      <c r="O60" s="74"/>
      <c r="P60" s="405"/>
      <c r="Q60" s="40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</row>
    <row r="61" spans="1:32" ht="27" customHeight="1">
      <c r="A61" s="395"/>
      <c r="B61" s="396"/>
      <c r="C61" s="320"/>
      <c r="D61" s="320"/>
      <c r="E61" s="320"/>
      <c r="F61" s="397"/>
      <c r="G61" s="397"/>
      <c r="H61" s="397"/>
      <c r="I61" s="397"/>
      <c r="J61" s="397"/>
      <c r="K61" s="397"/>
      <c r="L61" s="397"/>
      <c r="M61" s="398"/>
      <c r="N61" s="319"/>
      <c r="O61" s="74"/>
      <c r="P61" s="396"/>
      <c r="Q61" s="396"/>
      <c r="R61" s="396"/>
      <c r="S61" s="396"/>
      <c r="T61" s="396"/>
      <c r="U61" s="396"/>
      <c r="V61" s="397"/>
      <c r="W61" s="397"/>
      <c r="X61" s="397"/>
      <c r="Y61" s="397"/>
      <c r="Z61" s="397"/>
      <c r="AA61" s="397"/>
      <c r="AB61" s="397"/>
      <c r="AC61" s="397"/>
      <c r="AD61" s="398"/>
      <c r="AF61" s="94">
        <f>8*3000</f>
        <v>24000</v>
      </c>
    </row>
    <row r="62" spans="1:32" ht="27" customHeight="1" thickBot="1">
      <c r="A62" s="401"/>
      <c r="B62" s="402"/>
      <c r="C62" s="323"/>
      <c r="D62" s="323"/>
      <c r="E62" s="323"/>
      <c r="F62" s="403"/>
      <c r="G62" s="403"/>
      <c r="H62" s="403"/>
      <c r="I62" s="403"/>
      <c r="J62" s="403"/>
      <c r="K62" s="403"/>
      <c r="L62" s="403"/>
      <c r="M62" s="404"/>
      <c r="N62" s="322"/>
      <c r="O62" s="121"/>
      <c r="P62" s="402"/>
      <c r="Q62" s="402"/>
      <c r="R62" s="402"/>
      <c r="S62" s="402"/>
      <c r="T62" s="402"/>
      <c r="U62" s="402"/>
      <c r="V62" s="403"/>
      <c r="W62" s="403"/>
      <c r="X62" s="403"/>
      <c r="Y62" s="403"/>
      <c r="Z62" s="403"/>
      <c r="AA62" s="403"/>
      <c r="AB62" s="403"/>
      <c r="AC62" s="403"/>
      <c r="AD62" s="404"/>
      <c r="AF62" s="94">
        <f>16*3000</f>
        <v>48000</v>
      </c>
    </row>
    <row r="63" spans="1:32" ht="27.75" thickBot="1">
      <c r="A63" s="407" t="s">
        <v>899</v>
      </c>
      <c r="B63" s="407"/>
      <c r="C63" s="407"/>
      <c r="D63" s="407"/>
      <c r="E63" s="40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08" t="s">
        <v>113</v>
      </c>
      <c r="B64" s="409"/>
      <c r="C64" s="324" t="s">
        <v>2</v>
      </c>
      <c r="D64" s="324" t="s">
        <v>37</v>
      </c>
      <c r="E64" s="324" t="s">
        <v>3</v>
      </c>
      <c r="F64" s="409" t="s">
        <v>110</v>
      </c>
      <c r="G64" s="409"/>
      <c r="H64" s="409"/>
      <c r="I64" s="409"/>
      <c r="J64" s="409"/>
      <c r="K64" s="409" t="s">
        <v>39</v>
      </c>
      <c r="L64" s="409"/>
      <c r="M64" s="324" t="s">
        <v>40</v>
      </c>
      <c r="N64" s="409" t="s">
        <v>41</v>
      </c>
      <c r="O64" s="409"/>
      <c r="P64" s="410" t="s">
        <v>42</v>
      </c>
      <c r="Q64" s="411"/>
      <c r="R64" s="410" t="s">
        <v>43</v>
      </c>
      <c r="S64" s="412"/>
      <c r="T64" s="412"/>
      <c r="U64" s="412"/>
      <c r="V64" s="412"/>
      <c r="W64" s="412"/>
      <c r="X64" s="412"/>
      <c r="Y64" s="412"/>
      <c r="Z64" s="412"/>
      <c r="AA64" s="411"/>
      <c r="AB64" s="409" t="s">
        <v>44</v>
      </c>
      <c r="AC64" s="409"/>
      <c r="AD64" s="413"/>
      <c r="AF64" s="94">
        <f>SUM(AF61:AF63)</f>
        <v>96000</v>
      </c>
    </row>
    <row r="65" spans="1:32" ht="25.5" customHeight="1">
      <c r="A65" s="414">
        <v>1</v>
      </c>
      <c r="B65" s="415"/>
      <c r="C65" s="124" t="s">
        <v>125</v>
      </c>
      <c r="D65" s="327"/>
      <c r="E65" s="325" t="s">
        <v>640</v>
      </c>
      <c r="F65" s="416" t="s">
        <v>412</v>
      </c>
      <c r="G65" s="417"/>
      <c r="H65" s="417"/>
      <c r="I65" s="417"/>
      <c r="J65" s="417"/>
      <c r="K65" s="417" t="s">
        <v>350</v>
      </c>
      <c r="L65" s="417"/>
      <c r="M65" s="54" t="s">
        <v>281</v>
      </c>
      <c r="N65" s="417">
        <v>5</v>
      </c>
      <c r="O65" s="417"/>
      <c r="P65" s="418"/>
      <c r="Q65" s="418"/>
      <c r="R65" s="397" t="s">
        <v>901</v>
      </c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2</v>
      </c>
      <c r="B66" s="415"/>
      <c r="C66" s="124"/>
      <c r="D66" s="327"/>
      <c r="E66" s="325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3</v>
      </c>
      <c r="B67" s="415"/>
      <c r="C67" s="124"/>
      <c r="D67" s="327"/>
      <c r="E67" s="325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4</v>
      </c>
      <c r="B68" s="415"/>
      <c r="C68" s="124"/>
      <c r="D68" s="327"/>
      <c r="E68" s="325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5</v>
      </c>
      <c r="B69" s="415"/>
      <c r="C69" s="124"/>
      <c r="D69" s="327"/>
      <c r="E69" s="325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6</v>
      </c>
      <c r="B70" s="415"/>
      <c r="C70" s="124"/>
      <c r="D70" s="327"/>
      <c r="E70" s="325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7</v>
      </c>
      <c r="B71" s="415"/>
      <c r="C71" s="124"/>
      <c r="D71" s="327"/>
      <c r="E71" s="325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5.5" customHeight="1">
      <c r="A72" s="414">
        <v>8</v>
      </c>
      <c r="B72" s="415"/>
      <c r="C72" s="124"/>
      <c r="D72" s="327"/>
      <c r="E72" s="325"/>
      <c r="F72" s="416"/>
      <c r="G72" s="417"/>
      <c r="H72" s="417"/>
      <c r="I72" s="417"/>
      <c r="J72" s="417"/>
      <c r="K72" s="417"/>
      <c r="L72" s="417"/>
      <c r="M72" s="54"/>
      <c r="N72" s="417"/>
      <c r="O72" s="417"/>
      <c r="P72" s="418"/>
      <c r="Q72" s="418"/>
      <c r="R72" s="397"/>
      <c r="S72" s="397"/>
      <c r="T72" s="397"/>
      <c r="U72" s="397"/>
      <c r="V72" s="397"/>
      <c r="W72" s="397"/>
      <c r="X72" s="397"/>
      <c r="Y72" s="397"/>
      <c r="Z72" s="397"/>
      <c r="AA72" s="397"/>
      <c r="AB72" s="417"/>
      <c r="AC72" s="417"/>
      <c r="AD72" s="419"/>
      <c r="AF72" s="53"/>
    </row>
    <row r="73" spans="1:32" ht="26.25" customHeight="1" thickBot="1">
      <c r="A73" s="420" t="s">
        <v>900</v>
      </c>
      <c r="B73" s="420"/>
      <c r="C73" s="420"/>
      <c r="D73" s="420"/>
      <c r="E73" s="420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1" t="s">
        <v>113</v>
      </c>
      <c r="B74" s="422"/>
      <c r="C74" s="326" t="s">
        <v>2</v>
      </c>
      <c r="D74" s="326" t="s">
        <v>37</v>
      </c>
      <c r="E74" s="326" t="s">
        <v>3</v>
      </c>
      <c r="F74" s="422" t="s">
        <v>38</v>
      </c>
      <c r="G74" s="422"/>
      <c r="H74" s="422"/>
      <c r="I74" s="422"/>
      <c r="J74" s="422"/>
      <c r="K74" s="423" t="s">
        <v>58</v>
      </c>
      <c r="L74" s="424"/>
      <c r="M74" s="424"/>
      <c r="N74" s="424"/>
      <c r="O74" s="424"/>
      <c r="P74" s="424"/>
      <c r="Q74" s="424"/>
      <c r="R74" s="424"/>
      <c r="S74" s="425"/>
      <c r="T74" s="422" t="s">
        <v>49</v>
      </c>
      <c r="U74" s="422"/>
      <c r="V74" s="423" t="s">
        <v>50</v>
      </c>
      <c r="W74" s="425"/>
      <c r="X74" s="424" t="s">
        <v>51</v>
      </c>
      <c r="Y74" s="424"/>
      <c r="Z74" s="424"/>
      <c r="AA74" s="424"/>
      <c r="AB74" s="424"/>
      <c r="AC74" s="424"/>
      <c r="AD74" s="426"/>
      <c r="AF74" s="53"/>
    </row>
    <row r="75" spans="1:32" ht="33.75" customHeight="1">
      <c r="A75" s="435">
        <v>1</v>
      </c>
      <c r="B75" s="436"/>
      <c r="C75" s="328" t="s">
        <v>114</v>
      </c>
      <c r="D75" s="328"/>
      <c r="E75" s="71" t="s">
        <v>119</v>
      </c>
      <c r="F75" s="437" t="s">
        <v>120</v>
      </c>
      <c r="G75" s="438"/>
      <c r="H75" s="438"/>
      <c r="I75" s="438"/>
      <c r="J75" s="439"/>
      <c r="K75" s="440" t="s">
        <v>115</v>
      </c>
      <c r="L75" s="441"/>
      <c r="M75" s="441"/>
      <c r="N75" s="441"/>
      <c r="O75" s="441"/>
      <c r="P75" s="441"/>
      <c r="Q75" s="441"/>
      <c r="R75" s="441"/>
      <c r="S75" s="442"/>
      <c r="T75" s="443">
        <v>42901</v>
      </c>
      <c r="U75" s="444"/>
      <c r="V75" s="445"/>
      <c r="W75" s="445"/>
      <c r="X75" s="446"/>
      <c r="Y75" s="446"/>
      <c r="Z75" s="446"/>
      <c r="AA75" s="446"/>
      <c r="AB75" s="446"/>
      <c r="AC75" s="446"/>
      <c r="AD75" s="447"/>
      <c r="AF75" s="53"/>
    </row>
    <row r="76" spans="1:32" ht="30" customHeight="1">
      <c r="A76" s="427">
        <f>A75+1</f>
        <v>2</v>
      </c>
      <c r="B76" s="428"/>
      <c r="C76" s="327" t="s">
        <v>114</v>
      </c>
      <c r="D76" s="327"/>
      <c r="E76" s="35" t="s">
        <v>116</v>
      </c>
      <c r="F76" s="428" t="s">
        <v>117</v>
      </c>
      <c r="G76" s="428"/>
      <c r="H76" s="428"/>
      <c r="I76" s="428"/>
      <c r="J76" s="428"/>
      <c r="K76" s="429" t="s">
        <v>118</v>
      </c>
      <c r="L76" s="430"/>
      <c r="M76" s="430"/>
      <c r="N76" s="430"/>
      <c r="O76" s="430"/>
      <c r="P76" s="430"/>
      <c r="Q76" s="430"/>
      <c r="R76" s="430"/>
      <c r="S76" s="431"/>
      <c r="T76" s="432">
        <v>42867</v>
      </c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ref="A77:A83" si="27">A76+1</f>
        <v>3</v>
      </c>
      <c r="B77" s="428"/>
      <c r="C77" s="327"/>
      <c r="D77" s="327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27"/>
        <v>4</v>
      </c>
      <c r="B78" s="428"/>
      <c r="C78" s="327"/>
      <c r="D78" s="327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27"/>
        <v>5</v>
      </c>
      <c r="B79" s="428"/>
      <c r="C79" s="327"/>
      <c r="D79" s="327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27"/>
        <v>6</v>
      </c>
      <c r="B80" s="428"/>
      <c r="C80" s="327"/>
      <c r="D80" s="327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27"/>
        <v>7</v>
      </c>
      <c r="B81" s="428"/>
      <c r="C81" s="327"/>
      <c r="D81" s="327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27"/>
        <v>8</v>
      </c>
      <c r="B82" s="428"/>
      <c r="C82" s="327"/>
      <c r="D82" s="327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0" customHeight="1">
      <c r="A83" s="427">
        <f t="shared" si="27"/>
        <v>9</v>
      </c>
      <c r="B83" s="428"/>
      <c r="C83" s="327"/>
      <c r="D83" s="327"/>
      <c r="E83" s="35"/>
      <c r="F83" s="428"/>
      <c r="G83" s="428"/>
      <c r="H83" s="428"/>
      <c r="I83" s="428"/>
      <c r="J83" s="428"/>
      <c r="K83" s="429"/>
      <c r="L83" s="430"/>
      <c r="M83" s="430"/>
      <c r="N83" s="430"/>
      <c r="O83" s="430"/>
      <c r="P83" s="430"/>
      <c r="Q83" s="430"/>
      <c r="R83" s="430"/>
      <c r="S83" s="431"/>
      <c r="T83" s="432"/>
      <c r="U83" s="432"/>
      <c r="V83" s="432"/>
      <c r="W83" s="432"/>
      <c r="X83" s="433"/>
      <c r="Y83" s="433"/>
      <c r="Z83" s="433"/>
      <c r="AA83" s="433"/>
      <c r="AB83" s="433"/>
      <c r="AC83" s="433"/>
      <c r="AD83" s="434"/>
      <c r="AF83" s="53"/>
    </row>
    <row r="84" spans="1:32" ht="36" thickBot="1">
      <c r="A84" s="420" t="s">
        <v>902</v>
      </c>
      <c r="B84" s="420"/>
      <c r="C84" s="420"/>
      <c r="D84" s="420"/>
      <c r="E84" s="420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21" t="s">
        <v>113</v>
      </c>
      <c r="B85" s="422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3"/>
    </row>
    <row r="86" spans="1:32" ht="30.75" customHeight="1">
      <c r="A86" s="435">
        <v>1</v>
      </c>
      <c r="B86" s="436"/>
      <c r="C86" s="450"/>
      <c r="D86" s="450"/>
      <c r="E86" s="450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50"/>
      <c r="R86" s="450"/>
      <c r="S86" s="450"/>
      <c r="T86" s="450"/>
      <c r="U86" s="450"/>
      <c r="V86" s="451"/>
      <c r="W86" s="451"/>
      <c r="X86" s="451"/>
      <c r="Y86" s="452"/>
      <c r="Z86" s="452"/>
      <c r="AA86" s="452"/>
      <c r="AB86" s="452"/>
      <c r="AC86" s="452"/>
      <c r="AD86" s="453"/>
      <c r="AF86" s="53"/>
    </row>
    <row r="87" spans="1:32" ht="30.75" customHeight="1">
      <c r="A87" s="427">
        <v>2</v>
      </c>
      <c r="B87" s="428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2"/>
      <c r="U87" s="462"/>
      <c r="V87" s="463"/>
      <c r="W87" s="463"/>
      <c r="X87" s="463"/>
      <c r="Y87" s="454"/>
      <c r="Z87" s="454"/>
      <c r="AA87" s="454"/>
      <c r="AB87" s="454"/>
      <c r="AC87" s="454"/>
      <c r="AD87" s="455"/>
      <c r="AF87" s="53"/>
    </row>
    <row r="88" spans="1:32" ht="30.75" customHeight="1" thickBot="1">
      <c r="A88" s="456">
        <v>3</v>
      </c>
      <c r="B88" s="457"/>
      <c r="C88" s="458"/>
      <c r="D88" s="458"/>
      <c r="E88" s="458"/>
      <c r="F88" s="458"/>
      <c r="G88" s="458"/>
      <c r="H88" s="458"/>
      <c r="I88" s="458"/>
      <c r="J88" s="458"/>
      <c r="K88" s="458"/>
      <c r="L88" s="458"/>
      <c r="M88" s="458"/>
      <c r="N88" s="458"/>
      <c r="O88" s="458"/>
      <c r="P88" s="458"/>
      <c r="Q88" s="458"/>
      <c r="R88" s="458"/>
      <c r="S88" s="458"/>
      <c r="T88" s="458"/>
      <c r="U88" s="458"/>
      <c r="V88" s="458"/>
      <c r="W88" s="458"/>
      <c r="X88" s="458"/>
      <c r="Y88" s="459"/>
      <c r="Z88" s="459"/>
      <c r="AA88" s="459"/>
      <c r="AB88" s="459"/>
      <c r="AC88" s="459"/>
      <c r="AD88" s="460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A6" sqref="A6:XFD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903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339" t="s">
        <v>17</v>
      </c>
      <c r="L5" s="339" t="s">
        <v>18</v>
      </c>
      <c r="M5" s="339" t="s">
        <v>19</v>
      </c>
      <c r="N5" s="33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158</v>
      </c>
      <c r="D6" s="55" t="s">
        <v>551</v>
      </c>
      <c r="E6" s="57" t="s">
        <v>735</v>
      </c>
      <c r="F6" s="33" t="s">
        <v>759</v>
      </c>
      <c r="G6" s="36">
        <v>1</v>
      </c>
      <c r="H6" s="38">
        <v>25</v>
      </c>
      <c r="I6" s="7">
        <v>70000</v>
      </c>
      <c r="J6" s="5">
        <v>603</v>
      </c>
      <c r="K6" s="15">
        <f>L6+2396+3204+5287</f>
        <v>11490</v>
      </c>
      <c r="L6" s="15">
        <v>603</v>
      </c>
      <c r="M6" s="16">
        <f t="shared" ref="M6:M22" si="0">L6-N6</f>
        <v>603</v>
      </c>
      <c r="N6" s="16">
        <v>0</v>
      </c>
      <c r="O6" s="62">
        <f t="shared" ref="O6:O23" si="1">IF(L6=0,"0",N6/L6)</f>
        <v>0</v>
      </c>
      <c r="P6" s="42">
        <f t="shared" ref="P6:P22" si="2">IF(L6=0,"0",(24-Q6))</f>
        <v>4</v>
      </c>
      <c r="Q6" s="43">
        <f t="shared" ref="Q6:Q22" si="3">SUM(R6:AA6)</f>
        <v>20</v>
      </c>
      <c r="R6" s="7"/>
      <c r="S6" s="6">
        <v>20</v>
      </c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1</v>
      </c>
      <c r="AC6" s="9">
        <f t="shared" ref="AC6:AC22" si="5">IF(P6=0,"0",(P6/24))</f>
        <v>0.16666666666666666</v>
      </c>
      <c r="AD6" s="10">
        <f t="shared" ref="AD6:AD22" si="6">AC6*AB6*(1-O6)</f>
        <v>0.16666666666666666</v>
      </c>
      <c r="AE6" s="39">
        <f t="shared" ref="AE6:AE11" si="7">$AD$23</f>
        <v>0.45116863176915395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57</v>
      </c>
      <c r="C7" s="37" t="s">
        <v>859</v>
      </c>
      <c r="D7" s="55"/>
      <c r="E7" s="57" t="s">
        <v>860</v>
      </c>
      <c r="F7" s="33" t="s">
        <v>861</v>
      </c>
      <c r="G7" s="12">
        <v>4</v>
      </c>
      <c r="H7" s="13">
        <v>25</v>
      </c>
      <c r="I7" s="34">
        <v>200000</v>
      </c>
      <c r="J7" s="5">
        <v>12630</v>
      </c>
      <c r="K7" s="15">
        <f>L7+12624</f>
        <v>12624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>
        <v>24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0.45116863176915395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802</v>
      </c>
      <c r="D8" s="55" t="s">
        <v>807</v>
      </c>
      <c r="E8" s="57" t="s">
        <v>738</v>
      </c>
      <c r="F8" s="33" t="s">
        <v>142</v>
      </c>
      <c r="G8" s="12">
        <v>1</v>
      </c>
      <c r="H8" s="13">
        <v>25</v>
      </c>
      <c r="I8" s="34">
        <v>70000</v>
      </c>
      <c r="J8" s="5">
        <v>5940</v>
      </c>
      <c r="K8" s="15">
        <f>L8+4540+6070</f>
        <v>16549</v>
      </c>
      <c r="L8" s="15">
        <f>3141+2798</f>
        <v>5939</v>
      </c>
      <c r="M8" s="16">
        <f t="shared" si="0"/>
        <v>5939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0.99983164983164985</v>
      </c>
      <c r="AC8" s="9">
        <f t="shared" si="5"/>
        <v>1</v>
      </c>
      <c r="AD8" s="10">
        <f t="shared" si="6"/>
        <v>0.99983164983164985</v>
      </c>
      <c r="AE8" s="39">
        <f t="shared" si="7"/>
        <v>0.45116863176915395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158</v>
      </c>
      <c r="D9" s="55" t="s">
        <v>421</v>
      </c>
      <c r="E9" s="57" t="s">
        <v>904</v>
      </c>
      <c r="F9" s="33" t="s">
        <v>863</v>
      </c>
      <c r="G9" s="36" t="s">
        <v>905</v>
      </c>
      <c r="H9" s="38">
        <v>25</v>
      </c>
      <c r="I9" s="7">
        <v>600</v>
      </c>
      <c r="J9" s="5">
        <v>800</v>
      </c>
      <c r="K9" s="15">
        <f>L9</f>
        <v>800</v>
      </c>
      <c r="L9" s="15">
        <v>800</v>
      </c>
      <c r="M9" s="16">
        <f t="shared" si="0"/>
        <v>800</v>
      </c>
      <c r="N9" s="16">
        <v>0</v>
      </c>
      <c r="O9" s="62">
        <f t="shared" si="1"/>
        <v>0</v>
      </c>
      <c r="P9" s="42">
        <f t="shared" si="2"/>
        <v>5</v>
      </c>
      <c r="Q9" s="43">
        <f t="shared" si="3"/>
        <v>19</v>
      </c>
      <c r="R9" s="7"/>
      <c r="S9" s="6"/>
      <c r="T9" s="17"/>
      <c r="U9" s="17"/>
      <c r="V9" s="18"/>
      <c r="W9" s="19">
        <v>19</v>
      </c>
      <c r="X9" s="17"/>
      <c r="Y9" s="20"/>
      <c r="Z9" s="20"/>
      <c r="AA9" s="21"/>
      <c r="AB9" s="8">
        <f t="shared" si="4"/>
        <v>1</v>
      </c>
      <c r="AC9" s="9">
        <f t="shared" si="5"/>
        <v>0.20833333333333334</v>
      </c>
      <c r="AD9" s="10">
        <f t="shared" si="6"/>
        <v>0.20833333333333334</v>
      </c>
      <c r="AE9" s="39">
        <f t="shared" si="7"/>
        <v>0.45116863176915395</v>
      </c>
      <c r="AF9" s="94">
        <f t="shared" si="8"/>
        <v>4</v>
      </c>
    </row>
    <row r="10" spans="1:32" ht="27" customHeight="1">
      <c r="A10" s="110">
        <v>4</v>
      </c>
      <c r="B10" s="11" t="s">
        <v>57</v>
      </c>
      <c r="C10" s="37" t="s">
        <v>158</v>
      </c>
      <c r="D10" s="55" t="s">
        <v>906</v>
      </c>
      <c r="E10" s="57" t="s">
        <v>907</v>
      </c>
      <c r="F10" s="33" t="s">
        <v>863</v>
      </c>
      <c r="G10" s="36" t="s">
        <v>908</v>
      </c>
      <c r="H10" s="38">
        <v>25</v>
      </c>
      <c r="I10" s="7">
        <v>1000</v>
      </c>
      <c r="J10" s="5">
        <v>1050</v>
      </c>
      <c r="K10" s="15">
        <f>L10</f>
        <v>1048</v>
      </c>
      <c r="L10" s="15">
        <f>546+502</f>
        <v>1048</v>
      </c>
      <c r="M10" s="16">
        <f t="shared" ref="M10" si="9">L10-N10</f>
        <v>1048</v>
      </c>
      <c r="N10" s="16">
        <v>0</v>
      </c>
      <c r="O10" s="62">
        <f t="shared" ref="O10" si="10">IF(L10=0,"0",N10/L10)</f>
        <v>0</v>
      </c>
      <c r="P10" s="42">
        <f t="shared" ref="P10" si="11">IF(L10=0,"0",(24-Q10))</f>
        <v>7</v>
      </c>
      <c r="Q10" s="43">
        <f t="shared" ref="Q10" si="12">SUM(R10:AA10)</f>
        <v>17</v>
      </c>
      <c r="R10" s="7"/>
      <c r="S10" s="6"/>
      <c r="T10" s="17"/>
      <c r="U10" s="17"/>
      <c r="V10" s="18"/>
      <c r="W10" s="19">
        <v>17</v>
      </c>
      <c r="X10" s="17"/>
      <c r="Y10" s="20"/>
      <c r="Z10" s="20"/>
      <c r="AA10" s="21"/>
      <c r="AB10" s="8">
        <f t="shared" ref="AB10" si="13">IF(J10=0,"0",(L10/J10))</f>
        <v>0.99809523809523815</v>
      </c>
      <c r="AC10" s="9">
        <f t="shared" ref="AC10" si="14">IF(P10=0,"0",(P10/24))</f>
        <v>0.29166666666666669</v>
      </c>
      <c r="AD10" s="10">
        <f t="shared" ref="AD10" si="15">AC10*AB10*(1-O10)</f>
        <v>0.29111111111111115</v>
      </c>
      <c r="AE10" s="39">
        <f t="shared" si="7"/>
        <v>0.45116863176915395</v>
      </c>
      <c r="AF10" s="94">
        <f t="shared" ref="AF10" si="16">A10</f>
        <v>4</v>
      </c>
    </row>
    <row r="11" spans="1:32" ht="27" customHeight="1">
      <c r="A11" s="110">
        <v>5</v>
      </c>
      <c r="B11" s="11" t="s">
        <v>57</v>
      </c>
      <c r="C11" s="37" t="s">
        <v>121</v>
      </c>
      <c r="D11" s="55" t="s">
        <v>323</v>
      </c>
      <c r="E11" s="57" t="s">
        <v>324</v>
      </c>
      <c r="F11" s="33" t="s">
        <v>207</v>
      </c>
      <c r="G11" s="36">
        <v>2</v>
      </c>
      <c r="H11" s="38">
        <v>25</v>
      </c>
      <c r="I11" s="7">
        <v>400</v>
      </c>
      <c r="J11" s="5">
        <v>560</v>
      </c>
      <c r="K11" s="15">
        <f>L11+560</f>
        <v>560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0.45116863176915395</v>
      </c>
      <c r="AF11" s="94">
        <f t="shared" si="8"/>
        <v>5</v>
      </c>
    </row>
    <row r="12" spans="1:32" ht="27" customHeight="1">
      <c r="A12" s="110">
        <v>6</v>
      </c>
      <c r="B12" s="11" t="s">
        <v>57</v>
      </c>
      <c r="C12" s="11" t="s">
        <v>158</v>
      </c>
      <c r="D12" s="55" t="s">
        <v>250</v>
      </c>
      <c r="E12" s="57" t="s">
        <v>555</v>
      </c>
      <c r="F12" s="12" t="s">
        <v>556</v>
      </c>
      <c r="G12" s="12">
        <v>1</v>
      </c>
      <c r="H12" s="13">
        <v>25</v>
      </c>
      <c r="I12" s="34">
        <v>35000</v>
      </c>
      <c r="J12" s="14">
        <v>5600</v>
      </c>
      <c r="K12" s="15">
        <f>L12+4976+5075+5432+4956+5154+4555+5599</f>
        <v>37272</v>
      </c>
      <c r="L12" s="15">
        <v>1525</v>
      </c>
      <c r="M12" s="16">
        <f t="shared" si="0"/>
        <v>1525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0.27232142857142855</v>
      </c>
      <c r="AC12" s="9">
        <f t="shared" si="5"/>
        <v>1</v>
      </c>
      <c r="AD12" s="10">
        <f t="shared" si="6"/>
        <v>0.27232142857142855</v>
      </c>
      <c r="AE12" s="39">
        <f>$AD$21</f>
        <v>0.9990689013035382</v>
      </c>
      <c r="AF12" s="94">
        <f t="shared" si="8"/>
        <v>6</v>
      </c>
    </row>
    <row r="13" spans="1:32" ht="27" customHeight="1">
      <c r="A13" s="110">
        <v>6</v>
      </c>
      <c r="B13" s="11" t="s">
        <v>57</v>
      </c>
      <c r="C13" s="37" t="s">
        <v>158</v>
      </c>
      <c r="D13" s="55" t="s">
        <v>421</v>
      </c>
      <c r="E13" s="57" t="s">
        <v>870</v>
      </c>
      <c r="F13" s="12" t="s">
        <v>556</v>
      </c>
      <c r="G13" s="12">
        <v>1</v>
      </c>
      <c r="H13" s="13">
        <v>25</v>
      </c>
      <c r="I13" s="34">
        <v>1000</v>
      </c>
      <c r="J13" s="5">
        <v>365</v>
      </c>
      <c r="K13" s="15">
        <f>L13+520</f>
        <v>885</v>
      </c>
      <c r="L13" s="15">
        <v>365</v>
      </c>
      <c r="M13" s="16">
        <f t="shared" ref="M13" si="17">L13-N13</f>
        <v>365</v>
      </c>
      <c r="N13" s="16">
        <v>0</v>
      </c>
      <c r="O13" s="62">
        <f t="shared" ref="O13" si="18">IF(L13=0,"0",N13/L13)</f>
        <v>0</v>
      </c>
      <c r="P13" s="42">
        <f t="shared" ref="P13" si="19">IF(L13=0,"0",(24-Q13))</f>
        <v>4</v>
      </c>
      <c r="Q13" s="43">
        <f t="shared" ref="Q13" si="20">SUM(R13:AA13)</f>
        <v>20</v>
      </c>
      <c r="R13" s="7"/>
      <c r="S13" s="6"/>
      <c r="T13" s="17"/>
      <c r="U13" s="17"/>
      <c r="V13" s="18"/>
      <c r="W13" s="19">
        <v>20</v>
      </c>
      <c r="X13" s="17"/>
      <c r="Y13" s="20"/>
      <c r="Z13" s="20"/>
      <c r="AA13" s="21"/>
      <c r="AB13" s="8">
        <f t="shared" ref="AB13" si="21">IF(J13=0,"0",(L13/J13))</f>
        <v>1</v>
      </c>
      <c r="AC13" s="9">
        <f t="shared" ref="AC13" si="22">IF(P13=0,"0",(P13/24))</f>
        <v>0.16666666666666666</v>
      </c>
      <c r="AD13" s="10">
        <f t="shared" ref="AD13" si="23">AC13*AB13*(1-O13)</f>
        <v>0.16666666666666666</v>
      </c>
      <c r="AE13" s="39">
        <f t="shared" ref="AE13:AE22" si="24">$AD$23</f>
        <v>0.45116863176915395</v>
      </c>
      <c r="AF13" s="94">
        <f t="shared" ref="AF13" si="25">A13</f>
        <v>6</v>
      </c>
    </row>
    <row r="14" spans="1:32" ht="27" customHeight="1">
      <c r="A14" s="110">
        <v>7</v>
      </c>
      <c r="B14" s="11" t="s">
        <v>57</v>
      </c>
      <c r="C14" s="11" t="s">
        <v>909</v>
      </c>
      <c r="D14" s="55" t="s">
        <v>910</v>
      </c>
      <c r="E14" s="57" t="s">
        <v>911</v>
      </c>
      <c r="F14" s="12" t="s">
        <v>912</v>
      </c>
      <c r="G14" s="12">
        <v>1</v>
      </c>
      <c r="H14" s="13">
        <v>25</v>
      </c>
      <c r="I14" s="7">
        <v>20000</v>
      </c>
      <c r="J14" s="14">
        <v>4810</v>
      </c>
      <c r="K14" s="15">
        <f>L14</f>
        <v>4801</v>
      </c>
      <c r="L14" s="15">
        <f>2791+2010</f>
        <v>4801</v>
      </c>
      <c r="M14" s="16">
        <f t="shared" si="0"/>
        <v>4801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0.99812889812889816</v>
      </c>
      <c r="AC14" s="9">
        <f t="shared" si="5"/>
        <v>1</v>
      </c>
      <c r="AD14" s="10">
        <f t="shared" si="6"/>
        <v>0.99812889812889816</v>
      </c>
      <c r="AE14" s="39">
        <f t="shared" si="24"/>
        <v>0.45116863176915395</v>
      </c>
      <c r="AF14" s="94">
        <f t="shared" si="8"/>
        <v>7</v>
      </c>
    </row>
    <row r="15" spans="1:32" ht="27" customHeight="1">
      <c r="A15" s="110">
        <v>8</v>
      </c>
      <c r="B15" s="11" t="s">
        <v>57</v>
      </c>
      <c r="C15" s="11" t="s">
        <v>121</v>
      </c>
      <c r="D15" s="55" t="s">
        <v>124</v>
      </c>
      <c r="E15" s="57" t="s">
        <v>868</v>
      </c>
      <c r="F15" s="12" t="s">
        <v>869</v>
      </c>
      <c r="G15" s="12">
        <v>1</v>
      </c>
      <c r="H15" s="13">
        <v>25</v>
      </c>
      <c r="I15" s="7">
        <v>30000</v>
      </c>
      <c r="J15" s="14">
        <v>4500</v>
      </c>
      <c r="K15" s="15">
        <f>L15+3630</f>
        <v>8126</v>
      </c>
      <c r="L15" s="15">
        <f>3021+1475</f>
        <v>4496</v>
      </c>
      <c r="M15" s="16">
        <f t="shared" si="0"/>
        <v>4496</v>
      </c>
      <c r="N15" s="16">
        <v>0</v>
      </c>
      <c r="O15" s="62">
        <f t="shared" si="1"/>
        <v>0</v>
      </c>
      <c r="P15" s="42">
        <f t="shared" si="2"/>
        <v>22</v>
      </c>
      <c r="Q15" s="43">
        <f t="shared" si="3"/>
        <v>2</v>
      </c>
      <c r="R15" s="7"/>
      <c r="S15" s="6">
        <v>2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0.99911111111111106</v>
      </c>
      <c r="AC15" s="9">
        <f t="shared" si="5"/>
        <v>0.91666666666666663</v>
      </c>
      <c r="AD15" s="10">
        <f t="shared" si="6"/>
        <v>0.91585185185185181</v>
      </c>
      <c r="AE15" s="39">
        <f t="shared" si="24"/>
        <v>0.45116863176915395</v>
      </c>
      <c r="AF15" s="94">
        <f t="shared" si="8"/>
        <v>8</v>
      </c>
    </row>
    <row r="16" spans="1:32" ht="27" customHeight="1">
      <c r="A16" s="109">
        <v>9</v>
      </c>
      <c r="B16" s="11" t="s">
        <v>57</v>
      </c>
      <c r="C16" s="37" t="s">
        <v>114</v>
      </c>
      <c r="D16" s="55" t="s">
        <v>124</v>
      </c>
      <c r="E16" s="57" t="s">
        <v>679</v>
      </c>
      <c r="F16" s="33" t="s">
        <v>688</v>
      </c>
      <c r="G16" s="36">
        <v>1</v>
      </c>
      <c r="H16" s="38">
        <v>25</v>
      </c>
      <c r="I16" s="7">
        <v>300</v>
      </c>
      <c r="J16" s="5">
        <v>382</v>
      </c>
      <c r="K16" s="15">
        <f>L16+382</f>
        <v>382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24"/>
        <v>0.45116863176915395</v>
      </c>
      <c r="AF16" s="94">
        <f t="shared" si="8"/>
        <v>9</v>
      </c>
    </row>
    <row r="17" spans="1:32" ht="27" customHeight="1">
      <c r="A17" s="109">
        <v>10</v>
      </c>
      <c r="B17" s="11" t="s">
        <v>57</v>
      </c>
      <c r="C17" s="11" t="s">
        <v>913</v>
      </c>
      <c r="D17" s="55" t="s">
        <v>914</v>
      </c>
      <c r="E17" s="57" t="s">
        <v>915</v>
      </c>
      <c r="F17" s="12">
        <v>8301</v>
      </c>
      <c r="G17" s="12" t="s">
        <v>908</v>
      </c>
      <c r="H17" s="13">
        <v>24</v>
      </c>
      <c r="I17" s="34">
        <v>1500</v>
      </c>
      <c r="J17" s="14">
        <v>2690</v>
      </c>
      <c r="K17" s="15">
        <f>L17</f>
        <v>2690</v>
      </c>
      <c r="L17" s="15">
        <v>2690</v>
      </c>
      <c r="M17" s="16">
        <f t="shared" si="0"/>
        <v>2690</v>
      </c>
      <c r="N17" s="16">
        <v>0</v>
      </c>
      <c r="O17" s="62">
        <f t="shared" si="1"/>
        <v>0</v>
      </c>
      <c r="P17" s="42">
        <f t="shared" si="2"/>
        <v>14</v>
      </c>
      <c r="Q17" s="43">
        <f t="shared" si="3"/>
        <v>10</v>
      </c>
      <c r="R17" s="7"/>
      <c r="S17" s="6"/>
      <c r="T17" s="17">
        <v>10</v>
      </c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0.58333333333333337</v>
      </c>
      <c r="AD17" s="10">
        <f t="shared" si="6"/>
        <v>0.58333333333333337</v>
      </c>
      <c r="AE17" s="39">
        <f t="shared" si="24"/>
        <v>0.45116863176915395</v>
      </c>
      <c r="AF17" s="94">
        <f t="shared" si="8"/>
        <v>10</v>
      </c>
    </row>
    <row r="18" spans="1:32" ht="27" customHeight="1">
      <c r="A18" s="109">
        <v>11</v>
      </c>
      <c r="B18" s="11" t="s">
        <v>57</v>
      </c>
      <c r="C18" s="11" t="s">
        <v>916</v>
      </c>
      <c r="D18" s="55" t="s">
        <v>917</v>
      </c>
      <c r="E18" s="57" t="s">
        <v>918</v>
      </c>
      <c r="F18" s="12" t="s">
        <v>919</v>
      </c>
      <c r="G18" s="12">
        <v>1</v>
      </c>
      <c r="H18" s="13">
        <v>25</v>
      </c>
      <c r="I18" s="7">
        <v>1000</v>
      </c>
      <c r="J18" s="14">
        <v>1027</v>
      </c>
      <c r="K18" s="15">
        <f>L18</f>
        <v>1027</v>
      </c>
      <c r="L18" s="15">
        <f>557+470</f>
        <v>1027</v>
      </c>
      <c r="M18" s="16">
        <f t="shared" si="0"/>
        <v>1027</v>
      </c>
      <c r="N18" s="16">
        <v>0</v>
      </c>
      <c r="O18" s="62">
        <f t="shared" si="1"/>
        <v>0</v>
      </c>
      <c r="P18" s="42">
        <f t="shared" si="2"/>
        <v>7</v>
      </c>
      <c r="Q18" s="43">
        <f t="shared" si="3"/>
        <v>17</v>
      </c>
      <c r="R18" s="7"/>
      <c r="S18" s="6"/>
      <c r="T18" s="17"/>
      <c r="U18" s="17"/>
      <c r="V18" s="18"/>
      <c r="W18" s="19">
        <v>17</v>
      </c>
      <c r="X18" s="17"/>
      <c r="Y18" s="20"/>
      <c r="Z18" s="20"/>
      <c r="AA18" s="21"/>
      <c r="AB18" s="8">
        <f t="shared" si="4"/>
        <v>1</v>
      </c>
      <c r="AC18" s="9">
        <f t="shared" si="5"/>
        <v>0.29166666666666669</v>
      </c>
      <c r="AD18" s="10">
        <f t="shared" si="6"/>
        <v>0.29166666666666669</v>
      </c>
      <c r="AE18" s="39">
        <f t="shared" si="24"/>
        <v>0.45116863176915395</v>
      </c>
      <c r="AF18" s="94">
        <f t="shared" si="8"/>
        <v>11</v>
      </c>
    </row>
    <row r="19" spans="1:32" ht="27" customHeight="1">
      <c r="A19" s="109">
        <v>12</v>
      </c>
      <c r="B19" s="11" t="s">
        <v>57</v>
      </c>
      <c r="C19" s="37" t="s">
        <v>158</v>
      </c>
      <c r="D19" s="55" t="s">
        <v>421</v>
      </c>
      <c r="E19" s="57" t="s">
        <v>870</v>
      </c>
      <c r="F19" s="12" t="s">
        <v>556</v>
      </c>
      <c r="G19" s="12">
        <v>1</v>
      </c>
      <c r="H19" s="13">
        <v>25</v>
      </c>
      <c r="I19" s="34">
        <v>600</v>
      </c>
      <c r="J19" s="5">
        <v>520</v>
      </c>
      <c r="K19" s="15">
        <f>L19+520</f>
        <v>520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/>
      <c r="T19" s="17"/>
      <c r="U19" s="17"/>
      <c r="V19" s="18"/>
      <c r="W19" s="19">
        <v>24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24"/>
        <v>0.45116863176915395</v>
      </c>
      <c r="AF19" s="94">
        <f t="shared" si="8"/>
        <v>12</v>
      </c>
    </row>
    <row r="20" spans="1:32" ht="27" customHeight="1">
      <c r="A20" s="110">
        <v>13</v>
      </c>
      <c r="B20" s="11" t="s">
        <v>57</v>
      </c>
      <c r="C20" s="11" t="s">
        <v>114</v>
      </c>
      <c r="D20" s="55" t="s">
        <v>920</v>
      </c>
      <c r="E20" s="57" t="s">
        <v>921</v>
      </c>
      <c r="F20" s="12" t="s">
        <v>912</v>
      </c>
      <c r="G20" s="12">
        <v>1</v>
      </c>
      <c r="H20" s="13">
        <v>24</v>
      </c>
      <c r="I20" s="34">
        <v>3500</v>
      </c>
      <c r="J20" s="14">
        <v>3880</v>
      </c>
      <c r="K20" s="15">
        <f>L20</f>
        <v>3878</v>
      </c>
      <c r="L20" s="15">
        <f>2271+1607</f>
        <v>3878</v>
      </c>
      <c r="M20" s="16">
        <f t="shared" si="0"/>
        <v>3878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/>
      <c r="T20" s="17">
        <v>3</v>
      </c>
      <c r="U20" s="17"/>
      <c r="V20" s="18"/>
      <c r="W20" s="19"/>
      <c r="X20" s="17"/>
      <c r="Y20" s="20"/>
      <c r="Z20" s="20"/>
      <c r="AA20" s="21"/>
      <c r="AB20" s="8">
        <f t="shared" si="4"/>
        <v>0.99948453608247423</v>
      </c>
      <c r="AC20" s="9">
        <f t="shared" si="5"/>
        <v>0.875</v>
      </c>
      <c r="AD20" s="10">
        <f t="shared" si="6"/>
        <v>0.87454896907216495</v>
      </c>
      <c r="AE20" s="39">
        <f t="shared" si="24"/>
        <v>0.45116863176915395</v>
      </c>
      <c r="AF20" s="94">
        <f t="shared" si="8"/>
        <v>13</v>
      </c>
    </row>
    <row r="21" spans="1:32" ht="27" customHeight="1">
      <c r="A21" s="110">
        <v>14</v>
      </c>
      <c r="B21" s="11" t="s">
        <v>57</v>
      </c>
      <c r="C21" s="11" t="s">
        <v>158</v>
      </c>
      <c r="D21" s="55" t="s">
        <v>124</v>
      </c>
      <c r="E21" s="57" t="s">
        <v>768</v>
      </c>
      <c r="F21" s="12" t="s">
        <v>210</v>
      </c>
      <c r="G21" s="12">
        <v>1</v>
      </c>
      <c r="H21" s="13">
        <v>25</v>
      </c>
      <c r="I21" s="7">
        <v>70000</v>
      </c>
      <c r="J21" s="14">
        <v>5370</v>
      </c>
      <c r="K21" s="15">
        <f>L21+3038+5379+5456</f>
        <v>19238</v>
      </c>
      <c r="L21" s="15">
        <f>2815+2550</f>
        <v>5365</v>
      </c>
      <c r="M21" s="16">
        <f t="shared" si="0"/>
        <v>5365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0.9990689013035382</v>
      </c>
      <c r="AC21" s="9">
        <f t="shared" si="5"/>
        <v>1</v>
      </c>
      <c r="AD21" s="10">
        <f t="shared" si="6"/>
        <v>0.9990689013035382</v>
      </c>
      <c r="AE21" s="39">
        <f t="shared" si="24"/>
        <v>0.45116863176915395</v>
      </c>
      <c r="AF21" s="94">
        <f t="shared" si="8"/>
        <v>14</v>
      </c>
    </row>
    <row r="22" spans="1:32" ht="27" customHeight="1" thickBot="1">
      <c r="A22" s="110">
        <v>15</v>
      </c>
      <c r="B22" s="11" t="s">
        <v>57</v>
      </c>
      <c r="C22" s="11" t="s">
        <v>122</v>
      </c>
      <c r="D22" s="55"/>
      <c r="E22" s="56" t="s">
        <v>127</v>
      </c>
      <c r="F22" s="12" t="s">
        <v>123</v>
      </c>
      <c r="G22" s="12">
        <v>4</v>
      </c>
      <c r="H22" s="38">
        <v>20</v>
      </c>
      <c r="I22" s="7">
        <v>800000</v>
      </c>
      <c r="J22" s="14">
        <v>2230</v>
      </c>
      <c r="K22" s="15">
        <f>L22+29128+42972+45096+45728+43064+5640+29816+42972+44600+38336+6084+2224</f>
        <v>375660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>
        <v>24</v>
      </c>
      <c r="T22" s="17"/>
      <c r="U22" s="17"/>
      <c r="V22" s="18"/>
      <c r="W22" s="19"/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24"/>
        <v>0.45116863176915395</v>
      </c>
      <c r="AF22" s="94">
        <f t="shared" si="8"/>
        <v>15</v>
      </c>
    </row>
    <row r="23" spans="1:32" ht="31.5" customHeight="1" thickBot="1">
      <c r="A23" s="368" t="s">
        <v>34</v>
      </c>
      <c r="B23" s="369"/>
      <c r="C23" s="369"/>
      <c r="D23" s="369"/>
      <c r="E23" s="369"/>
      <c r="F23" s="369"/>
      <c r="G23" s="369"/>
      <c r="H23" s="370"/>
      <c r="I23" s="25">
        <f t="shared" ref="I23:N23" si="26">SUM(I6:I22)</f>
        <v>1304900</v>
      </c>
      <c r="J23" s="22">
        <f t="shared" si="26"/>
        <v>52957</v>
      </c>
      <c r="K23" s="23">
        <f t="shared" si="26"/>
        <v>497550</v>
      </c>
      <c r="L23" s="24">
        <f t="shared" si="26"/>
        <v>32537</v>
      </c>
      <c r="M23" s="23">
        <f t="shared" si="26"/>
        <v>32537</v>
      </c>
      <c r="N23" s="24">
        <f t="shared" si="26"/>
        <v>0</v>
      </c>
      <c r="O23" s="44">
        <f t="shared" si="1"/>
        <v>0</v>
      </c>
      <c r="P23" s="45">
        <f t="shared" ref="P23:AA23" si="27">SUM(P6:P22)</f>
        <v>180</v>
      </c>
      <c r="Q23" s="46">
        <f t="shared" si="27"/>
        <v>228</v>
      </c>
      <c r="R23" s="26">
        <f t="shared" si="27"/>
        <v>0</v>
      </c>
      <c r="S23" s="27">
        <f t="shared" si="27"/>
        <v>70</v>
      </c>
      <c r="T23" s="27">
        <f t="shared" si="27"/>
        <v>13</v>
      </c>
      <c r="U23" s="27">
        <f t="shared" si="27"/>
        <v>0</v>
      </c>
      <c r="V23" s="28">
        <f t="shared" si="27"/>
        <v>0</v>
      </c>
      <c r="W23" s="29">
        <f t="shared" si="27"/>
        <v>145</v>
      </c>
      <c r="X23" s="30">
        <f t="shared" si="27"/>
        <v>0</v>
      </c>
      <c r="Y23" s="30">
        <f t="shared" si="27"/>
        <v>0</v>
      </c>
      <c r="Z23" s="30">
        <f t="shared" si="27"/>
        <v>0</v>
      </c>
      <c r="AA23" s="30">
        <f t="shared" si="27"/>
        <v>0</v>
      </c>
      <c r="AB23" s="31">
        <f>SUM(AB6:AB22)/15</f>
        <v>0.75106945087495591</v>
      </c>
      <c r="AC23" s="4">
        <f>SUM(AC6:AC22)/15</f>
        <v>0.5</v>
      </c>
      <c r="AD23" s="4">
        <f>SUM(AD6:AD22)/15</f>
        <v>0.45116863176915395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371" t="s">
        <v>45</v>
      </c>
      <c r="B50" s="371"/>
      <c r="C50" s="371"/>
      <c r="D50" s="371"/>
      <c r="E50" s="371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372" t="s">
        <v>922</v>
      </c>
      <c r="B51" s="373"/>
      <c r="C51" s="373"/>
      <c r="D51" s="373"/>
      <c r="E51" s="373"/>
      <c r="F51" s="373"/>
      <c r="G51" s="373"/>
      <c r="H51" s="373"/>
      <c r="I51" s="373"/>
      <c r="J51" s="373"/>
      <c r="K51" s="373"/>
      <c r="L51" s="373"/>
      <c r="M51" s="374"/>
      <c r="N51" s="375" t="s">
        <v>942</v>
      </c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6"/>
      <c r="AA51" s="376"/>
      <c r="AB51" s="376"/>
      <c r="AC51" s="376"/>
      <c r="AD51" s="377"/>
    </row>
    <row r="52" spans="1:32" ht="27" customHeight="1">
      <c r="A52" s="378" t="s">
        <v>2</v>
      </c>
      <c r="B52" s="379"/>
      <c r="C52" s="338" t="s">
        <v>46</v>
      </c>
      <c r="D52" s="338" t="s">
        <v>47</v>
      </c>
      <c r="E52" s="338" t="s">
        <v>108</v>
      </c>
      <c r="F52" s="379" t="s">
        <v>107</v>
      </c>
      <c r="G52" s="379"/>
      <c r="H52" s="379"/>
      <c r="I52" s="379"/>
      <c r="J52" s="379"/>
      <c r="K52" s="379"/>
      <c r="L52" s="379"/>
      <c r="M52" s="380"/>
      <c r="N52" s="73" t="s">
        <v>112</v>
      </c>
      <c r="O52" s="338" t="s">
        <v>46</v>
      </c>
      <c r="P52" s="381" t="s">
        <v>47</v>
      </c>
      <c r="Q52" s="382"/>
      <c r="R52" s="381" t="s">
        <v>38</v>
      </c>
      <c r="S52" s="383"/>
      <c r="T52" s="383"/>
      <c r="U52" s="382"/>
      <c r="V52" s="381" t="s">
        <v>48</v>
      </c>
      <c r="W52" s="383"/>
      <c r="X52" s="383"/>
      <c r="Y52" s="383"/>
      <c r="Z52" s="383"/>
      <c r="AA52" s="383"/>
      <c r="AB52" s="383"/>
      <c r="AC52" s="383"/>
      <c r="AD52" s="384"/>
    </row>
    <row r="53" spans="1:32" ht="27" customHeight="1">
      <c r="A53" s="395" t="s">
        <v>923</v>
      </c>
      <c r="B53" s="396"/>
      <c r="C53" s="335" t="s">
        <v>924</v>
      </c>
      <c r="D53" s="335" t="s">
        <v>925</v>
      </c>
      <c r="E53" s="335" t="s">
        <v>911</v>
      </c>
      <c r="F53" s="397" t="s">
        <v>874</v>
      </c>
      <c r="G53" s="397"/>
      <c r="H53" s="397"/>
      <c r="I53" s="397"/>
      <c r="J53" s="397"/>
      <c r="K53" s="397"/>
      <c r="L53" s="397"/>
      <c r="M53" s="398"/>
      <c r="N53" s="334" t="s">
        <v>833</v>
      </c>
      <c r="O53" s="74" t="s">
        <v>834</v>
      </c>
      <c r="P53" s="396"/>
      <c r="Q53" s="396"/>
      <c r="R53" s="396" t="s">
        <v>835</v>
      </c>
      <c r="S53" s="396"/>
      <c r="T53" s="396"/>
      <c r="U53" s="396"/>
      <c r="V53" s="397" t="s">
        <v>884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926</v>
      </c>
      <c r="B54" s="396"/>
      <c r="C54" s="335" t="s">
        <v>927</v>
      </c>
      <c r="D54" s="335" t="s">
        <v>928</v>
      </c>
      <c r="E54" s="335" t="s">
        <v>921</v>
      </c>
      <c r="F54" s="397" t="s">
        <v>874</v>
      </c>
      <c r="G54" s="397"/>
      <c r="H54" s="397"/>
      <c r="I54" s="397"/>
      <c r="J54" s="397"/>
      <c r="K54" s="397"/>
      <c r="L54" s="397"/>
      <c r="M54" s="398"/>
      <c r="N54" s="334" t="s">
        <v>943</v>
      </c>
      <c r="O54" s="74" t="s">
        <v>944</v>
      </c>
      <c r="P54" s="396" t="s">
        <v>945</v>
      </c>
      <c r="Q54" s="396"/>
      <c r="R54" s="396" t="s">
        <v>946</v>
      </c>
      <c r="S54" s="396"/>
      <c r="T54" s="396"/>
      <c r="U54" s="396"/>
      <c r="V54" s="397" t="s">
        <v>947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158</v>
      </c>
      <c r="B55" s="396"/>
      <c r="C55" s="335" t="s">
        <v>930</v>
      </c>
      <c r="D55" s="335" t="s">
        <v>906</v>
      </c>
      <c r="E55" s="335" t="s">
        <v>907</v>
      </c>
      <c r="F55" s="397" t="s">
        <v>874</v>
      </c>
      <c r="G55" s="397"/>
      <c r="H55" s="397"/>
      <c r="I55" s="397"/>
      <c r="J55" s="397"/>
      <c r="K55" s="397"/>
      <c r="L55" s="397"/>
      <c r="M55" s="398"/>
      <c r="N55" s="334" t="s">
        <v>949</v>
      </c>
      <c r="O55" s="74" t="s">
        <v>950</v>
      </c>
      <c r="P55" s="396" t="s">
        <v>951</v>
      </c>
      <c r="Q55" s="396"/>
      <c r="R55" s="396" t="s">
        <v>948</v>
      </c>
      <c r="S55" s="396"/>
      <c r="T55" s="396"/>
      <c r="U55" s="396"/>
      <c r="V55" s="397" t="s">
        <v>952</v>
      </c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 t="s">
        <v>877</v>
      </c>
      <c r="B56" s="396"/>
      <c r="C56" s="335" t="s">
        <v>187</v>
      </c>
      <c r="D56" s="335" t="s">
        <v>878</v>
      </c>
      <c r="E56" s="335" t="s">
        <v>868</v>
      </c>
      <c r="F56" s="397" t="s">
        <v>929</v>
      </c>
      <c r="G56" s="397"/>
      <c r="H56" s="397"/>
      <c r="I56" s="397"/>
      <c r="J56" s="397"/>
      <c r="K56" s="397"/>
      <c r="L56" s="397"/>
      <c r="M56" s="398"/>
      <c r="N56" s="334" t="s">
        <v>913</v>
      </c>
      <c r="O56" s="74" t="s">
        <v>933</v>
      </c>
      <c r="P56" s="396"/>
      <c r="Q56" s="396"/>
      <c r="R56" s="396" t="s">
        <v>934</v>
      </c>
      <c r="S56" s="396"/>
      <c r="T56" s="396"/>
      <c r="U56" s="396"/>
      <c r="V56" s="397" t="s">
        <v>952</v>
      </c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 t="s">
        <v>916</v>
      </c>
      <c r="B57" s="396"/>
      <c r="C57" s="335" t="s">
        <v>930</v>
      </c>
      <c r="D57" s="335" t="s">
        <v>931</v>
      </c>
      <c r="E57" s="335" t="s">
        <v>904</v>
      </c>
      <c r="F57" s="397" t="s">
        <v>874</v>
      </c>
      <c r="G57" s="397"/>
      <c r="H57" s="397"/>
      <c r="I57" s="397"/>
      <c r="J57" s="397"/>
      <c r="K57" s="397"/>
      <c r="L57" s="397"/>
      <c r="M57" s="398"/>
      <c r="N57" s="334"/>
      <c r="O57" s="74"/>
      <c r="P57" s="396"/>
      <c r="Q57" s="39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 t="s">
        <v>158</v>
      </c>
      <c r="B58" s="396"/>
      <c r="C58" s="335" t="s">
        <v>932</v>
      </c>
      <c r="D58" s="335" t="s">
        <v>421</v>
      </c>
      <c r="E58" s="335" t="s">
        <v>890</v>
      </c>
      <c r="F58" s="397" t="s">
        <v>929</v>
      </c>
      <c r="G58" s="397"/>
      <c r="H58" s="397"/>
      <c r="I58" s="397"/>
      <c r="J58" s="397"/>
      <c r="K58" s="397"/>
      <c r="L58" s="397"/>
      <c r="M58" s="398"/>
      <c r="N58" s="334"/>
      <c r="O58" s="74"/>
      <c r="P58" s="396"/>
      <c r="Q58" s="39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 t="s">
        <v>913</v>
      </c>
      <c r="B59" s="396"/>
      <c r="C59" s="335" t="s">
        <v>933</v>
      </c>
      <c r="D59" s="335" t="s">
        <v>934</v>
      </c>
      <c r="E59" s="335" t="s">
        <v>935</v>
      </c>
      <c r="F59" s="397" t="s">
        <v>936</v>
      </c>
      <c r="G59" s="397"/>
      <c r="H59" s="397"/>
      <c r="I59" s="397"/>
      <c r="J59" s="397"/>
      <c r="K59" s="397"/>
      <c r="L59" s="397"/>
      <c r="M59" s="398"/>
      <c r="N59" s="334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 t="s">
        <v>913</v>
      </c>
      <c r="B60" s="396"/>
      <c r="C60" s="335" t="s">
        <v>933</v>
      </c>
      <c r="D60" s="335" t="s">
        <v>914</v>
      </c>
      <c r="E60" s="335" t="s">
        <v>935</v>
      </c>
      <c r="F60" s="397" t="s">
        <v>937</v>
      </c>
      <c r="G60" s="397"/>
      <c r="H60" s="397"/>
      <c r="I60" s="397"/>
      <c r="J60" s="397"/>
      <c r="K60" s="397"/>
      <c r="L60" s="397"/>
      <c r="M60" s="398"/>
      <c r="N60" s="334"/>
      <c r="O60" s="74"/>
      <c r="P60" s="405"/>
      <c r="Q60" s="40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</row>
    <row r="61" spans="1:32" ht="27" customHeight="1">
      <c r="A61" s="395" t="s">
        <v>938</v>
      </c>
      <c r="B61" s="396"/>
      <c r="C61" s="335" t="s">
        <v>939</v>
      </c>
      <c r="D61" s="335"/>
      <c r="E61" s="335" t="s">
        <v>940</v>
      </c>
      <c r="F61" s="397" t="s">
        <v>941</v>
      </c>
      <c r="G61" s="397"/>
      <c r="H61" s="397"/>
      <c r="I61" s="397"/>
      <c r="J61" s="397"/>
      <c r="K61" s="397"/>
      <c r="L61" s="397"/>
      <c r="M61" s="398"/>
      <c r="N61" s="334"/>
      <c r="O61" s="74"/>
      <c r="P61" s="396"/>
      <c r="Q61" s="396"/>
      <c r="R61" s="396"/>
      <c r="S61" s="396"/>
      <c r="T61" s="396"/>
      <c r="U61" s="396"/>
      <c r="V61" s="397"/>
      <c r="W61" s="397"/>
      <c r="X61" s="397"/>
      <c r="Y61" s="397"/>
      <c r="Z61" s="397"/>
      <c r="AA61" s="397"/>
      <c r="AB61" s="397"/>
      <c r="AC61" s="397"/>
      <c r="AD61" s="398"/>
      <c r="AF61" s="94">
        <f>8*3000</f>
        <v>24000</v>
      </c>
    </row>
    <row r="62" spans="1:32" ht="27" customHeight="1" thickBot="1">
      <c r="A62" s="401"/>
      <c r="B62" s="402"/>
      <c r="C62" s="337"/>
      <c r="D62" s="337"/>
      <c r="E62" s="337"/>
      <c r="F62" s="403"/>
      <c r="G62" s="403"/>
      <c r="H62" s="403"/>
      <c r="I62" s="403"/>
      <c r="J62" s="403"/>
      <c r="K62" s="403"/>
      <c r="L62" s="403"/>
      <c r="M62" s="404"/>
      <c r="N62" s="336"/>
      <c r="O62" s="121"/>
      <c r="P62" s="402"/>
      <c r="Q62" s="402"/>
      <c r="R62" s="402"/>
      <c r="S62" s="402"/>
      <c r="T62" s="402"/>
      <c r="U62" s="402"/>
      <c r="V62" s="403"/>
      <c r="W62" s="403"/>
      <c r="X62" s="403"/>
      <c r="Y62" s="403"/>
      <c r="Z62" s="403"/>
      <c r="AA62" s="403"/>
      <c r="AB62" s="403"/>
      <c r="AC62" s="403"/>
      <c r="AD62" s="404"/>
      <c r="AF62" s="94">
        <f>16*3000</f>
        <v>48000</v>
      </c>
    </row>
    <row r="63" spans="1:32" ht="27.75" thickBot="1">
      <c r="A63" s="407" t="s">
        <v>953</v>
      </c>
      <c r="B63" s="407"/>
      <c r="C63" s="407"/>
      <c r="D63" s="407"/>
      <c r="E63" s="407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08" t="s">
        <v>113</v>
      </c>
      <c r="B64" s="409"/>
      <c r="C64" s="333" t="s">
        <v>2</v>
      </c>
      <c r="D64" s="333" t="s">
        <v>37</v>
      </c>
      <c r="E64" s="333" t="s">
        <v>3</v>
      </c>
      <c r="F64" s="409" t="s">
        <v>110</v>
      </c>
      <c r="G64" s="409"/>
      <c r="H64" s="409"/>
      <c r="I64" s="409"/>
      <c r="J64" s="409"/>
      <c r="K64" s="409" t="s">
        <v>39</v>
      </c>
      <c r="L64" s="409"/>
      <c r="M64" s="333" t="s">
        <v>40</v>
      </c>
      <c r="N64" s="409" t="s">
        <v>41</v>
      </c>
      <c r="O64" s="409"/>
      <c r="P64" s="410" t="s">
        <v>42</v>
      </c>
      <c r="Q64" s="411"/>
      <c r="R64" s="410" t="s">
        <v>43</v>
      </c>
      <c r="S64" s="412"/>
      <c r="T64" s="412"/>
      <c r="U64" s="412"/>
      <c r="V64" s="412"/>
      <c r="W64" s="412"/>
      <c r="X64" s="412"/>
      <c r="Y64" s="412"/>
      <c r="Z64" s="412"/>
      <c r="AA64" s="411"/>
      <c r="AB64" s="409" t="s">
        <v>44</v>
      </c>
      <c r="AC64" s="409"/>
      <c r="AD64" s="413"/>
      <c r="AF64" s="94">
        <f>SUM(AF61:AF63)</f>
        <v>96000</v>
      </c>
    </row>
    <row r="65" spans="1:32" ht="25.5" customHeight="1">
      <c r="A65" s="414">
        <v>1</v>
      </c>
      <c r="B65" s="415"/>
      <c r="C65" s="124" t="s">
        <v>954</v>
      </c>
      <c r="D65" s="329"/>
      <c r="E65" s="332" t="s">
        <v>955</v>
      </c>
      <c r="F65" s="416" t="s">
        <v>956</v>
      </c>
      <c r="G65" s="417"/>
      <c r="H65" s="417"/>
      <c r="I65" s="417"/>
      <c r="J65" s="417"/>
      <c r="K65" s="417" t="s">
        <v>957</v>
      </c>
      <c r="L65" s="417"/>
      <c r="M65" s="54" t="s">
        <v>958</v>
      </c>
      <c r="N65" s="417">
        <v>12</v>
      </c>
      <c r="O65" s="417"/>
      <c r="P65" s="418">
        <v>50</v>
      </c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2</v>
      </c>
      <c r="B66" s="415"/>
      <c r="C66" s="124"/>
      <c r="D66" s="329"/>
      <c r="E66" s="332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3</v>
      </c>
      <c r="B67" s="415"/>
      <c r="C67" s="124"/>
      <c r="D67" s="329"/>
      <c r="E67" s="332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4</v>
      </c>
      <c r="B68" s="415"/>
      <c r="C68" s="124"/>
      <c r="D68" s="329"/>
      <c r="E68" s="332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5</v>
      </c>
      <c r="B69" s="415"/>
      <c r="C69" s="124"/>
      <c r="D69" s="329"/>
      <c r="E69" s="332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6</v>
      </c>
      <c r="B70" s="415"/>
      <c r="C70" s="124"/>
      <c r="D70" s="329"/>
      <c r="E70" s="332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7</v>
      </c>
      <c r="B71" s="415"/>
      <c r="C71" s="124"/>
      <c r="D71" s="329"/>
      <c r="E71" s="332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5.5" customHeight="1">
      <c r="A72" s="414">
        <v>8</v>
      </c>
      <c r="B72" s="415"/>
      <c r="C72" s="124"/>
      <c r="D72" s="329"/>
      <c r="E72" s="332"/>
      <c r="F72" s="416"/>
      <c r="G72" s="417"/>
      <c r="H72" s="417"/>
      <c r="I72" s="417"/>
      <c r="J72" s="417"/>
      <c r="K72" s="417"/>
      <c r="L72" s="417"/>
      <c r="M72" s="54"/>
      <c r="N72" s="417"/>
      <c r="O72" s="417"/>
      <c r="P72" s="418"/>
      <c r="Q72" s="418"/>
      <c r="R72" s="397"/>
      <c r="S72" s="397"/>
      <c r="T72" s="397"/>
      <c r="U72" s="397"/>
      <c r="V72" s="397"/>
      <c r="W72" s="397"/>
      <c r="X72" s="397"/>
      <c r="Y72" s="397"/>
      <c r="Z72" s="397"/>
      <c r="AA72" s="397"/>
      <c r="AB72" s="417"/>
      <c r="AC72" s="417"/>
      <c r="AD72" s="419"/>
      <c r="AF72" s="53"/>
    </row>
    <row r="73" spans="1:32" ht="26.25" customHeight="1" thickBot="1">
      <c r="A73" s="420" t="s">
        <v>959</v>
      </c>
      <c r="B73" s="420"/>
      <c r="C73" s="420"/>
      <c r="D73" s="420"/>
      <c r="E73" s="420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1" t="s">
        <v>113</v>
      </c>
      <c r="B74" s="422"/>
      <c r="C74" s="331" t="s">
        <v>2</v>
      </c>
      <c r="D74" s="331" t="s">
        <v>37</v>
      </c>
      <c r="E74" s="331" t="s">
        <v>3</v>
      </c>
      <c r="F74" s="422" t="s">
        <v>38</v>
      </c>
      <c r="G74" s="422"/>
      <c r="H74" s="422"/>
      <c r="I74" s="422"/>
      <c r="J74" s="422"/>
      <c r="K74" s="423" t="s">
        <v>58</v>
      </c>
      <c r="L74" s="424"/>
      <c r="M74" s="424"/>
      <c r="N74" s="424"/>
      <c r="O74" s="424"/>
      <c r="P74" s="424"/>
      <c r="Q74" s="424"/>
      <c r="R74" s="424"/>
      <c r="S74" s="425"/>
      <c r="T74" s="422" t="s">
        <v>49</v>
      </c>
      <c r="U74" s="422"/>
      <c r="V74" s="423" t="s">
        <v>50</v>
      </c>
      <c r="W74" s="425"/>
      <c r="X74" s="424" t="s">
        <v>51</v>
      </c>
      <c r="Y74" s="424"/>
      <c r="Z74" s="424"/>
      <c r="AA74" s="424"/>
      <c r="AB74" s="424"/>
      <c r="AC74" s="424"/>
      <c r="AD74" s="426"/>
      <c r="AF74" s="53"/>
    </row>
    <row r="75" spans="1:32" ht="33.75" customHeight="1">
      <c r="A75" s="435">
        <v>1</v>
      </c>
      <c r="B75" s="436"/>
      <c r="C75" s="330" t="s">
        <v>114</v>
      </c>
      <c r="D75" s="330"/>
      <c r="E75" s="71" t="s">
        <v>119</v>
      </c>
      <c r="F75" s="437" t="s">
        <v>120</v>
      </c>
      <c r="G75" s="438"/>
      <c r="H75" s="438"/>
      <c r="I75" s="438"/>
      <c r="J75" s="439"/>
      <c r="K75" s="440" t="s">
        <v>115</v>
      </c>
      <c r="L75" s="441"/>
      <c r="M75" s="441"/>
      <c r="N75" s="441"/>
      <c r="O75" s="441"/>
      <c r="P75" s="441"/>
      <c r="Q75" s="441"/>
      <c r="R75" s="441"/>
      <c r="S75" s="442"/>
      <c r="T75" s="443">
        <v>42901</v>
      </c>
      <c r="U75" s="444"/>
      <c r="V75" s="445"/>
      <c r="W75" s="445"/>
      <c r="X75" s="446"/>
      <c r="Y75" s="446"/>
      <c r="Z75" s="446"/>
      <c r="AA75" s="446"/>
      <c r="AB75" s="446"/>
      <c r="AC75" s="446"/>
      <c r="AD75" s="447"/>
      <c r="AF75" s="53"/>
    </row>
    <row r="76" spans="1:32" ht="30" customHeight="1">
      <c r="A76" s="427">
        <f>A75+1</f>
        <v>2</v>
      </c>
      <c r="B76" s="428"/>
      <c r="C76" s="329" t="s">
        <v>114</v>
      </c>
      <c r="D76" s="329"/>
      <c r="E76" s="35" t="s">
        <v>116</v>
      </c>
      <c r="F76" s="428" t="s">
        <v>117</v>
      </c>
      <c r="G76" s="428"/>
      <c r="H76" s="428"/>
      <c r="I76" s="428"/>
      <c r="J76" s="428"/>
      <c r="K76" s="429" t="s">
        <v>118</v>
      </c>
      <c r="L76" s="430"/>
      <c r="M76" s="430"/>
      <c r="N76" s="430"/>
      <c r="O76" s="430"/>
      <c r="P76" s="430"/>
      <c r="Q76" s="430"/>
      <c r="R76" s="430"/>
      <c r="S76" s="431"/>
      <c r="T76" s="432">
        <v>42867</v>
      </c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ref="A77:A83" si="28">A76+1</f>
        <v>3</v>
      </c>
      <c r="B77" s="428"/>
      <c r="C77" s="329"/>
      <c r="D77" s="329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28"/>
        <v>4</v>
      </c>
      <c r="B78" s="428"/>
      <c r="C78" s="329"/>
      <c r="D78" s="329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28"/>
        <v>5</v>
      </c>
      <c r="B79" s="428"/>
      <c r="C79" s="329"/>
      <c r="D79" s="329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28"/>
        <v>6</v>
      </c>
      <c r="B80" s="428"/>
      <c r="C80" s="329"/>
      <c r="D80" s="329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28"/>
        <v>7</v>
      </c>
      <c r="B81" s="428"/>
      <c r="C81" s="329"/>
      <c r="D81" s="329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28"/>
        <v>8</v>
      </c>
      <c r="B82" s="428"/>
      <c r="C82" s="329"/>
      <c r="D82" s="329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0" customHeight="1">
      <c r="A83" s="427">
        <f t="shared" si="28"/>
        <v>9</v>
      </c>
      <c r="B83" s="428"/>
      <c r="C83" s="329"/>
      <c r="D83" s="329"/>
      <c r="E83" s="35"/>
      <c r="F83" s="428"/>
      <c r="G83" s="428"/>
      <c r="H83" s="428"/>
      <c r="I83" s="428"/>
      <c r="J83" s="428"/>
      <c r="K83" s="429"/>
      <c r="L83" s="430"/>
      <c r="M83" s="430"/>
      <c r="N83" s="430"/>
      <c r="O83" s="430"/>
      <c r="P83" s="430"/>
      <c r="Q83" s="430"/>
      <c r="R83" s="430"/>
      <c r="S83" s="431"/>
      <c r="T83" s="432"/>
      <c r="U83" s="432"/>
      <c r="V83" s="432"/>
      <c r="W83" s="432"/>
      <c r="X83" s="433"/>
      <c r="Y83" s="433"/>
      <c r="Z83" s="433"/>
      <c r="AA83" s="433"/>
      <c r="AB83" s="433"/>
      <c r="AC83" s="433"/>
      <c r="AD83" s="434"/>
      <c r="AF83" s="53"/>
    </row>
    <row r="84" spans="1:32" ht="36" thickBot="1">
      <c r="A84" s="420" t="s">
        <v>960</v>
      </c>
      <c r="B84" s="420"/>
      <c r="C84" s="420"/>
      <c r="D84" s="420"/>
      <c r="E84" s="420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21" t="s">
        <v>113</v>
      </c>
      <c r="B85" s="422"/>
      <c r="C85" s="448" t="s">
        <v>52</v>
      </c>
      <c r="D85" s="448"/>
      <c r="E85" s="448" t="s">
        <v>53</v>
      </c>
      <c r="F85" s="448"/>
      <c r="G85" s="448"/>
      <c r="H85" s="448"/>
      <c r="I85" s="448"/>
      <c r="J85" s="448"/>
      <c r="K85" s="448" t="s">
        <v>54</v>
      </c>
      <c r="L85" s="448"/>
      <c r="M85" s="448"/>
      <c r="N85" s="448"/>
      <c r="O85" s="448"/>
      <c r="P85" s="448"/>
      <c r="Q85" s="448"/>
      <c r="R85" s="448"/>
      <c r="S85" s="448"/>
      <c r="T85" s="448" t="s">
        <v>55</v>
      </c>
      <c r="U85" s="448"/>
      <c r="V85" s="448" t="s">
        <v>56</v>
      </c>
      <c r="W85" s="448"/>
      <c r="X85" s="448"/>
      <c r="Y85" s="448" t="s">
        <v>51</v>
      </c>
      <c r="Z85" s="448"/>
      <c r="AA85" s="448"/>
      <c r="AB85" s="448"/>
      <c r="AC85" s="448"/>
      <c r="AD85" s="449"/>
      <c r="AF85" s="53"/>
    </row>
    <row r="86" spans="1:32" ht="30.75" customHeight="1">
      <c r="A86" s="435">
        <v>1</v>
      </c>
      <c r="B86" s="436"/>
      <c r="C86" s="450"/>
      <c r="D86" s="450"/>
      <c r="E86" s="450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50"/>
      <c r="R86" s="450"/>
      <c r="S86" s="450"/>
      <c r="T86" s="450"/>
      <c r="U86" s="450"/>
      <c r="V86" s="451"/>
      <c r="W86" s="451"/>
      <c r="X86" s="451"/>
      <c r="Y86" s="452"/>
      <c r="Z86" s="452"/>
      <c r="AA86" s="452"/>
      <c r="AB86" s="452"/>
      <c r="AC86" s="452"/>
      <c r="AD86" s="453"/>
      <c r="AF86" s="53"/>
    </row>
    <row r="87" spans="1:32" ht="30.75" customHeight="1">
      <c r="A87" s="427">
        <v>2</v>
      </c>
      <c r="B87" s="428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2"/>
      <c r="U87" s="462"/>
      <c r="V87" s="463"/>
      <c r="W87" s="463"/>
      <c r="X87" s="463"/>
      <c r="Y87" s="454"/>
      <c r="Z87" s="454"/>
      <c r="AA87" s="454"/>
      <c r="AB87" s="454"/>
      <c r="AC87" s="454"/>
      <c r="AD87" s="455"/>
      <c r="AF87" s="53"/>
    </row>
    <row r="88" spans="1:32" ht="30.75" customHeight="1" thickBot="1">
      <c r="A88" s="456">
        <v>3</v>
      </c>
      <c r="B88" s="457"/>
      <c r="C88" s="458"/>
      <c r="D88" s="458"/>
      <c r="E88" s="458"/>
      <c r="F88" s="458"/>
      <c r="G88" s="458"/>
      <c r="H88" s="458"/>
      <c r="I88" s="458"/>
      <c r="J88" s="458"/>
      <c r="K88" s="458"/>
      <c r="L88" s="458"/>
      <c r="M88" s="458"/>
      <c r="N88" s="458"/>
      <c r="O88" s="458"/>
      <c r="P88" s="458"/>
      <c r="Q88" s="458"/>
      <c r="R88" s="458"/>
      <c r="S88" s="458"/>
      <c r="T88" s="458"/>
      <c r="U88" s="458"/>
      <c r="V88" s="458"/>
      <c r="W88" s="458"/>
      <c r="X88" s="458"/>
      <c r="Y88" s="459"/>
      <c r="Z88" s="459"/>
      <c r="AA88" s="459"/>
      <c r="AB88" s="459"/>
      <c r="AC88" s="459"/>
      <c r="AD88" s="460"/>
      <c r="AF88" s="53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E87" sqref="E87:J8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961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339" t="s">
        <v>17</v>
      </c>
      <c r="L5" s="339" t="s">
        <v>18</v>
      </c>
      <c r="M5" s="339" t="s">
        <v>19</v>
      </c>
      <c r="N5" s="33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859</v>
      </c>
      <c r="D6" s="55"/>
      <c r="E6" s="57" t="s">
        <v>860</v>
      </c>
      <c r="F6" s="33" t="s">
        <v>861</v>
      </c>
      <c r="G6" s="12">
        <v>4</v>
      </c>
      <c r="H6" s="13">
        <v>25</v>
      </c>
      <c r="I6" s="34">
        <v>200000</v>
      </c>
      <c r="J6" s="5">
        <v>21196</v>
      </c>
      <c r="K6" s="15">
        <f>L6+12624</f>
        <v>33820</v>
      </c>
      <c r="L6" s="15">
        <f>5299*4</f>
        <v>21196</v>
      </c>
      <c r="M6" s="16">
        <f t="shared" ref="M6" si="0">L6-N6</f>
        <v>21196</v>
      </c>
      <c r="N6" s="16">
        <v>0</v>
      </c>
      <c r="O6" s="62">
        <f t="shared" ref="O6" si="1">IF(L6=0,"0",N6/L6)</f>
        <v>0</v>
      </c>
      <c r="P6" s="42">
        <f t="shared" ref="P6" si="2">IF(L6=0,"0",(24-Q6))</f>
        <v>14</v>
      </c>
      <c r="Q6" s="43">
        <f t="shared" ref="Q6" si="3">SUM(R6:AA6)</f>
        <v>10</v>
      </c>
      <c r="R6" s="7"/>
      <c r="S6" s="6">
        <v>10</v>
      </c>
      <c r="T6" s="17"/>
      <c r="U6" s="17"/>
      <c r="V6" s="18"/>
      <c r="W6" s="19"/>
      <c r="X6" s="17"/>
      <c r="Y6" s="20"/>
      <c r="Z6" s="20"/>
      <c r="AA6" s="21"/>
      <c r="AB6" s="8">
        <f t="shared" ref="AB6" si="4">IF(J6=0,"0",(L6/J6))</f>
        <v>1</v>
      </c>
      <c r="AC6" s="9">
        <f t="shared" ref="AC6" si="5">IF(P6=0,"0",(P6/24))</f>
        <v>0.58333333333333337</v>
      </c>
      <c r="AD6" s="10">
        <f t="shared" ref="AD6" si="6">AC6*AB6*(1-O6)</f>
        <v>0.58333333333333337</v>
      </c>
      <c r="AE6" s="39">
        <f t="shared" ref="AE6:AE21" si="7">$AD$22</f>
        <v>0.4913709822996023</v>
      </c>
      <c r="AF6" s="94">
        <f t="shared" ref="AF6" si="8">A6</f>
        <v>1</v>
      </c>
    </row>
    <row r="7" spans="1:32" ht="27" customHeight="1">
      <c r="A7" s="108">
        <v>2</v>
      </c>
      <c r="B7" s="11" t="s">
        <v>57</v>
      </c>
      <c r="C7" s="37" t="s">
        <v>859</v>
      </c>
      <c r="D7" s="55"/>
      <c r="E7" s="57" t="s">
        <v>860</v>
      </c>
      <c r="F7" s="33" t="s">
        <v>861</v>
      </c>
      <c r="G7" s="12">
        <v>4</v>
      </c>
      <c r="H7" s="13">
        <v>25</v>
      </c>
      <c r="I7" s="34">
        <v>200000</v>
      </c>
      <c r="J7" s="5">
        <v>12630</v>
      </c>
      <c r="K7" s="15">
        <f>L7+12624</f>
        <v>12624</v>
      </c>
      <c r="L7" s="15"/>
      <c r="M7" s="16">
        <f t="shared" ref="M7:M21" si="9">L7-N7</f>
        <v>0</v>
      </c>
      <c r="N7" s="16">
        <v>0</v>
      </c>
      <c r="O7" s="62" t="str">
        <f t="shared" ref="O7:O22" si="10">IF(L7=0,"0",N7/L7)</f>
        <v>0</v>
      </c>
      <c r="P7" s="42" t="str">
        <f t="shared" ref="P7:P21" si="11">IF(L7=0,"0",(24-Q7))</f>
        <v>0</v>
      </c>
      <c r="Q7" s="43">
        <f t="shared" ref="Q7:Q21" si="12">SUM(R7:AA7)</f>
        <v>24</v>
      </c>
      <c r="R7" s="7"/>
      <c r="S7" s="6"/>
      <c r="T7" s="17"/>
      <c r="U7" s="17"/>
      <c r="V7" s="18">
        <v>24</v>
      </c>
      <c r="W7" s="19"/>
      <c r="X7" s="17"/>
      <c r="Y7" s="20"/>
      <c r="Z7" s="20"/>
      <c r="AA7" s="21"/>
      <c r="AB7" s="8">
        <f t="shared" ref="AB7:AB21" si="13">IF(J7=0,"0",(L7/J7))</f>
        <v>0</v>
      </c>
      <c r="AC7" s="9">
        <f t="shared" ref="AC7:AC21" si="14">IF(P7=0,"0",(P7/24))</f>
        <v>0</v>
      </c>
      <c r="AD7" s="10">
        <f t="shared" ref="AD7:AD21" si="15">AC7*AB7*(1-O7)</f>
        <v>0</v>
      </c>
      <c r="AE7" s="39">
        <f t="shared" si="7"/>
        <v>0.4913709822996023</v>
      </c>
      <c r="AF7" s="94">
        <f t="shared" ref="AF7:AF21" si="16">A7</f>
        <v>2</v>
      </c>
    </row>
    <row r="8" spans="1:32" ht="27" customHeight="1">
      <c r="A8" s="109">
        <v>3</v>
      </c>
      <c r="B8" s="11" t="s">
        <v>57</v>
      </c>
      <c r="C8" s="37" t="s">
        <v>802</v>
      </c>
      <c r="D8" s="55" t="s">
        <v>807</v>
      </c>
      <c r="E8" s="57" t="s">
        <v>738</v>
      </c>
      <c r="F8" s="33" t="s">
        <v>142</v>
      </c>
      <c r="G8" s="12">
        <v>1</v>
      </c>
      <c r="H8" s="13">
        <v>25</v>
      </c>
      <c r="I8" s="34">
        <v>70000</v>
      </c>
      <c r="J8" s="5">
        <v>6500</v>
      </c>
      <c r="K8" s="15">
        <f>L8+4540+6070+5939</f>
        <v>23049</v>
      </c>
      <c r="L8" s="15">
        <f>3614+2886</f>
        <v>6500</v>
      </c>
      <c r="M8" s="16">
        <f t="shared" si="9"/>
        <v>6500</v>
      </c>
      <c r="N8" s="16">
        <v>0</v>
      </c>
      <c r="O8" s="62">
        <f t="shared" si="10"/>
        <v>0</v>
      </c>
      <c r="P8" s="42">
        <f t="shared" si="11"/>
        <v>24</v>
      </c>
      <c r="Q8" s="43">
        <f t="shared" si="12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13"/>
        <v>1</v>
      </c>
      <c r="AC8" s="9">
        <f t="shared" si="14"/>
        <v>1</v>
      </c>
      <c r="AD8" s="10">
        <f t="shared" si="15"/>
        <v>1</v>
      </c>
      <c r="AE8" s="39">
        <f t="shared" si="7"/>
        <v>0.4913709822996023</v>
      </c>
      <c r="AF8" s="94">
        <f t="shared" si="16"/>
        <v>3</v>
      </c>
    </row>
    <row r="9" spans="1:32" ht="27" customHeight="1">
      <c r="A9" s="110">
        <v>4</v>
      </c>
      <c r="B9" s="11" t="s">
        <v>57</v>
      </c>
      <c r="C9" s="37" t="s">
        <v>943</v>
      </c>
      <c r="D9" s="55" t="s">
        <v>910</v>
      </c>
      <c r="E9" s="57" t="s">
        <v>962</v>
      </c>
      <c r="F9" s="33" t="s">
        <v>912</v>
      </c>
      <c r="G9" s="36">
        <v>1</v>
      </c>
      <c r="H9" s="38">
        <v>25</v>
      </c>
      <c r="I9" s="7">
        <v>3000</v>
      </c>
      <c r="J9" s="5">
        <v>3110</v>
      </c>
      <c r="K9" s="15">
        <f>L9</f>
        <v>3106</v>
      </c>
      <c r="L9" s="15">
        <f>3106</f>
        <v>3106</v>
      </c>
      <c r="M9" s="16">
        <f t="shared" si="9"/>
        <v>3106</v>
      </c>
      <c r="N9" s="16">
        <v>0</v>
      </c>
      <c r="O9" s="62">
        <f t="shared" si="10"/>
        <v>0</v>
      </c>
      <c r="P9" s="42">
        <f t="shared" si="11"/>
        <v>15</v>
      </c>
      <c r="Q9" s="43">
        <f t="shared" si="12"/>
        <v>9</v>
      </c>
      <c r="R9" s="7"/>
      <c r="S9" s="6"/>
      <c r="T9" s="17">
        <v>9</v>
      </c>
      <c r="U9" s="17"/>
      <c r="V9" s="18"/>
      <c r="W9" s="19"/>
      <c r="X9" s="17"/>
      <c r="Y9" s="20"/>
      <c r="Z9" s="20"/>
      <c r="AA9" s="21"/>
      <c r="AB9" s="8">
        <f t="shared" si="13"/>
        <v>0.99871382636655948</v>
      </c>
      <c r="AC9" s="9">
        <f t="shared" si="14"/>
        <v>0.625</v>
      </c>
      <c r="AD9" s="10">
        <f t="shared" si="15"/>
        <v>0.62419614147909963</v>
      </c>
      <c r="AE9" s="39">
        <f t="shared" si="7"/>
        <v>0.4913709822996023</v>
      </c>
      <c r="AF9" s="94">
        <f t="shared" si="16"/>
        <v>4</v>
      </c>
    </row>
    <row r="10" spans="1:32" ht="27" customHeight="1">
      <c r="A10" s="110">
        <v>5</v>
      </c>
      <c r="B10" s="11" t="s">
        <v>57</v>
      </c>
      <c r="C10" s="37" t="s">
        <v>963</v>
      </c>
      <c r="D10" s="55" t="s">
        <v>964</v>
      </c>
      <c r="E10" s="57" t="s">
        <v>983</v>
      </c>
      <c r="F10" s="33" t="s">
        <v>965</v>
      </c>
      <c r="G10" s="36">
        <v>2</v>
      </c>
      <c r="H10" s="38">
        <v>25</v>
      </c>
      <c r="I10" s="7">
        <v>1200</v>
      </c>
      <c r="J10" s="5">
        <v>560</v>
      </c>
      <c r="K10" s="15">
        <f>L10</f>
        <v>0</v>
      </c>
      <c r="L10" s="15"/>
      <c r="M10" s="16">
        <f t="shared" si="9"/>
        <v>0</v>
      </c>
      <c r="N10" s="16">
        <v>0</v>
      </c>
      <c r="O10" s="62" t="str">
        <f t="shared" si="10"/>
        <v>0</v>
      </c>
      <c r="P10" s="42" t="str">
        <f t="shared" si="11"/>
        <v>0</v>
      </c>
      <c r="Q10" s="43">
        <f t="shared" si="12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13"/>
        <v>0</v>
      </c>
      <c r="AC10" s="9">
        <f t="shared" si="14"/>
        <v>0</v>
      </c>
      <c r="AD10" s="10">
        <f t="shared" si="15"/>
        <v>0</v>
      </c>
      <c r="AE10" s="39">
        <f t="shared" si="7"/>
        <v>0.4913709822996023</v>
      </c>
      <c r="AF10" s="94">
        <f t="shared" si="16"/>
        <v>5</v>
      </c>
    </row>
    <row r="11" spans="1:32" ht="27" customHeight="1">
      <c r="A11" s="110">
        <v>6</v>
      </c>
      <c r="B11" s="11" t="s">
        <v>57</v>
      </c>
      <c r="C11" s="37" t="s">
        <v>158</v>
      </c>
      <c r="D11" s="55" t="s">
        <v>421</v>
      </c>
      <c r="E11" s="57" t="s">
        <v>870</v>
      </c>
      <c r="F11" s="12" t="s">
        <v>556</v>
      </c>
      <c r="G11" s="12">
        <v>1</v>
      </c>
      <c r="H11" s="13">
        <v>25</v>
      </c>
      <c r="I11" s="34">
        <v>1000</v>
      </c>
      <c r="J11" s="5">
        <v>365</v>
      </c>
      <c r="K11" s="15">
        <f>L11+520+365</f>
        <v>885</v>
      </c>
      <c r="L11" s="15"/>
      <c r="M11" s="16">
        <f t="shared" si="9"/>
        <v>0</v>
      </c>
      <c r="N11" s="16">
        <v>0</v>
      </c>
      <c r="O11" s="62" t="str">
        <f t="shared" si="10"/>
        <v>0</v>
      </c>
      <c r="P11" s="42" t="str">
        <f t="shared" si="11"/>
        <v>0</v>
      </c>
      <c r="Q11" s="43">
        <f t="shared" si="12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13"/>
        <v>0</v>
      </c>
      <c r="AC11" s="9">
        <f t="shared" si="14"/>
        <v>0</v>
      </c>
      <c r="AD11" s="10">
        <f t="shared" si="15"/>
        <v>0</v>
      </c>
      <c r="AE11" s="39">
        <f t="shared" si="7"/>
        <v>0.4913709822996023</v>
      </c>
      <c r="AF11" s="94">
        <f t="shared" si="16"/>
        <v>6</v>
      </c>
    </row>
    <row r="12" spans="1:32" ht="27" customHeight="1">
      <c r="A12" s="110">
        <v>7</v>
      </c>
      <c r="B12" s="11" t="s">
        <v>57</v>
      </c>
      <c r="C12" s="11" t="s">
        <v>909</v>
      </c>
      <c r="D12" s="55" t="s">
        <v>910</v>
      </c>
      <c r="E12" s="57" t="s">
        <v>911</v>
      </c>
      <c r="F12" s="12" t="s">
        <v>912</v>
      </c>
      <c r="G12" s="12">
        <v>1</v>
      </c>
      <c r="H12" s="13">
        <v>25</v>
      </c>
      <c r="I12" s="7">
        <v>20000</v>
      </c>
      <c r="J12" s="14">
        <v>4510</v>
      </c>
      <c r="K12" s="15">
        <f>L12+4801</f>
        <v>9304</v>
      </c>
      <c r="L12" s="15">
        <f>1961+2542</f>
        <v>4503</v>
      </c>
      <c r="M12" s="16">
        <f t="shared" si="9"/>
        <v>4503</v>
      </c>
      <c r="N12" s="16">
        <v>0</v>
      </c>
      <c r="O12" s="62">
        <f t="shared" si="10"/>
        <v>0</v>
      </c>
      <c r="P12" s="42">
        <f t="shared" si="11"/>
        <v>24</v>
      </c>
      <c r="Q12" s="43">
        <f t="shared" si="12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13"/>
        <v>0.99844789356984476</v>
      </c>
      <c r="AC12" s="9">
        <f t="shared" si="14"/>
        <v>1</v>
      </c>
      <c r="AD12" s="10">
        <f t="shared" si="15"/>
        <v>0.99844789356984476</v>
      </c>
      <c r="AE12" s="39">
        <f t="shared" si="7"/>
        <v>0.4913709822996023</v>
      </c>
      <c r="AF12" s="94">
        <f t="shared" si="16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124</v>
      </c>
      <c r="E13" s="57" t="s">
        <v>868</v>
      </c>
      <c r="F13" s="12" t="s">
        <v>869</v>
      </c>
      <c r="G13" s="12">
        <v>1</v>
      </c>
      <c r="H13" s="13">
        <v>25</v>
      </c>
      <c r="I13" s="7">
        <v>30000</v>
      </c>
      <c r="J13" s="14">
        <v>4815</v>
      </c>
      <c r="K13" s="15">
        <f>L13+3630+4496</f>
        <v>12941</v>
      </c>
      <c r="L13" s="15">
        <f>2042+2773</f>
        <v>4815</v>
      </c>
      <c r="M13" s="16">
        <f t="shared" si="9"/>
        <v>4815</v>
      </c>
      <c r="N13" s="16">
        <v>0</v>
      </c>
      <c r="O13" s="62">
        <f t="shared" si="10"/>
        <v>0</v>
      </c>
      <c r="P13" s="42">
        <f t="shared" si="11"/>
        <v>24</v>
      </c>
      <c r="Q13" s="43">
        <f t="shared" si="12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13"/>
        <v>1</v>
      </c>
      <c r="AC13" s="9">
        <f t="shared" si="14"/>
        <v>1</v>
      </c>
      <c r="AD13" s="10">
        <f t="shared" si="15"/>
        <v>1</v>
      </c>
      <c r="AE13" s="39">
        <f t="shared" si="7"/>
        <v>0.4913709822996023</v>
      </c>
      <c r="AF13" s="94">
        <f t="shared" si="16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946</v>
      </c>
      <c r="F14" s="33" t="s">
        <v>966</v>
      </c>
      <c r="G14" s="36">
        <v>1</v>
      </c>
      <c r="H14" s="38">
        <v>25</v>
      </c>
      <c r="I14" s="7">
        <v>300</v>
      </c>
      <c r="J14" s="5">
        <v>540</v>
      </c>
      <c r="K14" s="15">
        <f>L14</f>
        <v>539</v>
      </c>
      <c r="L14" s="15">
        <v>539</v>
      </c>
      <c r="M14" s="16">
        <f t="shared" si="9"/>
        <v>539</v>
      </c>
      <c r="N14" s="16">
        <v>0</v>
      </c>
      <c r="O14" s="62">
        <f t="shared" si="10"/>
        <v>0</v>
      </c>
      <c r="P14" s="42">
        <f t="shared" si="11"/>
        <v>6</v>
      </c>
      <c r="Q14" s="43">
        <f t="shared" si="12"/>
        <v>18</v>
      </c>
      <c r="R14" s="7"/>
      <c r="S14" s="6"/>
      <c r="T14" s="17"/>
      <c r="U14" s="17"/>
      <c r="V14" s="18"/>
      <c r="W14" s="19">
        <v>18</v>
      </c>
      <c r="X14" s="17"/>
      <c r="Y14" s="20"/>
      <c r="Z14" s="20"/>
      <c r="AA14" s="21"/>
      <c r="AB14" s="8">
        <f t="shared" si="13"/>
        <v>0.99814814814814812</v>
      </c>
      <c r="AC14" s="9">
        <f t="shared" si="14"/>
        <v>0.25</v>
      </c>
      <c r="AD14" s="10">
        <f t="shared" si="15"/>
        <v>0.24953703703703703</v>
      </c>
      <c r="AE14" s="39">
        <f t="shared" si="7"/>
        <v>0.4913709822996023</v>
      </c>
      <c r="AF14" s="94">
        <f t="shared" si="16"/>
        <v>9</v>
      </c>
    </row>
    <row r="15" spans="1:32" ht="27" customHeight="1">
      <c r="A15" s="109">
        <v>10</v>
      </c>
      <c r="B15" s="11" t="s">
        <v>57</v>
      </c>
      <c r="C15" s="11" t="s">
        <v>913</v>
      </c>
      <c r="D15" s="55" t="s">
        <v>914</v>
      </c>
      <c r="E15" s="57" t="s">
        <v>915</v>
      </c>
      <c r="F15" s="12">
        <v>8301</v>
      </c>
      <c r="G15" s="12" t="s">
        <v>908</v>
      </c>
      <c r="H15" s="13">
        <v>24</v>
      </c>
      <c r="I15" s="34">
        <v>1500</v>
      </c>
      <c r="J15" s="14">
        <v>720</v>
      </c>
      <c r="K15" s="15">
        <f>L15+2690</f>
        <v>3410</v>
      </c>
      <c r="L15" s="15">
        <v>720</v>
      </c>
      <c r="M15" s="16">
        <f t="shared" si="9"/>
        <v>720</v>
      </c>
      <c r="N15" s="16">
        <v>0</v>
      </c>
      <c r="O15" s="62">
        <f t="shared" si="10"/>
        <v>0</v>
      </c>
      <c r="P15" s="42">
        <f t="shared" si="11"/>
        <v>4</v>
      </c>
      <c r="Q15" s="43">
        <f t="shared" si="12"/>
        <v>20</v>
      </c>
      <c r="R15" s="7"/>
      <c r="S15" s="6"/>
      <c r="T15" s="17"/>
      <c r="U15" s="17"/>
      <c r="V15" s="18"/>
      <c r="W15" s="19">
        <v>20</v>
      </c>
      <c r="X15" s="17"/>
      <c r="Y15" s="20"/>
      <c r="Z15" s="20"/>
      <c r="AA15" s="21"/>
      <c r="AB15" s="8">
        <f t="shared" si="13"/>
        <v>1</v>
      </c>
      <c r="AC15" s="9">
        <f t="shared" si="14"/>
        <v>0.16666666666666666</v>
      </c>
      <c r="AD15" s="10">
        <f t="shared" si="15"/>
        <v>0.16666666666666666</v>
      </c>
      <c r="AE15" s="39">
        <f t="shared" si="7"/>
        <v>0.4913709822996023</v>
      </c>
      <c r="AF15" s="94">
        <f t="shared" si="16"/>
        <v>10</v>
      </c>
    </row>
    <row r="16" spans="1:32" ht="27" customHeight="1">
      <c r="A16" s="109">
        <v>10</v>
      </c>
      <c r="B16" s="11" t="s">
        <v>57</v>
      </c>
      <c r="C16" s="11" t="s">
        <v>913</v>
      </c>
      <c r="D16" s="55" t="s">
        <v>934</v>
      </c>
      <c r="E16" s="57" t="s">
        <v>967</v>
      </c>
      <c r="F16" s="12">
        <v>8301</v>
      </c>
      <c r="G16" s="12" t="s">
        <v>908</v>
      </c>
      <c r="H16" s="13">
        <v>24</v>
      </c>
      <c r="I16" s="34">
        <v>1500</v>
      </c>
      <c r="J16" s="14">
        <v>3380</v>
      </c>
      <c r="K16" s="15">
        <f>L16</f>
        <v>3380</v>
      </c>
      <c r="L16" s="15">
        <f>3380</f>
        <v>3380</v>
      </c>
      <c r="M16" s="16">
        <f t="shared" ref="M16:M17" si="17">L16-N16</f>
        <v>3380</v>
      </c>
      <c r="N16" s="16">
        <v>0</v>
      </c>
      <c r="O16" s="62">
        <f t="shared" ref="O16:O17" si="18">IF(L16=0,"0",N16/L16)</f>
        <v>0</v>
      </c>
      <c r="P16" s="42">
        <f t="shared" ref="P16:P17" si="19">IF(L16=0,"0",(24-Q16))</f>
        <v>17</v>
      </c>
      <c r="Q16" s="43">
        <f t="shared" ref="Q16:Q17" si="20">SUM(R16:AA16)</f>
        <v>7</v>
      </c>
      <c r="R16" s="7"/>
      <c r="S16" s="6"/>
      <c r="T16" s="17">
        <v>7</v>
      </c>
      <c r="U16" s="17"/>
      <c r="V16" s="18"/>
      <c r="W16" s="19"/>
      <c r="X16" s="17"/>
      <c r="Y16" s="20"/>
      <c r="Z16" s="20"/>
      <c r="AA16" s="21"/>
      <c r="AB16" s="8">
        <f t="shared" ref="AB16:AB17" si="21">IF(J16=0,"0",(L16/J16))</f>
        <v>1</v>
      </c>
      <c r="AC16" s="9">
        <f t="shared" ref="AC16:AC17" si="22">IF(P16=0,"0",(P16/24))</f>
        <v>0.70833333333333337</v>
      </c>
      <c r="AD16" s="10">
        <f t="shared" ref="AD16:AD17" si="23">AC16*AB16*(1-O16)</f>
        <v>0.70833333333333337</v>
      </c>
      <c r="AE16" s="39">
        <f t="shared" si="7"/>
        <v>0.4913709822996023</v>
      </c>
      <c r="AF16" s="94">
        <f t="shared" ref="AF16:AF17" si="24">A16</f>
        <v>10</v>
      </c>
    </row>
    <row r="17" spans="1:32" ht="27" customHeight="1">
      <c r="A17" s="109">
        <v>11</v>
      </c>
      <c r="B17" s="11" t="s">
        <v>57</v>
      </c>
      <c r="C17" s="37" t="s">
        <v>158</v>
      </c>
      <c r="D17" s="55" t="s">
        <v>551</v>
      </c>
      <c r="E17" s="57" t="s">
        <v>735</v>
      </c>
      <c r="F17" s="33" t="s">
        <v>759</v>
      </c>
      <c r="G17" s="36">
        <v>1</v>
      </c>
      <c r="H17" s="38">
        <v>25</v>
      </c>
      <c r="I17" s="7">
        <v>70000</v>
      </c>
      <c r="J17" s="5">
        <v>3360</v>
      </c>
      <c r="K17" s="15">
        <f>L17+2396+3204+5287+603</f>
        <v>14848</v>
      </c>
      <c r="L17" s="15">
        <f>3358</f>
        <v>3358</v>
      </c>
      <c r="M17" s="16">
        <f t="shared" si="17"/>
        <v>3358</v>
      </c>
      <c r="N17" s="16">
        <v>0</v>
      </c>
      <c r="O17" s="62">
        <f t="shared" si="18"/>
        <v>0</v>
      </c>
      <c r="P17" s="42">
        <f t="shared" si="19"/>
        <v>16</v>
      </c>
      <c r="Q17" s="43">
        <f t="shared" si="20"/>
        <v>8</v>
      </c>
      <c r="R17" s="7"/>
      <c r="S17" s="6">
        <v>8</v>
      </c>
      <c r="T17" s="17"/>
      <c r="U17" s="17"/>
      <c r="V17" s="18"/>
      <c r="W17" s="19"/>
      <c r="X17" s="17"/>
      <c r="Y17" s="20"/>
      <c r="Z17" s="20"/>
      <c r="AA17" s="21"/>
      <c r="AB17" s="8">
        <f t="shared" si="21"/>
        <v>0.99940476190476191</v>
      </c>
      <c r="AC17" s="9">
        <f t="shared" si="22"/>
        <v>0.66666666666666663</v>
      </c>
      <c r="AD17" s="10">
        <f t="shared" si="23"/>
        <v>0.66626984126984123</v>
      </c>
      <c r="AE17" s="39">
        <f t="shared" si="7"/>
        <v>0.4913709822996023</v>
      </c>
      <c r="AF17" s="94">
        <f t="shared" si="24"/>
        <v>11</v>
      </c>
    </row>
    <row r="18" spans="1:32" ht="27" customHeight="1">
      <c r="A18" s="109">
        <v>12</v>
      </c>
      <c r="B18" s="11" t="s">
        <v>57</v>
      </c>
      <c r="C18" s="37" t="s">
        <v>158</v>
      </c>
      <c r="D18" s="55" t="s">
        <v>421</v>
      </c>
      <c r="E18" s="57" t="s">
        <v>870</v>
      </c>
      <c r="F18" s="12" t="s">
        <v>556</v>
      </c>
      <c r="G18" s="12">
        <v>1</v>
      </c>
      <c r="H18" s="13">
        <v>25</v>
      </c>
      <c r="I18" s="34">
        <v>600</v>
      </c>
      <c r="J18" s="5">
        <v>520</v>
      </c>
      <c r="K18" s="15">
        <f>L18+520</f>
        <v>520</v>
      </c>
      <c r="L18" s="15"/>
      <c r="M18" s="16">
        <f t="shared" si="9"/>
        <v>0</v>
      </c>
      <c r="N18" s="16">
        <v>0</v>
      </c>
      <c r="O18" s="62" t="str">
        <f t="shared" si="10"/>
        <v>0</v>
      </c>
      <c r="P18" s="42" t="str">
        <f t="shared" si="11"/>
        <v>0</v>
      </c>
      <c r="Q18" s="43">
        <f t="shared" si="12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13"/>
        <v>0</v>
      </c>
      <c r="AC18" s="9">
        <f t="shared" si="14"/>
        <v>0</v>
      </c>
      <c r="AD18" s="10">
        <f t="shared" si="15"/>
        <v>0</v>
      </c>
      <c r="AE18" s="39">
        <f t="shared" si="7"/>
        <v>0.4913709822996023</v>
      </c>
      <c r="AF18" s="94">
        <f t="shared" si="16"/>
        <v>12</v>
      </c>
    </row>
    <row r="19" spans="1:32" ht="27" customHeight="1">
      <c r="A19" s="110">
        <v>13</v>
      </c>
      <c r="B19" s="11" t="s">
        <v>57</v>
      </c>
      <c r="C19" s="11" t="s">
        <v>114</v>
      </c>
      <c r="D19" s="55" t="s">
        <v>920</v>
      </c>
      <c r="E19" s="57" t="s">
        <v>921</v>
      </c>
      <c r="F19" s="12" t="s">
        <v>912</v>
      </c>
      <c r="G19" s="12">
        <v>1</v>
      </c>
      <c r="H19" s="13">
        <v>24</v>
      </c>
      <c r="I19" s="34">
        <v>3500</v>
      </c>
      <c r="J19" s="14">
        <v>2010</v>
      </c>
      <c r="K19" s="15">
        <f>L19+3878</f>
        <v>5888</v>
      </c>
      <c r="L19" s="15">
        <v>2010</v>
      </c>
      <c r="M19" s="16">
        <f t="shared" si="9"/>
        <v>2010</v>
      </c>
      <c r="N19" s="16">
        <v>0</v>
      </c>
      <c r="O19" s="62">
        <f t="shared" si="10"/>
        <v>0</v>
      </c>
      <c r="P19" s="42">
        <f t="shared" si="11"/>
        <v>9</v>
      </c>
      <c r="Q19" s="43">
        <f t="shared" si="12"/>
        <v>15</v>
      </c>
      <c r="R19" s="7"/>
      <c r="S19" s="6"/>
      <c r="T19" s="17"/>
      <c r="U19" s="17"/>
      <c r="V19" s="18"/>
      <c r="W19" s="19">
        <v>15</v>
      </c>
      <c r="X19" s="17"/>
      <c r="Y19" s="20"/>
      <c r="Z19" s="20"/>
      <c r="AA19" s="21"/>
      <c r="AB19" s="8">
        <f t="shared" si="13"/>
        <v>1</v>
      </c>
      <c r="AC19" s="9">
        <f t="shared" si="14"/>
        <v>0.375</v>
      </c>
      <c r="AD19" s="10">
        <f t="shared" si="15"/>
        <v>0.375</v>
      </c>
      <c r="AE19" s="39">
        <f t="shared" si="7"/>
        <v>0.4913709822996023</v>
      </c>
      <c r="AF19" s="94">
        <f t="shared" si="16"/>
        <v>13</v>
      </c>
    </row>
    <row r="20" spans="1:32" ht="27" customHeight="1">
      <c r="A20" s="110">
        <v>14</v>
      </c>
      <c r="B20" s="11" t="s">
        <v>57</v>
      </c>
      <c r="C20" s="11" t="s">
        <v>158</v>
      </c>
      <c r="D20" s="55" t="s">
        <v>124</v>
      </c>
      <c r="E20" s="57" t="s">
        <v>768</v>
      </c>
      <c r="F20" s="12" t="s">
        <v>210</v>
      </c>
      <c r="G20" s="12">
        <v>1</v>
      </c>
      <c r="H20" s="13">
        <v>25</v>
      </c>
      <c r="I20" s="7">
        <v>70000</v>
      </c>
      <c r="J20" s="14">
        <v>5740</v>
      </c>
      <c r="K20" s="15">
        <f>L20+3038+5379+5456+5365</f>
        <v>24971</v>
      </c>
      <c r="L20" s="15">
        <f>2593+3140</f>
        <v>5733</v>
      </c>
      <c r="M20" s="16">
        <f t="shared" si="9"/>
        <v>5733</v>
      </c>
      <c r="N20" s="16">
        <v>0</v>
      </c>
      <c r="O20" s="62">
        <f t="shared" si="10"/>
        <v>0</v>
      </c>
      <c r="P20" s="42">
        <f t="shared" si="11"/>
        <v>24</v>
      </c>
      <c r="Q20" s="43">
        <f t="shared" si="12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13"/>
        <v>0.99878048780487805</v>
      </c>
      <c r="AC20" s="9">
        <f t="shared" si="14"/>
        <v>1</v>
      </c>
      <c r="AD20" s="10">
        <f t="shared" si="15"/>
        <v>0.99878048780487805</v>
      </c>
      <c r="AE20" s="39">
        <f t="shared" si="7"/>
        <v>0.4913709822996023</v>
      </c>
      <c r="AF20" s="94">
        <f t="shared" si="16"/>
        <v>14</v>
      </c>
    </row>
    <row r="21" spans="1:32" ht="27" customHeight="1" thickBot="1">
      <c r="A21" s="110">
        <v>15</v>
      </c>
      <c r="B21" s="11" t="s">
        <v>57</v>
      </c>
      <c r="C21" s="11" t="s">
        <v>122</v>
      </c>
      <c r="D21" s="55"/>
      <c r="E21" s="56" t="s">
        <v>127</v>
      </c>
      <c r="F21" s="12" t="s">
        <v>123</v>
      </c>
      <c r="G21" s="12">
        <v>4</v>
      </c>
      <c r="H21" s="38">
        <v>20</v>
      </c>
      <c r="I21" s="7">
        <v>800000</v>
      </c>
      <c r="J21" s="14">
        <v>2230</v>
      </c>
      <c r="K21" s="15">
        <f>L21+29128+42972+45096+45728+43064+5640+29816+42972+44600+38336+6084+2224</f>
        <v>375660</v>
      </c>
      <c r="L21" s="15"/>
      <c r="M21" s="16">
        <f t="shared" si="9"/>
        <v>0</v>
      </c>
      <c r="N21" s="16">
        <v>0</v>
      </c>
      <c r="O21" s="62" t="str">
        <f t="shared" si="10"/>
        <v>0</v>
      </c>
      <c r="P21" s="42" t="str">
        <f t="shared" si="11"/>
        <v>0</v>
      </c>
      <c r="Q21" s="43">
        <f t="shared" si="12"/>
        <v>24</v>
      </c>
      <c r="R21" s="7"/>
      <c r="S21" s="6">
        <v>24</v>
      </c>
      <c r="T21" s="17"/>
      <c r="U21" s="17"/>
      <c r="V21" s="18"/>
      <c r="W21" s="19"/>
      <c r="X21" s="17"/>
      <c r="Y21" s="20"/>
      <c r="Z21" s="20"/>
      <c r="AA21" s="21"/>
      <c r="AB21" s="8">
        <f t="shared" si="13"/>
        <v>0</v>
      </c>
      <c r="AC21" s="9">
        <f t="shared" si="14"/>
        <v>0</v>
      </c>
      <c r="AD21" s="10">
        <f t="shared" si="15"/>
        <v>0</v>
      </c>
      <c r="AE21" s="39">
        <f t="shared" si="7"/>
        <v>0.4913709822996023</v>
      </c>
      <c r="AF21" s="94">
        <f t="shared" si="16"/>
        <v>15</v>
      </c>
    </row>
    <row r="22" spans="1:32" ht="31.5" customHeight="1" thickBot="1">
      <c r="A22" s="368" t="s">
        <v>34</v>
      </c>
      <c r="B22" s="369"/>
      <c r="C22" s="369"/>
      <c r="D22" s="369"/>
      <c r="E22" s="369"/>
      <c r="F22" s="369"/>
      <c r="G22" s="369"/>
      <c r="H22" s="370"/>
      <c r="I22" s="25">
        <f t="shared" ref="I22:N22" si="25">SUM(I6:I21)</f>
        <v>1472600</v>
      </c>
      <c r="J22" s="22">
        <f t="shared" si="25"/>
        <v>72186</v>
      </c>
      <c r="K22" s="23">
        <f t="shared" si="25"/>
        <v>524945</v>
      </c>
      <c r="L22" s="24">
        <f t="shared" si="25"/>
        <v>55860</v>
      </c>
      <c r="M22" s="23">
        <f t="shared" si="25"/>
        <v>55860</v>
      </c>
      <c r="N22" s="24">
        <f t="shared" si="25"/>
        <v>0</v>
      </c>
      <c r="O22" s="44">
        <f t="shared" si="10"/>
        <v>0</v>
      </c>
      <c r="P22" s="45">
        <f t="shared" ref="P22:AA22" si="26">SUM(P6:P21)</f>
        <v>177</v>
      </c>
      <c r="Q22" s="46">
        <f t="shared" si="26"/>
        <v>207</v>
      </c>
      <c r="R22" s="26">
        <f t="shared" si="26"/>
        <v>0</v>
      </c>
      <c r="S22" s="27">
        <f t="shared" si="26"/>
        <v>42</v>
      </c>
      <c r="T22" s="27">
        <f t="shared" si="26"/>
        <v>16</v>
      </c>
      <c r="U22" s="27">
        <f t="shared" si="26"/>
        <v>0</v>
      </c>
      <c r="V22" s="28">
        <f t="shared" si="26"/>
        <v>24</v>
      </c>
      <c r="W22" s="29">
        <f t="shared" si="26"/>
        <v>101</v>
      </c>
      <c r="X22" s="30">
        <f t="shared" si="26"/>
        <v>0</v>
      </c>
      <c r="Y22" s="30">
        <f t="shared" si="26"/>
        <v>0</v>
      </c>
      <c r="Z22" s="30">
        <f t="shared" si="26"/>
        <v>0</v>
      </c>
      <c r="AA22" s="30">
        <f t="shared" si="26"/>
        <v>24</v>
      </c>
      <c r="AB22" s="31">
        <f>SUM(AB6:AB21)/15</f>
        <v>0.7328996745196128</v>
      </c>
      <c r="AC22" s="4">
        <f>SUM(AC6:AC21)/15</f>
        <v>0.49166666666666675</v>
      </c>
      <c r="AD22" s="4">
        <f>SUM(AD6:AD21)/15</f>
        <v>0.4913709822996023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371" t="s">
        <v>45</v>
      </c>
      <c r="B49" s="371"/>
      <c r="C49" s="371"/>
      <c r="D49" s="371"/>
      <c r="E49" s="37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372" t="s">
        <v>968</v>
      </c>
      <c r="B50" s="373"/>
      <c r="C50" s="373"/>
      <c r="D50" s="373"/>
      <c r="E50" s="373"/>
      <c r="F50" s="373"/>
      <c r="G50" s="373"/>
      <c r="H50" s="373"/>
      <c r="I50" s="373"/>
      <c r="J50" s="373"/>
      <c r="K50" s="373"/>
      <c r="L50" s="373"/>
      <c r="M50" s="374"/>
      <c r="N50" s="375" t="s">
        <v>975</v>
      </c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7"/>
    </row>
    <row r="51" spans="1:32" ht="27" customHeight="1">
      <c r="A51" s="378" t="s">
        <v>2</v>
      </c>
      <c r="B51" s="379"/>
      <c r="C51" s="338" t="s">
        <v>46</v>
      </c>
      <c r="D51" s="338" t="s">
        <v>47</v>
      </c>
      <c r="E51" s="338" t="s">
        <v>108</v>
      </c>
      <c r="F51" s="379" t="s">
        <v>107</v>
      </c>
      <c r="G51" s="379"/>
      <c r="H51" s="379"/>
      <c r="I51" s="379"/>
      <c r="J51" s="379"/>
      <c r="K51" s="379"/>
      <c r="L51" s="379"/>
      <c r="M51" s="380"/>
      <c r="N51" s="73" t="s">
        <v>112</v>
      </c>
      <c r="O51" s="338" t="s">
        <v>46</v>
      </c>
      <c r="P51" s="381" t="s">
        <v>47</v>
      </c>
      <c r="Q51" s="382"/>
      <c r="R51" s="381" t="s">
        <v>38</v>
      </c>
      <c r="S51" s="383"/>
      <c r="T51" s="383"/>
      <c r="U51" s="382"/>
      <c r="V51" s="381" t="s">
        <v>48</v>
      </c>
      <c r="W51" s="383"/>
      <c r="X51" s="383"/>
      <c r="Y51" s="383"/>
      <c r="Z51" s="383"/>
      <c r="AA51" s="383"/>
      <c r="AB51" s="383"/>
      <c r="AC51" s="383"/>
      <c r="AD51" s="384"/>
    </row>
    <row r="52" spans="1:32" ht="27" customHeight="1">
      <c r="A52" s="395" t="s">
        <v>969</v>
      </c>
      <c r="B52" s="396"/>
      <c r="C52" s="335" t="s">
        <v>970</v>
      </c>
      <c r="D52" s="335" t="s">
        <v>925</v>
      </c>
      <c r="E52" s="335" t="s">
        <v>971</v>
      </c>
      <c r="F52" s="397" t="s">
        <v>929</v>
      </c>
      <c r="G52" s="397"/>
      <c r="H52" s="397"/>
      <c r="I52" s="397"/>
      <c r="J52" s="397"/>
      <c r="K52" s="397"/>
      <c r="L52" s="397"/>
      <c r="M52" s="398"/>
      <c r="N52" s="334" t="s">
        <v>833</v>
      </c>
      <c r="O52" s="74" t="s">
        <v>834</v>
      </c>
      <c r="P52" s="396"/>
      <c r="Q52" s="396"/>
      <c r="R52" s="396" t="s">
        <v>835</v>
      </c>
      <c r="S52" s="396"/>
      <c r="T52" s="396"/>
      <c r="U52" s="396"/>
      <c r="V52" s="397" t="s">
        <v>884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926</v>
      </c>
      <c r="B53" s="396"/>
      <c r="C53" s="335" t="s">
        <v>930</v>
      </c>
      <c r="D53" s="335" t="s">
        <v>910</v>
      </c>
      <c r="E53" s="335" t="s">
        <v>972</v>
      </c>
      <c r="F53" s="397" t="s">
        <v>874</v>
      </c>
      <c r="G53" s="397"/>
      <c r="H53" s="397"/>
      <c r="I53" s="397"/>
      <c r="J53" s="397"/>
      <c r="K53" s="397"/>
      <c r="L53" s="397"/>
      <c r="M53" s="398"/>
      <c r="N53" s="334" t="s">
        <v>943</v>
      </c>
      <c r="O53" s="74" t="s">
        <v>932</v>
      </c>
      <c r="P53" s="396" t="s">
        <v>976</v>
      </c>
      <c r="Q53" s="396"/>
      <c r="R53" s="396" t="s">
        <v>977</v>
      </c>
      <c r="S53" s="396"/>
      <c r="T53" s="396"/>
      <c r="U53" s="396"/>
      <c r="V53" s="397" t="s">
        <v>947</v>
      </c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 t="s">
        <v>973</v>
      </c>
      <c r="B54" s="396"/>
      <c r="C54" s="335" t="s">
        <v>950</v>
      </c>
      <c r="D54" s="335"/>
      <c r="E54" s="335" t="s">
        <v>940</v>
      </c>
      <c r="F54" s="397" t="s">
        <v>974</v>
      </c>
      <c r="G54" s="397"/>
      <c r="H54" s="397"/>
      <c r="I54" s="397"/>
      <c r="J54" s="397"/>
      <c r="K54" s="397"/>
      <c r="L54" s="397"/>
      <c r="M54" s="398"/>
      <c r="N54" s="334" t="s">
        <v>114</v>
      </c>
      <c r="O54" s="74" t="s">
        <v>978</v>
      </c>
      <c r="P54" s="396" t="s">
        <v>979</v>
      </c>
      <c r="Q54" s="396"/>
      <c r="R54" s="396" t="s">
        <v>980</v>
      </c>
      <c r="S54" s="396"/>
      <c r="T54" s="396"/>
      <c r="U54" s="396"/>
      <c r="V54" s="397" t="s">
        <v>947</v>
      </c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 t="s">
        <v>913</v>
      </c>
      <c r="B55" s="396"/>
      <c r="C55" s="335" t="s">
        <v>933</v>
      </c>
      <c r="D55" s="335" t="s">
        <v>934</v>
      </c>
      <c r="E55" s="335" t="s">
        <v>935</v>
      </c>
      <c r="F55" s="397" t="s">
        <v>929</v>
      </c>
      <c r="G55" s="397"/>
      <c r="H55" s="397"/>
      <c r="I55" s="397"/>
      <c r="J55" s="397"/>
      <c r="K55" s="397"/>
      <c r="L55" s="397"/>
      <c r="M55" s="398"/>
      <c r="N55" s="334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/>
      <c r="B56" s="396"/>
      <c r="C56" s="335"/>
      <c r="D56" s="335"/>
      <c r="E56" s="335"/>
      <c r="F56" s="397"/>
      <c r="G56" s="397"/>
      <c r="H56" s="397"/>
      <c r="I56" s="397"/>
      <c r="J56" s="397"/>
      <c r="K56" s="397"/>
      <c r="L56" s="397"/>
      <c r="M56" s="398"/>
      <c r="N56" s="334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/>
      <c r="B57" s="396"/>
      <c r="C57" s="335"/>
      <c r="D57" s="335"/>
      <c r="E57" s="335"/>
      <c r="F57" s="397"/>
      <c r="G57" s="397"/>
      <c r="H57" s="397"/>
      <c r="I57" s="397"/>
      <c r="J57" s="397"/>
      <c r="K57" s="397"/>
      <c r="L57" s="397"/>
      <c r="M57" s="398"/>
      <c r="N57" s="334"/>
      <c r="O57" s="74"/>
      <c r="P57" s="396"/>
      <c r="Q57" s="39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/>
      <c r="B58" s="396"/>
      <c r="C58" s="335"/>
      <c r="D58" s="335"/>
      <c r="E58" s="335"/>
      <c r="F58" s="397"/>
      <c r="G58" s="397"/>
      <c r="H58" s="397"/>
      <c r="I58" s="397"/>
      <c r="J58" s="397"/>
      <c r="K58" s="397"/>
      <c r="L58" s="397"/>
      <c r="M58" s="398"/>
      <c r="N58" s="334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335"/>
      <c r="D59" s="335"/>
      <c r="E59" s="335"/>
      <c r="F59" s="397"/>
      <c r="G59" s="397"/>
      <c r="H59" s="397"/>
      <c r="I59" s="397"/>
      <c r="J59" s="397"/>
      <c r="K59" s="397"/>
      <c r="L59" s="397"/>
      <c r="M59" s="398"/>
      <c r="N59" s="334"/>
      <c r="O59" s="74"/>
      <c r="P59" s="405"/>
      <c r="Q59" s="40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</row>
    <row r="60" spans="1:32" ht="27" customHeight="1">
      <c r="A60" s="395"/>
      <c r="B60" s="396"/>
      <c r="C60" s="335"/>
      <c r="D60" s="335"/>
      <c r="E60" s="335"/>
      <c r="F60" s="397"/>
      <c r="G60" s="397"/>
      <c r="H60" s="397"/>
      <c r="I60" s="397"/>
      <c r="J60" s="397"/>
      <c r="K60" s="397"/>
      <c r="L60" s="397"/>
      <c r="M60" s="398"/>
      <c r="N60" s="334"/>
      <c r="O60" s="74"/>
      <c r="P60" s="396"/>
      <c r="Q60" s="396"/>
      <c r="R60" s="396"/>
      <c r="S60" s="396"/>
      <c r="T60" s="396"/>
      <c r="U60" s="396"/>
      <c r="V60" s="397"/>
      <c r="W60" s="397"/>
      <c r="X60" s="397"/>
      <c r="Y60" s="397"/>
      <c r="Z60" s="397"/>
      <c r="AA60" s="397"/>
      <c r="AB60" s="397"/>
      <c r="AC60" s="397"/>
      <c r="AD60" s="398"/>
      <c r="AF60" s="94">
        <f>8*3000</f>
        <v>24000</v>
      </c>
    </row>
    <row r="61" spans="1:32" ht="27" customHeight="1" thickBot="1">
      <c r="A61" s="401"/>
      <c r="B61" s="402"/>
      <c r="C61" s="337"/>
      <c r="D61" s="337"/>
      <c r="E61" s="337"/>
      <c r="F61" s="403"/>
      <c r="G61" s="403"/>
      <c r="H61" s="403"/>
      <c r="I61" s="403"/>
      <c r="J61" s="403"/>
      <c r="K61" s="403"/>
      <c r="L61" s="403"/>
      <c r="M61" s="404"/>
      <c r="N61" s="336"/>
      <c r="O61" s="121"/>
      <c r="P61" s="402"/>
      <c r="Q61" s="402"/>
      <c r="R61" s="402"/>
      <c r="S61" s="402"/>
      <c r="T61" s="402"/>
      <c r="U61" s="402"/>
      <c r="V61" s="403"/>
      <c r="W61" s="403"/>
      <c r="X61" s="403"/>
      <c r="Y61" s="403"/>
      <c r="Z61" s="403"/>
      <c r="AA61" s="403"/>
      <c r="AB61" s="403"/>
      <c r="AC61" s="403"/>
      <c r="AD61" s="404"/>
      <c r="AF61" s="94">
        <f>16*3000</f>
        <v>48000</v>
      </c>
    </row>
    <row r="62" spans="1:32" ht="27.75" thickBot="1">
      <c r="A62" s="407" t="s">
        <v>981</v>
      </c>
      <c r="B62" s="407"/>
      <c r="C62" s="407"/>
      <c r="D62" s="407"/>
      <c r="E62" s="407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08" t="s">
        <v>113</v>
      </c>
      <c r="B63" s="409"/>
      <c r="C63" s="333" t="s">
        <v>2</v>
      </c>
      <c r="D63" s="333" t="s">
        <v>37</v>
      </c>
      <c r="E63" s="333" t="s">
        <v>3</v>
      </c>
      <c r="F63" s="409" t="s">
        <v>110</v>
      </c>
      <c r="G63" s="409"/>
      <c r="H63" s="409"/>
      <c r="I63" s="409"/>
      <c r="J63" s="409"/>
      <c r="K63" s="409" t="s">
        <v>39</v>
      </c>
      <c r="L63" s="409"/>
      <c r="M63" s="333" t="s">
        <v>40</v>
      </c>
      <c r="N63" s="409" t="s">
        <v>41</v>
      </c>
      <c r="O63" s="409"/>
      <c r="P63" s="410" t="s">
        <v>42</v>
      </c>
      <c r="Q63" s="411"/>
      <c r="R63" s="410" t="s">
        <v>43</v>
      </c>
      <c r="S63" s="412"/>
      <c r="T63" s="412"/>
      <c r="U63" s="412"/>
      <c r="V63" s="412"/>
      <c r="W63" s="412"/>
      <c r="X63" s="412"/>
      <c r="Y63" s="412"/>
      <c r="Z63" s="412"/>
      <c r="AA63" s="411"/>
      <c r="AB63" s="409" t="s">
        <v>44</v>
      </c>
      <c r="AC63" s="409"/>
      <c r="AD63" s="413"/>
      <c r="AF63" s="94">
        <f>SUM(AF60:AF62)</f>
        <v>96000</v>
      </c>
    </row>
    <row r="64" spans="1:32" ht="25.5" customHeight="1">
      <c r="A64" s="414">
        <v>1</v>
      </c>
      <c r="B64" s="415"/>
      <c r="C64" s="124" t="s">
        <v>963</v>
      </c>
      <c r="D64" s="329"/>
      <c r="E64" s="332" t="s">
        <v>982</v>
      </c>
      <c r="F64" s="416" t="s">
        <v>984</v>
      </c>
      <c r="G64" s="417"/>
      <c r="H64" s="417"/>
      <c r="I64" s="417"/>
      <c r="J64" s="417"/>
      <c r="K64" s="417" t="s">
        <v>985</v>
      </c>
      <c r="L64" s="417"/>
      <c r="M64" s="54" t="s">
        <v>958</v>
      </c>
      <c r="N64" s="417">
        <v>4</v>
      </c>
      <c r="O64" s="417"/>
      <c r="P64" s="418">
        <v>450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2</v>
      </c>
      <c r="B65" s="415"/>
      <c r="C65" s="124" t="s">
        <v>125</v>
      </c>
      <c r="D65" s="329"/>
      <c r="E65" s="332" t="s">
        <v>964</v>
      </c>
      <c r="F65" s="416" t="s">
        <v>986</v>
      </c>
      <c r="G65" s="417"/>
      <c r="H65" s="417"/>
      <c r="I65" s="417"/>
      <c r="J65" s="417"/>
      <c r="K65" s="417" t="s">
        <v>985</v>
      </c>
      <c r="L65" s="417"/>
      <c r="M65" s="54" t="s">
        <v>958</v>
      </c>
      <c r="N65" s="417">
        <v>5</v>
      </c>
      <c r="O65" s="417"/>
      <c r="P65" s="418">
        <v>800</v>
      </c>
      <c r="Q65" s="418"/>
      <c r="R65" s="397" t="s">
        <v>987</v>
      </c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3</v>
      </c>
      <c r="B66" s="415"/>
      <c r="C66" s="124" t="s">
        <v>125</v>
      </c>
      <c r="D66" s="329"/>
      <c r="E66" s="332" t="s">
        <v>945</v>
      </c>
      <c r="F66" s="416" t="s">
        <v>988</v>
      </c>
      <c r="G66" s="417"/>
      <c r="H66" s="417"/>
      <c r="I66" s="417"/>
      <c r="J66" s="417"/>
      <c r="K66" s="417" t="s">
        <v>989</v>
      </c>
      <c r="L66" s="417"/>
      <c r="M66" s="54" t="s">
        <v>958</v>
      </c>
      <c r="N66" s="417">
        <v>11</v>
      </c>
      <c r="O66" s="417"/>
      <c r="P66" s="418">
        <v>450</v>
      </c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4</v>
      </c>
      <c r="B67" s="415"/>
      <c r="C67" s="124"/>
      <c r="D67" s="329"/>
      <c r="E67" s="332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5</v>
      </c>
      <c r="B68" s="415"/>
      <c r="C68" s="124"/>
      <c r="D68" s="329"/>
      <c r="E68" s="332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6</v>
      </c>
      <c r="B69" s="415"/>
      <c r="C69" s="124"/>
      <c r="D69" s="329"/>
      <c r="E69" s="332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7</v>
      </c>
      <c r="B70" s="415"/>
      <c r="C70" s="124"/>
      <c r="D70" s="329"/>
      <c r="E70" s="332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5.5" customHeight="1">
      <c r="A71" s="414">
        <v>8</v>
      </c>
      <c r="B71" s="415"/>
      <c r="C71" s="124"/>
      <c r="D71" s="329"/>
      <c r="E71" s="332"/>
      <c r="F71" s="416"/>
      <c r="G71" s="417"/>
      <c r="H71" s="417"/>
      <c r="I71" s="417"/>
      <c r="J71" s="417"/>
      <c r="K71" s="417"/>
      <c r="L71" s="417"/>
      <c r="M71" s="54"/>
      <c r="N71" s="417"/>
      <c r="O71" s="417"/>
      <c r="P71" s="418"/>
      <c r="Q71" s="418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417"/>
      <c r="AC71" s="417"/>
      <c r="AD71" s="419"/>
      <c r="AF71" s="53"/>
    </row>
    <row r="72" spans="1:32" ht="26.25" customHeight="1" thickBot="1">
      <c r="A72" s="420" t="s">
        <v>990</v>
      </c>
      <c r="B72" s="420"/>
      <c r="C72" s="420"/>
      <c r="D72" s="420"/>
      <c r="E72" s="42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1" t="s">
        <v>113</v>
      </c>
      <c r="B73" s="422"/>
      <c r="C73" s="331" t="s">
        <v>2</v>
      </c>
      <c r="D73" s="331" t="s">
        <v>37</v>
      </c>
      <c r="E73" s="331" t="s">
        <v>3</v>
      </c>
      <c r="F73" s="422" t="s">
        <v>38</v>
      </c>
      <c r="G73" s="422"/>
      <c r="H73" s="422"/>
      <c r="I73" s="422"/>
      <c r="J73" s="422"/>
      <c r="K73" s="423" t="s">
        <v>58</v>
      </c>
      <c r="L73" s="424"/>
      <c r="M73" s="424"/>
      <c r="N73" s="424"/>
      <c r="O73" s="424"/>
      <c r="P73" s="424"/>
      <c r="Q73" s="424"/>
      <c r="R73" s="424"/>
      <c r="S73" s="425"/>
      <c r="T73" s="422" t="s">
        <v>49</v>
      </c>
      <c r="U73" s="422"/>
      <c r="V73" s="423" t="s">
        <v>50</v>
      </c>
      <c r="W73" s="425"/>
      <c r="X73" s="424" t="s">
        <v>51</v>
      </c>
      <c r="Y73" s="424"/>
      <c r="Z73" s="424"/>
      <c r="AA73" s="424"/>
      <c r="AB73" s="424"/>
      <c r="AC73" s="424"/>
      <c r="AD73" s="426"/>
      <c r="AF73" s="53"/>
    </row>
    <row r="74" spans="1:32" ht="33.75" customHeight="1">
      <c r="A74" s="435">
        <v>1</v>
      </c>
      <c r="B74" s="436"/>
      <c r="C74" s="330" t="s">
        <v>114</v>
      </c>
      <c r="D74" s="330"/>
      <c r="E74" s="71" t="s">
        <v>119</v>
      </c>
      <c r="F74" s="437" t="s">
        <v>120</v>
      </c>
      <c r="G74" s="438"/>
      <c r="H74" s="438"/>
      <c r="I74" s="438"/>
      <c r="J74" s="439"/>
      <c r="K74" s="440" t="s">
        <v>115</v>
      </c>
      <c r="L74" s="441"/>
      <c r="M74" s="441"/>
      <c r="N74" s="441"/>
      <c r="O74" s="441"/>
      <c r="P74" s="441"/>
      <c r="Q74" s="441"/>
      <c r="R74" s="441"/>
      <c r="S74" s="442"/>
      <c r="T74" s="443">
        <v>42901</v>
      </c>
      <c r="U74" s="444"/>
      <c r="V74" s="445"/>
      <c r="W74" s="445"/>
      <c r="X74" s="446"/>
      <c r="Y74" s="446"/>
      <c r="Z74" s="446"/>
      <c r="AA74" s="446"/>
      <c r="AB74" s="446"/>
      <c r="AC74" s="446"/>
      <c r="AD74" s="447"/>
      <c r="AF74" s="53"/>
    </row>
    <row r="75" spans="1:32" ht="30" customHeight="1">
      <c r="A75" s="427">
        <f>A74+1</f>
        <v>2</v>
      </c>
      <c r="B75" s="428"/>
      <c r="C75" s="329" t="s">
        <v>114</v>
      </c>
      <c r="D75" s="329"/>
      <c r="E75" s="35" t="s">
        <v>116</v>
      </c>
      <c r="F75" s="428" t="s">
        <v>117</v>
      </c>
      <c r="G75" s="428"/>
      <c r="H75" s="428"/>
      <c r="I75" s="428"/>
      <c r="J75" s="428"/>
      <c r="K75" s="429" t="s">
        <v>118</v>
      </c>
      <c r="L75" s="430"/>
      <c r="M75" s="430"/>
      <c r="N75" s="430"/>
      <c r="O75" s="430"/>
      <c r="P75" s="430"/>
      <c r="Q75" s="430"/>
      <c r="R75" s="430"/>
      <c r="S75" s="431"/>
      <c r="T75" s="432">
        <v>42867</v>
      </c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ref="A76:A82" si="27">A75+1</f>
        <v>3</v>
      </c>
      <c r="B76" s="428"/>
      <c r="C76" s="329"/>
      <c r="D76" s="329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27"/>
        <v>4</v>
      </c>
      <c r="B77" s="428"/>
      <c r="C77" s="329"/>
      <c r="D77" s="329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27"/>
        <v>5</v>
      </c>
      <c r="B78" s="428"/>
      <c r="C78" s="329"/>
      <c r="D78" s="329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27"/>
        <v>6</v>
      </c>
      <c r="B79" s="428"/>
      <c r="C79" s="329"/>
      <c r="D79" s="329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27"/>
        <v>7</v>
      </c>
      <c r="B80" s="428"/>
      <c r="C80" s="329"/>
      <c r="D80" s="329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27"/>
        <v>8</v>
      </c>
      <c r="B81" s="428"/>
      <c r="C81" s="329"/>
      <c r="D81" s="329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0" customHeight="1">
      <c r="A82" s="427">
        <f t="shared" si="27"/>
        <v>9</v>
      </c>
      <c r="B82" s="428"/>
      <c r="C82" s="329"/>
      <c r="D82" s="329"/>
      <c r="E82" s="35"/>
      <c r="F82" s="428"/>
      <c r="G82" s="428"/>
      <c r="H82" s="428"/>
      <c r="I82" s="428"/>
      <c r="J82" s="428"/>
      <c r="K82" s="429"/>
      <c r="L82" s="430"/>
      <c r="M82" s="430"/>
      <c r="N82" s="430"/>
      <c r="O82" s="430"/>
      <c r="P82" s="430"/>
      <c r="Q82" s="430"/>
      <c r="R82" s="430"/>
      <c r="S82" s="431"/>
      <c r="T82" s="432"/>
      <c r="U82" s="432"/>
      <c r="V82" s="432"/>
      <c r="W82" s="432"/>
      <c r="X82" s="433"/>
      <c r="Y82" s="433"/>
      <c r="Z82" s="433"/>
      <c r="AA82" s="433"/>
      <c r="AB82" s="433"/>
      <c r="AC82" s="433"/>
      <c r="AD82" s="434"/>
      <c r="AF82" s="53"/>
    </row>
    <row r="83" spans="1:32" ht="36" thickBot="1">
      <c r="A83" s="420" t="s">
        <v>991</v>
      </c>
      <c r="B83" s="420"/>
      <c r="C83" s="420"/>
      <c r="D83" s="420"/>
      <c r="E83" s="42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21" t="s">
        <v>113</v>
      </c>
      <c r="B84" s="422"/>
      <c r="C84" s="448" t="s">
        <v>52</v>
      </c>
      <c r="D84" s="448"/>
      <c r="E84" s="448" t="s">
        <v>53</v>
      </c>
      <c r="F84" s="448"/>
      <c r="G84" s="448"/>
      <c r="H84" s="448"/>
      <c r="I84" s="448"/>
      <c r="J84" s="448"/>
      <c r="K84" s="448" t="s">
        <v>54</v>
      </c>
      <c r="L84" s="448"/>
      <c r="M84" s="448"/>
      <c r="N84" s="448"/>
      <c r="O84" s="448"/>
      <c r="P84" s="448"/>
      <c r="Q84" s="448"/>
      <c r="R84" s="448"/>
      <c r="S84" s="448"/>
      <c r="T84" s="448" t="s">
        <v>55</v>
      </c>
      <c r="U84" s="448"/>
      <c r="V84" s="448" t="s">
        <v>56</v>
      </c>
      <c r="W84" s="448"/>
      <c r="X84" s="448"/>
      <c r="Y84" s="448" t="s">
        <v>51</v>
      </c>
      <c r="Z84" s="448"/>
      <c r="AA84" s="448"/>
      <c r="AB84" s="448"/>
      <c r="AC84" s="448"/>
      <c r="AD84" s="449"/>
      <c r="AF84" s="53"/>
    </row>
    <row r="85" spans="1:32" ht="30.75" customHeight="1">
      <c r="A85" s="435">
        <v>1</v>
      </c>
      <c r="B85" s="436"/>
      <c r="C85" s="450"/>
      <c r="D85" s="450"/>
      <c r="E85" s="450"/>
      <c r="F85" s="450"/>
      <c r="G85" s="450"/>
      <c r="H85" s="450"/>
      <c r="I85" s="450"/>
      <c r="J85" s="450"/>
      <c r="K85" s="450"/>
      <c r="L85" s="450"/>
      <c r="M85" s="450"/>
      <c r="N85" s="450"/>
      <c r="O85" s="450"/>
      <c r="P85" s="450"/>
      <c r="Q85" s="450"/>
      <c r="R85" s="450"/>
      <c r="S85" s="450"/>
      <c r="T85" s="450"/>
      <c r="U85" s="450"/>
      <c r="V85" s="451"/>
      <c r="W85" s="451"/>
      <c r="X85" s="451"/>
      <c r="Y85" s="452"/>
      <c r="Z85" s="452"/>
      <c r="AA85" s="452"/>
      <c r="AB85" s="452"/>
      <c r="AC85" s="452"/>
      <c r="AD85" s="453"/>
      <c r="AF85" s="53"/>
    </row>
    <row r="86" spans="1:32" ht="30.75" customHeight="1">
      <c r="A86" s="427">
        <v>2</v>
      </c>
      <c r="B86" s="428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2"/>
      <c r="U86" s="462"/>
      <c r="V86" s="463"/>
      <c r="W86" s="463"/>
      <c r="X86" s="463"/>
      <c r="Y86" s="454"/>
      <c r="Z86" s="454"/>
      <c r="AA86" s="454"/>
      <c r="AB86" s="454"/>
      <c r="AC86" s="454"/>
      <c r="AD86" s="455"/>
      <c r="AF86" s="53"/>
    </row>
    <row r="87" spans="1:32" ht="30.75" customHeight="1" thickBot="1">
      <c r="A87" s="456">
        <v>3</v>
      </c>
      <c r="B87" s="457"/>
      <c r="C87" s="458"/>
      <c r="D87" s="458"/>
      <c r="E87" s="458"/>
      <c r="F87" s="458"/>
      <c r="G87" s="458"/>
      <c r="H87" s="458"/>
      <c r="I87" s="458"/>
      <c r="J87" s="458"/>
      <c r="K87" s="458"/>
      <c r="L87" s="458"/>
      <c r="M87" s="458"/>
      <c r="N87" s="458"/>
      <c r="O87" s="458"/>
      <c r="P87" s="458"/>
      <c r="Q87" s="458"/>
      <c r="R87" s="458"/>
      <c r="S87" s="458"/>
      <c r="T87" s="458"/>
      <c r="U87" s="458"/>
      <c r="V87" s="458"/>
      <c r="W87" s="458"/>
      <c r="X87" s="458"/>
      <c r="Y87" s="459"/>
      <c r="Z87" s="459"/>
      <c r="AA87" s="459"/>
      <c r="AB87" s="459"/>
      <c r="AC87" s="459"/>
      <c r="AD87" s="460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8.12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2" width="13.5" style="53" bestFit="1" customWidth="1"/>
    <col min="13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19" width="9" style="53" bestFit="1" customWidth="1"/>
    <col min="20" max="20" width="6.5" style="53" bestFit="1" customWidth="1"/>
    <col min="21" max="21" width="6.75" style="53" bestFit="1" customWidth="1"/>
    <col min="22" max="23" width="9" style="53" bestFit="1" customWidth="1"/>
    <col min="24" max="24" width="7.125" style="53" bestFit="1" customWidth="1"/>
    <col min="25" max="26" width="6" style="53" bestFit="1" customWidth="1"/>
    <col min="27" max="27" width="6.5" style="53" bestFit="1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354" t="s">
        <v>992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354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355"/>
      <c r="B3" s="355"/>
      <c r="C3" s="355"/>
      <c r="D3" s="355"/>
      <c r="E3" s="355"/>
      <c r="F3" s="355"/>
      <c r="G3" s="35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356" t="s">
        <v>0</v>
      </c>
      <c r="B4" s="358" t="s">
        <v>1</v>
      </c>
      <c r="C4" s="358" t="s">
        <v>2</v>
      </c>
      <c r="D4" s="361" t="s">
        <v>3</v>
      </c>
      <c r="E4" s="363" t="s">
        <v>4</v>
      </c>
      <c r="F4" s="361" t="s">
        <v>5</v>
      </c>
      <c r="G4" s="358" t="s">
        <v>6</v>
      </c>
      <c r="H4" s="364" t="s">
        <v>7</v>
      </c>
      <c r="I4" s="385" t="s">
        <v>8</v>
      </c>
      <c r="J4" s="386"/>
      <c r="K4" s="386"/>
      <c r="L4" s="386"/>
      <c r="M4" s="386"/>
      <c r="N4" s="386"/>
      <c r="O4" s="387"/>
      <c r="P4" s="388" t="s">
        <v>9</v>
      </c>
      <c r="Q4" s="389"/>
      <c r="R4" s="390" t="s">
        <v>10</v>
      </c>
      <c r="S4" s="390"/>
      <c r="T4" s="390"/>
      <c r="U4" s="390"/>
      <c r="V4" s="390"/>
      <c r="W4" s="391" t="s">
        <v>11</v>
      </c>
      <c r="X4" s="390"/>
      <c r="Y4" s="390"/>
      <c r="Z4" s="390"/>
      <c r="AA4" s="392"/>
      <c r="AB4" s="393" t="s">
        <v>12</v>
      </c>
      <c r="AC4" s="366" t="s">
        <v>13</v>
      </c>
      <c r="AD4" s="366" t="s">
        <v>14</v>
      </c>
      <c r="AE4" s="58"/>
    </row>
    <row r="5" spans="1:32" ht="51" customHeight="1" thickBot="1">
      <c r="A5" s="357"/>
      <c r="B5" s="359"/>
      <c r="C5" s="360"/>
      <c r="D5" s="362"/>
      <c r="E5" s="362"/>
      <c r="F5" s="362"/>
      <c r="G5" s="359"/>
      <c r="H5" s="365"/>
      <c r="I5" s="59" t="s">
        <v>15</v>
      </c>
      <c r="J5" s="60" t="s">
        <v>16</v>
      </c>
      <c r="K5" s="340" t="s">
        <v>17</v>
      </c>
      <c r="L5" s="340" t="s">
        <v>18</v>
      </c>
      <c r="M5" s="340" t="s">
        <v>19</v>
      </c>
      <c r="N5" s="34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394"/>
      <c r="AC5" s="367"/>
      <c r="AD5" s="367"/>
      <c r="AE5" s="58"/>
    </row>
    <row r="6" spans="1:32" ht="27" customHeight="1">
      <c r="A6" s="108">
        <v>1</v>
      </c>
      <c r="B6" s="11" t="s">
        <v>57</v>
      </c>
      <c r="C6" s="37" t="s">
        <v>859</v>
      </c>
      <c r="D6" s="55"/>
      <c r="E6" s="57" t="s">
        <v>860</v>
      </c>
      <c r="F6" s="33" t="s">
        <v>861</v>
      </c>
      <c r="G6" s="12">
        <v>4</v>
      </c>
      <c r="H6" s="13">
        <v>25</v>
      </c>
      <c r="I6" s="34">
        <v>200000</v>
      </c>
      <c r="J6" s="5">
        <v>26000</v>
      </c>
      <c r="K6" s="15">
        <f>L6+12624+21196</f>
        <v>59816</v>
      </c>
      <c r="L6" s="15">
        <f>1124*4+5375*4</f>
        <v>25996</v>
      </c>
      <c r="M6" s="16">
        <f t="shared" ref="M6:M20" si="0">L6-N6</f>
        <v>25996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18</v>
      </c>
      <c r="Q6" s="43">
        <f t="shared" ref="Q6:Q20" si="3">SUM(R6:AA6)</f>
        <v>6</v>
      </c>
      <c r="R6" s="7"/>
      <c r="S6" s="6">
        <v>6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0.99984615384615383</v>
      </c>
      <c r="AC6" s="9">
        <f t="shared" ref="AC6:AC20" si="5">IF(P6=0,"0",(P6/24))</f>
        <v>0.75</v>
      </c>
      <c r="AD6" s="10">
        <f t="shared" ref="AD6:AD20" si="6">AC6*AB6*(1-O6)</f>
        <v>0.74988461538461537</v>
      </c>
      <c r="AE6" s="39">
        <f t="shared" ref="AE6:AE20" si="7">$AD$21</f>
        <v>0.48384434200776655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57</v>
      </c>
      <c r="C7" s="37" t="s">
        <v>859</v>
      </c>
      <c r="D7" s="55"/>
      <c r="E7" s="57" t="s">
        <v>860</v>
      </c>
      <c r="F7" s="33" t="s">
        <v>861</v>
      </c>
      <c r="G7" s="12">
        <v>4</v>
      </c>
      <c r="H7" s="13">
        <v>25</v>
      </c>
      <c r="I7" s="34">
        <v>200000</v>
      </c>
      <c r="J7" s="5">
        <v>12630</v>
      </c>
      <c r="K7" s="15">
        <f>L7+12624</f>
        <v>12624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>
        <v>24</v>
      </c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0.48384434200776655</v>
      </c>
      <c r="AF7" s="94">
        <f t="shared" si="8"/>
        <v>2</v>
      </c>
    </row>
    <row r="8" spans="1:32" ht="27" customHeight="1">
      <c r="A8" s="109">
        <v>3</v>
      </c>
      <c r="B8" s="11" t="s">
        <v>57</v>
      </c>
      <c r="C8" s="37" t="s">
        <v>802</v>
      </c>
      <c r="D8" s="55" t="s">
        <v>807</v>
      </c>
      <c r="E8" s="57" t="s">
        <v>738</v>
      </c>
      <c r="F8" s="33" t="s">
        <v>142</v>
      </c>
      <c r="G8" s="12">
        <v>1</v>
      </c>
      <c r="H8" s="13">
        <v>25</v>
      </c>
      <c r="I8" s="34">
        <v>70000</v>
      </c>
      <c r="J8" s="5">
        <v>5540</v>
      </c>
      <c r="K8" s="15">
        <f>L8+4540+6070+5939+6500</f>
        <v>28583</v>
      </c>
      <c r="L8" s="15">
        <f>2435+3099</f>
        <v>5534</v>
      </c>
      <c r="M8" s="16">
        <f t="shared" si="0"/>
        <v>5534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0.99891696750902526</v>
      </c>
      <c r="AC8" s="9">
        <f t="shared" si="5"/>
        <v>1</v>
      </c>
      <c r="AD8" s="10">
        <f t="shared" si="6"/>
        <v>0.99891696750902526</v>
      </c>
      <c r="AE8" s="39">
        <f t="shared" si="7"/>
        <v>0.48384434200776655</v>
      </c>
      <c r="AF8" s="94">
        <f t="shared" si="8"/>
        <v>3</v>
      </c>
    </row>
    <row r="9" spans="1:32" ht="27" customHeight="1">
      <c r="A9" s="110">
        <v>4</v>
      </c>
      <c r="B9" s="11" t="s">
        <v>57</v>
      </c>
      <c r="C9" s="37" t="s">
        <v>943</v>
      </c>
      <c r="D9" s="55" t="s">
        <v>910</v>
      </c>
      <c r="E9" s="57" t="s">
        <v>962</v>
      </c>
      <c r="F9" s="33" t="s">
        <v>912</v>
      </c>
      <c r="G9" s="36">
        <v>1</v>
      </c>
      <c r="H9" s="38">
        <v>25</v>
      </c>
      <c r="I9" s="7">
        <v>3000</v>
      </c>
      <c r="J9" s="5">
        <v>3110</v>
      </c>
      <c r="K9" s="15">
        <f>L9+3106</f>
        <v>3106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/>
      <c r="X9" s="17"/>
      <c r="Y9" s="20"/>
      <c r="Z9" s="20"/>
      <c r="AA9" s="21">
        <v>24</v>
      </c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0.48384434200776655</v>
      </c>
      <c r="AF9" s="94">
        <f t="shared" si="8"/>
        <v>4</v>
      </c>
    </row>
    <row r="10" spans="1:32" ht="27" customHeight="1">
      <c r="A10" s="110">
        <v>5</v>
      </c>
      <c r="B10" s="11" t="s">
        <v>57</v>
      </c>
      <c r="C10" s="37" t="s">
        <v>963</v>
      </c>
      <c r="D10" s="55" t="s">
        <v>964</v>
      </c>
      <c r="E10" s="57" t="s">
        <v>983</v>
      </c>
      <c r="F10" s="33" t="s">
        <v>965</v>
      </c>
      <c r="G10" s="36">
        <v>2</v>
      </c>
      <c r="H10" s="38">
        <v>25</v>
      </c>
      <c r="I10" s="7">
        <v>1200</v>
      </c>
      <c r="J10" s="5">
        <v>560</v>
      </c>
      <c r="K10" s="15">
        <f>L10</f>
        <v>0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/>
      <c r="X10" s="17"/>
      <c r="Y10" s="20"/>
      <c r="Z10" s="20"/>
      <c r="AA10" s="21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0.48384434200776655</v>
      </c>
      <c r="AF10" s="94">
        <f t="shared" si="8"/>
        <v>5</v>
      </c>
    </row>
    <row r="11" spans="1:32" ht="27" customHeight="1">
      <c r="A11" s="110">
        <v>6</v>
      </c>
      <c r="B11" s="11" t="s">
        <v>57</v>
      </c>
      <c r="C11" s="37" t="s">
        <v>114</v>
      </c>
      <c r="D11" s="55" t="s">
        <v>993</v>
      </c>
      <c r="E11" s="57" t="s">
        <v>994</v>
      </c>
      <c r="F11" s="12" t="s">
        <v>995</v>
      </c>
      <c r="G11" s="12">
        <v>1</v>
      </c>
      <c r="H11" s="13">
        <v>25</v>
      </c>
      <c r="I11" s="34">
        <v>3000</v>
      </c>
      <c r="J11" s="5">
        <v>3220</v>
      </c>
      <c r="K11" s="15">
        <f>L11</f>
        <v>3218</v>
      </c>
      <c r="L11" s="15">
        <f>957+2261</f>
        <v>3218</v>
      </c>
      <c r="M11" s="16">
        <f t="shared" si="0"/>
        <v>3218</v>
      </c>
      <c r="N11" s="16">
        <v>0</v>
      </c>
      <c r="O11" s="62">
        <f t="shared" si="1"/>
        <v>0</v>
      </c>
      <c r="P11" s="42">
        <f t="shared" si="2"/>
        <v>18</v>
      </c>
      <c r="Q11" s="43">
        <f t="shared" si="3"/>
        <v>6</v>
      </c>
      <c r="R11" s="7"/>
      <c r="S11" s="6"/>
      <c r="T11" s="17">
        <v>6</v>
      </c>
      <c r="U11" s="17"/>
      <c r="V11" s="18"/>
      <c r="W11" s="19"/>
      <c r="X11" s="17"/>
      <c r="Y11" s="20"/>
      <c r="Z11" s="20"/>
      <c r="AA11" s="21"/>
      <c r="AB11" s="8">
        <f t="shared" si="4"/>
        <v>0.99937888198757763</v>
      </c>
      <c r="AC11" s="9">
        <f t="shared" si="5"/>
        <v>0.75</v>
      </c>
      <c r="AD11" s="10">
        <f t="shared" si="6"/>
        <v>0.74953416149068319</v>
      </c>
      <c r="AE11" s="39">
        <f t="shared" si="7"/>
        <v>0.48384434200776655</v>
      </c>
      <c r="AF11" s="94">
        <f t="shared" si="8"/>
        <v>6</v>
      </c>
    </row>
    <row r="12" spans="1:32" ht="27" customHeight="1">
      <c r="A12" s="110">
        <v>7</v>
      </c>
      <c r="B12" s="11" t="s">
        <v>57</v>
      </c>
      <c r="C12" s="11" t="s">
        <v>909</v>
      </c>
      <c r="D12" s="55" t="s">
        <v>910</v>
      </c>
      <c r="E12" s="57" t="s">
        <v>911</v>
      </c>
      <c r="F12" s="12" t="s">
        <v>912</v>
      </c>
      <c r="G12" s="12">
        <v>1</v>
      </c>
      <c r="H12" s="13">
        <v>25</v>
      </c>
      <c r="I12" s="7">
        <v>30000</v>
      </c>
      <c r="J12" s="14">
        <v>4890</v>
      </c>
      <c r="K12" s="15">
        <f>L12+4801+4503</f>
        <v>14190</v>
      </c>
      <c r="L12" s="15">
        <f>2265+2621</f>
        <v>4886</v>
      </c>
      <c r="M12" s="16">
        <f t="shared" si="0"/>
        <v>4886</v>
      </c>
      <c r="N12" s="16">
        <v>0</v>
      </c>
      <c r="O12" s="62">
        <f t="shared" si="1"/>
        <v>0</v>
      </c>
      <c r="P12" s="42">
        <f t="shared" si="2"/>
        <v>24</v>
      </c>
      <c r="Q12" s="43">
        <f t="shared" si="3"/>
        <v>0</v>
      </c>
      <c r="R12" s="7"/>
      <c r="S12" s="6"/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0.99918200408997959</v>
      </c>
      <c r="AC12" s="9">
        <f t="shared" si="5"/>
        <v>1</v>
      </c>
      <c r="AD12" s="10">
        <f t="shared" si="6"/>
        <v>0.99918200408997959</v>
      </c>
      <c r="AE12" s="39">
        <f t="shared" si="7"/>
        <v>0.48384434200776655</v>
      </c>
      <c r="AF12" s="94">
        <f t="shared" si="8"/>
        <v>7</v>
      </c>
    </row>
    <row r="13" spans="1:32" ht="27" customHeight="1">
      <c r="A13" s="110">
        <v>8</v>
      </c>
      <c r="B13" s="11" t="s">
        <v>57</v>
      </c>
      <c r="C13" s="11" t="s">
        <v>121</v>
      </c>
      <c r="D13" s="55" t="s">
        <v>124</v>
      </c>
      <c r="E13" s="57" t="s">
        <v>868</v>
      </c>
      <c r="F13" s="12" t="s">
        <v>869</v>
      </c>
      <c r="G13" s="12">
        <v>1</v>
      </c>
      <c r="H13" s="13">
        <v>25</v>
      </c>
      <c r="I13" s="7">
        <v>30000</v>
      </c>
      <c r="J13" s="14">
        <v>1910</v>
      </c>
      <c r="K13" s="15">
        <f>L13+3630+4496+4815</f>
        <v>14849</v>
      </c>
      <c r="L13" s="15">
        <v>1908</v>
      </c>
      <c r="M13" s="16">
        <f t="shared" si="0"/>
        <v>1908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>
        <v>14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0.99895287958115186</v>
      </c>
      <c r="AC13" s="9">
        <f t="shared" si="5"/>
        <v>0.41666666666666669</v>
      </c>
      <c r="AD13" s="10">
        <f t="shared" si="6"/>
        <v>0.41623036649214662</v>
      </c>
      <c r="AE13" s="39">
        <f t="shared" si="7"/>
        <v>0.48384434200776655</v>
      </c>
      <c r="AF13" s="94">
        <f t="shared" si="8"/>
        <v>8</v>
      </c>
    </row>
    <row r="14" spans="1:32" ht="27" customHeight="1">
      <c r="A14" s="109">
        <v>9</v>
      </c>
      <c r="B14" s="11" t="s">
        <v>57</v>
      </c>
      <c r="C14" s="37" t="s">
        <v>114</v>
      </c>
      <c r="D14" s="55" t="s">
        <v>124</v>
      </c>
      <c r="E14" s="57" t="s">
        <v>946</v>
      </c>
      <c r="F14" s="33" t="s">
        <v>966</v>
      </c>
      <c r="G14" s="36">
        <v>1</v>
      </c>
      <c r="H14" s="38">
        <v>25</v>
      </c>
      <c r="I14" s="7">
        <v>300</v>
      </c>
      <c r="J14" s="5">
        <v>540</v>
      </c>
      <c r="K14" s="15">
        <f>L14+539</f>
        <v>539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0.48384434200776655</v>
      </c>
      <c r="AF14" s="94">
        <f t="shared" si="8"/>
        <v>9</v>
      </c>
    </row>
    <row r="15" spans="1:32" ht="27" customHeight="1">
      <c r="A15" s="109">
        <v>10</v>
      </c>
      <c r="B15" s="11" t="s">
        <v>57</v>
      </c>
      <c r="C15" s="11" t="s">
        <v>913</v>
      </c>
      <c r="D15" s="55" t="s">
        <v>934</v>
      </c>
      <c r="E15" s="57" t="s">
        <v>967</v>
      </c>
      <c r="F15" s="12">
        <v>8301</v>
      </c>
      <c r="G15" s="12" t="s">
        <v>908</v>
      </c>
      <c r="H15" s="13">
        <v>24</v>
      </c>
      <c r="I15" s="34">
        <v>1500</v>
      </c>
      <c r="J15" s="14">
        <v>1910</v>
      </c>
      <c r="K15" s="15">
        <f>L15+3380</f>
        <v>5288</v>
      </c>
      <c r="L15" s="15">
        <v>1908</v>
      </c>
      <c r="M15" s="16">
        <f t="shared" si="0"/>
        <v>1908</v>
      </c>
      <c r="N15" s="16">
        <v>0</v>
      </c>
      <c r="O15" s="62">
        <f t="shared" si="1"/>
        <v>0</v>
      </c>
      <c r="P15" s="42">
        <f t="shared" si="2"/>
        <v>12</v>
      </c>
      <c r="Q15" s="43">
        <f t="shared" si="3"/>
        <v>12</v>
      </c>
      <c r="R15" s="7"/>
      <c r="S15" s="6"/>
      <c r="T15" s="17"/>
      <c r="U15" s="17"/>
      <c r="V15" s="18"/>
      <c r="W15" s="19">
        <v>12</v>
      </c>
      <c r="X15" s="17"/>
      <c r="Y15" s="20"/>
      <c r="Z15" s="20"/>
      <c r="AA15" s="21"/>
      <c r="AB15" s="8">
        <f t="shared" si="4"/>
        <v>0.99895287958115186</v>
      </c>
      <c r="AC15" s="9">
        <f t="shared" si="5"/>
        <v>0.5</v>
      </c>
      <c r="AD15" s="10">
        <f t="shared" si="6"/>
        <v>0.49947643979057593</v>
      </c>
      <c r="AE15" s="39">
        <f t="shared" si="7"/>
        <v>0.48384434200776655</v>
      </c>
      <c r="AF15" s="94">
        <f t="shared" si="8"/>
        <v>10</v>
      </c>
    </row>
    <row r="16" spans="1:32" ht="27" customHeight="1">
      <c r="A16" s="109">
        <v>11</v>
      </c>
      <c r="B16" s="11" t="s">
        <v>57</v>
      </c>
      <c r="C16" s="37" t="s">
        <v>158</v>
      </c>
      <c r="D16" s="55" t="s">
        <v>551</v>
      </c>
      <c r="E16" s="57" t="s">
        <v>735</v>
      </c>
      <c r="F16" s="33" t="s">
        <v>759</v>
      </c>
      <c r="G16" s="36">
        <v>1</v>
      </c>
      <c r="H16" s="38">
        <v>25</v>
      </c>
      <c r="I16" s="7">
        <v>70000</v>
      </c>
      <c r="J16" s="5">
        <v>5710</v>
      </c>
      <c r="K16" s="15">
        <f>L16+2396+3204+5287+603+3358</f>
        <v>20551</v>
      </c>
      <c r="L16" s="15">
        <f>2523+3180</f>
        <v>5703</v>
      </c>
      <c r="M16" s="16">
        <f t="shared" si="0"/>
        <v>5703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0.99877408056042027</v>
      </c>
      <c r="AC16" s="9">
        <f t="shared" si="5"/>
        <v>1</v>
      </c>
      <c r="AD16" s="10">
        <f t="shared" si="6"/>
        <v>0.99877408056042027</v>
      </c>
      <c r="AE16" s="39">
        <f t="shared" si="7"/>
        <v>0.48384434200776655</v>
      </c>
      <c r="AF16" s="94">
        <f t="shared" si="8"/>
        <v>11</v>
      </c>
    </row>
    <row r="17" spans="1:32" ht="27" customHeight="1">
      <c r="A17" s="109">
        <v>12</v>
      </c>
      <c r="B17" s="11" t="s">
        <v>57</v>
      </c>
      <c r="C17" s="37" t="s">
        <v>158</v>
      </c>
      <c r="D17" s="55" t="s">
        <v>421</v>
      </c>
      <c r="E17" s="57" t="s">
        <v>870</v>
      </c>
      <c r="F17" s="12" t="s">
        <v>556</v>
      </c>
      <c r="G17" s="12">
        <v>1</v>
      </c>
      <c r="H17" s="13">
        <v>25</v>
      </c>
      <c r="I17" s="34">
        <v>600</v>
      </c>
      <c r="J17" s="5">
        <v>520</v>
      </c>
      <c r="K17" s="15">
        <f>L17+520</f>
        <v>520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0.48384434200776655</v>
      </c>
      <c r="AF17" s="94">
        <f t="shared" si="8"/>
        <v>12</v>
      </c>
    </row>
    <row r="18" spans="1:32" ht="27" customHeight="1">
      <c r="A18" s="110">
        <v>13</v>
      </c>
      <c r="B18" s="11" t="s">
        <v>57</v>
      </c>
      <c r="C18" s="11" t="s">
        <v>114</v>
      </c>
      <c r="D18" s="55" t="s">
        <v>124</v>
      </c>
      <c r="E18" s="57" t="s">
        <v>996</v>
      </c>
      <c r="F18" s="12" t="s">
        <v>912</v>
      </c>
      <c r="G18" s="12">
        <v>1</v>
      </c>
      <c r="H18" s="13">
        <v>24</v>
      </c>
      <c r="I18" s="34">
        <v>3000</v>
      </c>
      <c r="J18" s="14">
        <v>3340</v>
      </c>
      <c r="K18" s="15">
        <f>L18</f>
        <v>3391</v>
      </c>
      <c r="L18" s="15">
        <f>1927+1464</f>
        <v>3391</v>
      </c>
      <c r="M18" s="16">
        <f t="shared" si="0"/>
        <v>3391</v>
      </c>
      <c r="N18" s="16">
        <v>0</v>
      </c>
      <c r="O18" s="62">
        <f t="shared" si="1"/>
        <v>0</v>
      </c>
      <c r="P18" s="42">
        <f t="shared" si="2"/>
        <v>20</v>
      </c>
      <c r="Q18" s="43">
        <f t="shared" si="3"/>
        <v>4</v>
      </c>
      <c r="R18" s="7"/>
      <c r="S18" s="6"/>
      <c r="T18" s="17"/>
      <c r="U18" s="17"/>
      <c r="V18" s="18"/>
      <c r="W18" s="19">
        <v>4</v>
      </c>
      <c r="X18" s="17"/>
      <c r="Y18" s="20"/>
      <c r="Z18" s="20"/>
      <c r="AA18" s="21"/>
      <c r="AB18" s="8">
        <f t="shared" si="4"/>
        <v>1.0152694610778443</v>
      </c>
      <c r="AC18" s="9">
        <f t="shared" si="5"/>
        <v>0.83333333333333337</v>
      </c>
      <c r="AD18" s="10">
        <f t="shared" si="6"/>
        <v>0.84605788423153694</v>
      </c>
      <c r="AE18" s="39">
        <f t="shared" si="7"/>
        <v>0.48384434200776655</v>
      </c>
      <c r="AF18" s="94">
        <f t="shared" si="8"/>
        <v>13</v>
      </c>
    </row>
    <row r="19" spans="1:32" ht="27" customHeight="1">
      <c r="A19" s="110">
        <v>14</v>
      </c>
      <c r="B19" s="11" t="s">
        <v>57</v>
      </c>
      <c r="C19" s="11" t="s">
        <v>158</v>
      </c>
      <c r="D19" s="55" t="s">
        <v>124</v>
      </c>
      <c r="E19" s="57" t="s">
        <v>768</v>
      </c>
      <c r="F19" s="12" t="s">
        <v>210</v>
      </c>
      <c r="G19" s="12">
        <v>1</v>
      </c>
      <c r="H19" s="13">
        <v>25</v>
      </c>
      <c r="I19" s="7">
        <v>70000</v>
      </c>
      <c r="J19" s="14">
        <v>5110</v>
      </c>
      <c r="K19" s="15">
        <f>L19+3038+5379+5456+5365+5733</f>
        <v>30079</v>
      </c>
      <c r="L19" s="15">
        <f>2294+2814</f>
        <v>5108</v>
      </c>
      <c r="M19" s="16">
        <f t="shared" si="0"/>
        <v>5108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0.99960861056751471</v>
      </c>
      <c r="AC19" s="9">
        <f t="shared" si="5"/>
        <v>1</v>
      </c>
      <c r="AD19" s="10">
        <f t="shared" si="6"/>
        <v>0.99960861056751471</v>
      </c>
      <c r="AE19" s="39">
        <f t="shared" si="7"/>
        <v>0.48384434200776655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57</v>
      </c>
      <c r="C20" s="11" t="s">
        <v>122</v>
      </c>
      <c r="D20" s="55"/>
      <c r="E20" s="56" t="s">
        <v>127</v>
      </c>
      <c r="F20" s="12" t="s">
        <v>123</v>
      </c>
      <c r="G20" s="12">
        <v>4</v>
      </c>
      <c r="H20" s="38">
        <v>20</v>
      </c>
      <c r="I20" s="7">
        <v>800000</v>
      </c>
      <c r="J20" s="14">
        <v>2230</v>
      </c>
      <c r="K20" s="15">
        <f>L20+29128+42972+45096+45728+43064+5640+29816+42972+44600+38336+6084+2224</f>
        <v>375660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0.48384434200776655</v>
      </c>
      <c r="AF20" s="94">
        <f t="shared" si="8"/>
        <v>15</v>
      </c>
    </row>
    <row r="21" spans="1:32" ht="31.5" customHeight="1" thickBot="1">
      <c r="A21" s="368" t="s">
        <v>34</v>
      </c>
      <c r="B21" s="369"/>
      <c r="C21" s="369"/>
      <c r="D21" s="369"/>
      <c r="E21" s="369"/>
      <c r="F21" s="369"/>
      <c r="G21" s="369"/>
      <c r="H21" s="370"/>
      <c r="I21" s="25">
        <f t="shared" ref="I21:N21" si="9">SUM(I6:I20)</f>
        <v>1482600</v>
      </c>
      <c r="J21" s="22">
        <f t="shared" si="9"/>
        <v>77220</v>
      </c>
      <c r="K21" s="23">
        <f t="shared" si="9"/>
        <v>572414</v>
      </c>
      <c r="L21" s="24">
        <f t="shared" si="9"/>
        <v>57652</v>
      </c>
      <c r="M21" s="23">
        <f t="shared" si="9"/>
        <v>57652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174</v>
      </c>
      <c r="Q21" s="46">
        <f t="shared" si="10"/>
        <v>186</v>
      </c>
      <c r="R21" s="26">
        <f t="shared" si="10"/>
        <v>0</v>
      </c>
      <c r="S21" s="27">
        <f t="shared" si="10"/>
        <v>44</v>
      </c>
      <c r="T21" s="27">
        <f t="shared" si="10"/>
        <v>6</v>
      </c>
      <c r="U21" s="27">
        <f t="shared" si="10"/>
        <v>0</v>
      </c>
      <c r="V21" s="28">
        <f t="shared" si="10"/>
        <v>24</v>
      </c>
      <c r="W21" s="29">
        <f t="shared" si="10"/>
        <v>64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48</v>
      </c>
      <c r="AB21" s="31">
        <f>SUM(AB6:AB20)/15</f>
        <v>0.60059212792005456</v>
      </c>
      <c r="AC21" s="4">
        <f>SUM(AC6:AC20)/15</f>
        <v>0.48333333333333328</v>
      </c>
      <c r="AD21" s="4">
        <f>SUM(AD6:AD20)/15</f>
        <v>0.48384434200776655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371" t="s">
        <v>45</v>
      </c>
      <c r="B48" s="371"/>
      <c r="C48" s="371"/>
      <c r="D48" s="371"/>
      <c r="E48" s="371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372" t="s">
        <v>997</v>
      </c>
      <c r="B49" s="373"/>
      <c r="C49" s="373"/>
      <c r="D49" s="373"/>
      <c r="E49" s="373"/>
      <c r="F49" s="373"/>
      <c r="G49" s="373"/>
      <c r="H49" s="373"/>
      <c r="I49" s="373"/>
      <c r="J49" s="373"/>
      <c r="K49" s="373"/>
      <c r="L49" s="373"/>
      <c r="M49" s="374"/>
      <c r="N49" s="375" t="s">
        <v>1006</v>
      </c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7"/>
    </row>
    <row r="50" spans="1:32" ht="27" customHeight="1">
      <c r="A50" s="378" t="s">
        <v>2</v>
      </c>
      <c r="B50" s="379"/>
      <c r="C50" s="341" t="s">
        <v>46</v>
      </c>
      <c r="D50" s="341" t="s">
        <v>47</v>
      </c>
      <c r="E50" s="341" t="s">
        <v>108</v>
      </c>
      <c r="F50" s="379" t="s">
        <v>107</v>
      </c>
      <c r="G50" s="379"/>
      <c r="H50" s="379"/>
      <c r="I50" s="379"/>
      <c r="J50" s="379"/>
      <c r="K50" s="379"/>
      <c r="L50" s="379"/>
      <c r="M50" s="380"/>
      <c r="N50" s="73" t="s">
        <v>112</v>
      </c>
      <c r="O50" s="341" t="s">
        <v>46</v>
      </c>
      <c r="P50" s="381" t="s">
        <v>47</v>
      </c>
      <c r="Q50" s="382"/>
      <c r="R50" s="381" t="s">
        <v>38</v>
      </c>
      <c r="S50" s="383"/>
      <c r="T50" s="383"/>
      <c r="U50" s="382"/>
      <c r="V50" s="381" t="s">
        <v>48</v>
      </c>
      <c r="W50" s="383"/>
      <c r="X50" s="383"/>
      <c r="Y50" s="383"/>
      <c r="Z50" s="383"/>
      <c r="AA50" s="383"/>
      <c r="AB50" s="383"/>
      <c r="AC50" s="383"/>
      <c r="AD50" s="384"/>
    </row>
    <row r="51" spans="1:32" ht="27" customHeight="1">
      <c r="A51" s="395" t="s">
        <v>1001</v>
      </c>
      <c r="B51" s="396"/>
      <c r="C51" s="343" t="s">
        <v>1002</v>
      </c>
      <c r="D51" s="343" t="s">
        <v>1003</v>
      </c>
      <c r="E51" s="343" t="s">
        <v>1004</v>
      </c>
      <c r="F51" s="397" t="s">
        <v>133</v>
      </c>
      <c r="G51" s="397"/>
      <c r="H51" s="397"/>
      <c r="I51" s="397"/>
      <c r="J51" s="397"/>
      <c r="K51" s="397"/>
      <c r="L51" s="397"/>
      <c r="M51" s="398"/>
      <c r="N51" s="342" t="s">
        <v>1007</v>
      </c>
      <c r="O51" s="74" t="s">
        <v>1008</v>
      </c>
      <c r="P51" s="396" t="s">
        <v>1009</v>
      </c>
      <c r="Q51" s="396"/>
      <c r="R51" s="396" t="s">
        <v>1010</v>
      </c>
      <c r="S51" s="396"/>
      <c r="T51" s="396"/>
      <c r="U51" s="396"/>
      <c r="V51" s="397" t="s">
        <v>1011</v>
      </c>
      <c r="W51" s="397"/>
      <c r="X51" s="397"/>
      <c r="Y51" s="397"/>
      <c r="Z51" s="397"/>
      <c r="AA51" s="397"/>
      <c r="AB51" s="397"/>
      <c r="AC51" s="397"/>
      <c r="AD51" s="398"/>
    </row>
    <row r="52" spans="1:32" ht="27" customHeight="1">
      <c r="A52" s="395" t="s">
        <v>926</v>
      </c>
      <c r="B52" s="396"/>
      <c r="C52" s="343" t="s">
        <v>998</v>
      </c>
      <c r="D52" s="343" t="s">
        <v>999</v>
      </c>
      <c r="E52" s="343" t="s">
        <v>1000</v>
      </c>
      <c r="F52" s="397" t="s">
        <v>874</v>
      </c>
      <c r="G52" s="397"/>
      <c r="H52" s="397"/>
      <c r="I52" s="397"/>
      <c r="J52" s="397"/>
      <c r="K52" s="397"/>
      <c r="L52" s="397"/>
      <c r="M52" s="398"/>
      <c r="N52" s="342" t="s">
        <v>1012</v>
      </c>
      <c r="O52" s="74" t="s">
        <v>1013</v>
      </c>
      <c r="P52" s="396" t="s">
        <v>1014</v>
      </c>
      <c r="Q52" s="396"/>
      <c r="R52" s="396" t="s">
        <v>1015</v>
      </c>
      <c r="S52" s="396"/>
      <c r="T52" s="396"/>
      <c r="U52" s="396"/>
      <c r="V52" s="397" t="s">
        <v>1011</v>
      </c>
      <c r="W52" s="397"/>
      <c r="X52" s="397"/>
      <c r="Y52" s="397"/>
      <c r="Z52" s="397"/>
      <c r="AA52" s="397"/>
      <c r="AB52" s="397"/>
      <c r="AC52" s="397"/>
      <c r="AD52" s="398"/>
    </row>
    <row r="53" spans="1:32" ht="27" customHeight="1">
      <c r="A53" s="395" t="s">
        <v>973</v>
      </c>
      <c r="B53" s="396"/>
      <c r="C53" s="343" t="s">
        <v>950</v>
      </c>
      <c r="D53" s="343"/>
      <c r="E53" s="343" t="s">
        <v>940</v>
      </c>
      <c r="F53" s="397" t="s">
        <v>1005</v>
      </c>
      <c r="G53" s="397"/>
      <c r="H53" s="397"/>
      <c r="I53" s="397"/>
      <c r="J53" s="397"/>
      <c r="K53" s="397"/>
      <c r="L53" s="397"/>
      <c r="M53" s="398"/>
      <c r="N53" s="342"/>
      <c r="O53" s="74"/>
      <c r="P53" s="396"/>
      <c r="Q53" s="396"/>
      <c r="R53" s="396"/>
      <c r="S53" s="396"/>
      <c r="T53" s="396"/>
      <c r="U53" s="396"/>
      <c r="V53" s="397"/>
      <c r="W53" s="397"/>
      <c r="X53" s="397"/>
      <c r="Y53" s="397"/>
      <c r="Z53" s="397"/>
      <c r="AA53" s="397"/>
      <c r="AB53" s="397"/>
      <c r="AC53" s="397"/>
      <c r="AD53" s="398"/>
    </row>
    <row r="54" spans="1:32" ht="27" customHeight="1">
      <c r="A54" s="395"/>
      <c r="B54" s="396"/>
      <c r="C54" s="343"/>
      <c r="D54" s="343"/>
      <c r="E54" s="343"/>
      <c r="F54" s="397"/>
      <c r="G54" s="397"/>
      <c r="H54" s="397"/>
      <c r="I54" s="397"/>
      <c r="J54" s="397"/>
      <c r="K54" s="397"/>
      <c r="L54" s="397"/>
      <c r="M54" s="398"/>
      <c r="N54" s="342"/>
      <c r="O54" s="74"/>
      <c r="P54" s="396"/>
      <c r="Q54" s="396"/>
      <c r="R54" s="396"/>
      <c r="S54" s="396"/>
      <c r="T54" s="396"/>
      <c r="U54" s="396"/>
      <c r="V54" s="397"/>
      <c r="W54" s="397"/>
      <c r="X54" s="397"/>
      <c r="Y54" s="397"/>
      <c r="Z54" s="397"/>
      <c r="AA54" s="397"/>
      <c r="AB54" s="397"/>
      <c r="AC54" s="397"/>
      <c r="AD54" s="398"/>
    </row>
    <row r="55" spans="1:32" ht="27" customHeight="1">
      <c r="A55" s="395"/>
      <c r="B55" s="396"/>
      <c r="C55" s="343"/>
      <c r="D55" s="343"/>
      <c r="E55" s="343"/>
      <c r="F55" s="397"/>
      <c r="G55" s="397"/>
      <c r="H55" s="397"/>
      <c r="I55" s="397"/>
      <c r="J55" s="397"/>
      <c r="K55" s="397"/>
      <c r="L55" s="397"/>
      <c r="M55" s="398"/>
      <c r="N55" s="342"/>
      <c r="O55" s="74"/>
      <c r="P55" s="396"/>
      <c r="Q55" s="396"/>
      <c r="R55" s="396"/>
      <c r="S55" s="396"/>
      <c r="T55" s="396"/>
      <c r="U55" s="396"/>
      <c r="V55" s="397"/>
      <c r="W55" s="397"/>
      <c r="X55" s="397"/>
      <c r="Y55" s="397"/>
      <c r="Z55" s="397"/>
      <c r="AA55" s="397"/>
      <c r="AB55" s="397"/>
      <c r="AC55" s="397"/>
      <c r="AD55" s="398"/>
    </row>
    <row r="56" spans="1:32" ht="27" customHeight="1">
      <c r="A56" s="395"/>
      <c r="B56" s="396"/>
      <c r="C56" s="343"/>
      <c r="D56" s="343"/>
      <c r="E56" s="343"/>
      <c r="F56" s="397"/>
      <c r="G56" s="397"/>
      <c r="H56" s="397"/>
      <c r="I56" s="397"/>
      <c r="J56" s="397"/>
      <c r="K56" s="397"/>
      <c r="L56" s="397"/>
      <c r="M56" s="398"/>
      <c r="N56" s="342"/>
      <c r="O56" s="74"/>
      <c r="P56" s="396"/>
      <c r="Q56" s="396"/>
      <c r="R56" s="396"/>
      <c r="S56" s="396"/>
      <c r="T56" s="396"/>
      <c r="U56" s="396"/>
      <c r="V56" s="397"/>
      <c r="W56" s="397"/>
      <c r="X56" s="397"/>
      <c r="Y56" s="397"/>
      <c r="Z56" s="397"/>
      <c r="AA56" s="397"/>
      <c r="AB56" s="397"/>
      <c r="AC56" s="397"/>
      <c r="AD56" s="398"/>
    </row>
    <row r="57" spans="1:32" ht="27" customHeight="1">
      <c r="A57" s="395"/>
      <c r="B57" s="396"/>
      <c r="C57" s="343"/>
      <c r="D57" s="343"/>
      <c r="E57" s="343"/>
      <c r="F57" s="397"/>
      <c r="G57" s="397"/>
      <c r="H57" s="397"/>
      <c r="I57" s="397"/>
      <c r="J57" s="397"/>
      <c r="K57" s="397"/>
      <c r="L57" s="397"/>
      <c r="M57" s="398"/>
      <c r="N57" s="342"/>
      <c r="O57" s="74"/>
      <c r="P57" s="405"/>
      <c r="Q57" s="406"/>
      <c r="R57" s="396"/>
      <c r="S57" s="396"/>
      <c r="T57" s="396"/>
      <c r="U57" s="396"/>
      <c r="V57" s="397"/>
      <c r="W57" s="397"/>
      <c r="X57" s="397"/>
      <c r="Y57" s="397"/>
      <c r="Z57" s="397"/>
      <c r="AA57" s="397"/>
      <c r="AB57" s="397"/>
      <c r="AC57" s="397"/>
      <c r="AD57" s="398"/>
    </row>
    <row r="58" spans="1:32" ht="27" customHeight="1">
      <c r="A58" s="395"/>
      <c r="B58" s="396"/>
      <c r="C58" s="343"/>
      <c r="D58" s="343"/>
      <c r="E58" s="343"/>
      <c r="F58" s="397"/>
      <c r="G58" s="397"/>
      <c r="H58" s="397"/>
      <c r="I58" s="397"/>
      <c r="J58" s="397"/>
      <c r="K58" s="397"/>
      <c r="L58" s="397"/>
      <c r="M58" s="398"/>
      <c r="N58" s="342"/>
      <c r="O58" s="74"/>
      <c r="P58" s="405"/>
      <c r="Q58" s="406"/>
      <c r="R58" s="396"/>
      <c r="S58" s="396"/>
      <c r="T58" s="396"/>
      <c r="U58" s="396"/>
      <c r="V58" s="397"/>
      <c r="W58" s="397"/>
      <c r="X58" s="397"/>
      <c r="Y58" s="397"/>
      <c r="Z58" s="397"/>
      <c r="AA58" s="397"/>
      <c r="AB58" s="397"/>
      <c r="AC58" s="397"/>
      <c r="AD58" s="398"/>
    </row>
    <row r="59" spans="1:32" ht="27" customHeight="1">
      <c r="A59" s="395"/>
      <c r="B59" s="396"/>
      <c r="C59" s="343"/>
      <c r="D59" s="343"/>
      <c r="E59" s="343"/>
      <c r="F59" s="397"/>
      <c r="G59" s="397"/>
      <c r="H59" s="397"/>
      <c r="I59" s="397"/>
      <c r="J59" s="397"/>
      <c r="K59" s="397"/>
      <c r="L59" s="397"/>
      <c r="M59" s="398"/>
      <c r="N59" s="342"/>
      <c r="O59" s="74"/>
      <c r="P59" s="396"/>
      <c r="Q59" s="396"/>
      <c r="R59" s="396"/>
      <c r="S59" s="396"/>
      <c r="T59" s="396"/>
      <c r="U59" s="396"/>
      <c r="V59" s="397"/>
      <c r="W59" s="397"/>
      <c r="X59" s="397"/>
      <c r="Y59" s="397"/>
      <c r="Z59" s="397"/>
      <c r="AA59" s="397"/>
      <c r="AB59" s="397"/>
      <c r="AC59" s="397"/>
      <c r="AD59" s="398"/>
      <c r="AF59" s="94">
        <f>8*3000</f>
        <v>24000</v>
      </c>
    </row>
    <row r="60" spans="1:32" ht="27" customHeight="1" thickBot="1">
      <c r="A60" s="401"/>
      <c r="B60" s="402"/>
      <c r="C60" s="345"/>
      <c r="D60" s="345"/>
      <c r="E60" s="345"/>
      <c r="F60" s="403"/>
      <c r="G60" s="403"/>
      <c r="H60" s="403"/>
      <c r="I60" s="403"/>
      <c r="J60" s="403"/>
      <c r="K60" s="403"/>
      <c r="L60" s="403"/>
      <c r="M60" s="404"/>
      <c r="N60" s="344"/>
      <c r="O60" s="121"/>
      <c r="P60" s="402"/>
      <c r="Q60" s="402"/>
      <c r="R60" s="402"/>
      <c r="S60" s="402"/>
      <c r="T60" s="402"/>
      <c r="U60" s="402"/>
      <c r="V60" s="403"/>
      <c r="W60" s="403"/>
      <c r="X60" s="403"/>
      <c r="Y60" s="403"/>
      <c r="Z60" s="403"/>
      <c r="AA60" s="403"/>
      <c r="AB60" s="403"/>
      <c r="AC60" s="403"/>
      <c r="AD60" s="404"/>
      <c r="AF60" s="94">
        <f>16*3000</f>
        <v>48000</v>
      </c>
    </row>
    <row r="61" spans="1:32" ht="27.75" thickBot="1">
      <c r="A61" s="407" t="s">
        <v>1016</v>
      </c>
      <c r="B61" s="407"/>
      <c r="C61" s="407"/>
      <c r="D61" s="407"/>
      <c r="E61" s="407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08" t="s">
        <v>113</v>
      </c>
      <c r="B62" s="409"/>
      <c r="C62" s="346" t="s">
        <v>2</v>
      </c>
      <c r="D62" s="346" t="s">
        <v>37</v>
      </c>
      <c r="E62" s="346" t="s">
        <v>3</v>
      </c>
      <c r="F62" s="409" t="s">
        <v>110</v>
      </c>
      <c r="G62" s="409"/>
      <c r="H62" s="409"/>
      <c r="I62" s="409"/>
      <c r="J62" s="409"/>
      <c r="K62" s="409" t="s">
        <v>39</v>
      </c>
      <c r="L62" s="409"/>
      <c r="M62" s="346" t="s">
        <v>40</v>
      </c>
      <c r="N62" s="409" t="s">
        <v>41</v>
      </c>
      <c r="O62" s="409"/>
      <c r="P62" s="410" t="s">
        <v>42</v>
      </c>
      <c r="Q62" s="411"/>
      <c r="R62" s="410" t="s">
        <v>43</v>
      </c>
      <c r="S62" s="412"/>
      <c r="T62" s="412"/>
      <c r="U62" s="412"/>
      <c r="V62" s="412"/>
      <c r="W62" s="412"/>
      <c r="X62" s="412"/>
      <c r="Y62" s="412"/>
      <c r="Z62" s="412"/>
      <c r="AA62" s="411"/>
      <c r="AB62" s="409" t="s">
        <v>44</v>
      </c>
      <c r="AC62" s="409"/>
      <c r="AD62" s="413"/>
      <c r="AF62" s="94">
        <f>SUM(AF59:AF61)</f>
        <v>96000</v>
      </c>
    </row>
    <row r="63" spans="1:32" ht="25.5" customHeight="1">
      <c r="A63" s="414">
        <v>1</v>
      </c>
      <c r="B63" s="415"/>
      <c r="C63" s="124" t="s">
        <v>125</v>
      </c>
      <c r="D63" s="351"/>
      <c r="E63" s="352" t="s">
        <v>964</v>
      </c>
      <c r="F63" s="416" t="s">
        <v>986</v>
      </c>
      <c r="G63" s="417"/>
      <c r="H63" s="417"/>
      <c r="I63" s="417"/>
      <c r="J63" s="417"/>
      <c r="K63" s="417" t="s">
        <v>985</v>
      </c>
      <c r="L63" s="417"/>
      <c r="M63" s="54" t="s">
        <v>958</v>
      </c>
      <c r="N63" s="417">
        <v>5</v>
      </c>
      <c r="O63" s="417"/>
      <c r="P63" s="418">
        <v>500</v>
      </c>
      <c r="Q63" s="418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417"/>
      <c r="AC63" s="417"/>
      <c r="AD63" s="419"/>
      <c r="AF63" s="53"/>
    </row>
    <row r="64" spans="1:32" ht="25.5" customHeight="1">
      <c r="A64" s="414">
        <v>2</v>
      </c>
      <c r="B64" s="415"/>
      <c r="C64" s="124" t="s">
        <v>352</v>
      </c>
      <c r="D64" s="351"/>
      <c r="E64" s="352" t="s">
        <v>353</v>
      </c>
      <c r="F64" s="416" t="s">
        <v>354</v>
      </c>
      <c r="G64" s="417"/>
      <c r="H64" s="417"/>
      <c r="I64" s="417"/>
      <c r="J64" s="417"/>
      <c r="K64" s="417" t="s">
        <v>355</v>
      </c>
      <c r="L64" s="417"/>
      <c r="M64" s="54" t="s">
        <v>356</v>
      </c>
      <c r="N64" s="417">
        <v>7</v>
      </c>
      <c r="O64" s="417"/>
      <c r="P64" s="418" t="s">
        <v>357</v>
      </c>
      <c r="Q64" s="418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417"/>
      <c r="AC64" s="417"/>
      <c r="AD64" s="419"/>
      <c r="AF64" s="53"/>
    </row>
    <row r="65" spans="1:32" ht="25.5" customHeight="1">
      <c r="A65" s="414">
        <v>3</v>
      </c>
      <c r="B65" s="415"/>
      <c r="C65" s="124"/>
      <c r="D65" s="349"/>
      <c r="E65" s="347"/>
      <c r="F65" s="416"/>
      <c r="G65" s="417"/>
      <c r="H65" s="417"/>
      <c r="I65" s="417"/>
      <c r="J65" s="417"/>
      <c r="K65" s="417"/>
      <c r="L65" s="417"/>
      <c r="M65" s="54"/>
      <c r="N65" s="417"/>
      <c r="O65" s="417"/>
      <c r="P65" s="418"/>
      <c r="Q65" s="418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417"/>
      <c r="AC65" s="417"/>
      <c r="AD65" s="419"/>
      <c r="AF65" s="53"/>
    </row>
    <row r="66" spans="1:32" ht="25.5" customHeight="1">
      <c r="A66" s="414">
        <v>4</v>
      </c>
      <c r="B66" s="415"/>
      <c r="C66" s="124"/>
      <c r="D66" s="349"/>
      <c r="E66" s="347"/>
      <c r="F66" s="416"/>
      <c r="G66" s="417"/>
      <c r="H66" s="417"/>
      <c r="I66" s="417"/>
      <c r="J66" s="417"/>
      <c r="K66" s="417"/>
      <c r="L66" s="417"/>
      <c r="M66" s="54"/>
      <c r="N66" s="417"/>
      <c r="O66" s="417"/>
      <c r="P66" s="418"/>
      <c r="Q66" s="418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417"/>
      <c r="AC66" s="417"/>
      <c r="AD66" s="419"/>
      <c r="AF66" s="53"/>
    </row>
    <row r="67" spans="1:32" ht="25.5" customHeight="1">
      <c r="A67" s="414">
        <v>5</v>
      </c>
      <c r="B67" s="415"/>
      <c r="C67" s="124"/>
      <c r="D67" s="349"/>
      <c r="E67" s="347"/>
      <c r="F67" s="416"/>
      <c r="G67" s="417"/>
      <c r="H67" s="417"/>
      <c r="I67" s="417"/>
      <c r="J67" s="417"/>
      <c r="K67" s="417"/>
      <c r="L67" s="417"/>
      <c r="M67" s="54"/>
      <c r="N67" s="417"/>
      <c r="O67" s="417"/>
      <c r="P67" s="418"/>
      <c r="Q67" s="418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417"/>
      <c r="AC67" s="417"/>
      <c r="AD67" s="419"/>
      <c r="AF67" s="53"/>
    </row>
    <row r="68" spans="1:32" ht="25.5" customHeight="1">
      <c r="A68" s="414">
        <v>6</v>
      </c>
      <c r="B68" s="415"/>
      <c r="C68" s="124"/>
      <c r="D68" s="349"/>
      <c r="E68" s="347"/>
      <c r="F68" s="416"/>
      <c r="G68" s="417"/>
      <c r="H68" s="417"/>
      <c r="I68" s="417"/>
      <c r="J68" s="417"/>
      <c r="K68" s="417"/>
      <c r="L68" s="417"/>
      <c r="M68" s="54"/>
      <c r="N68" s="417"/>
      <c r="O68" s="417"/>
      <c r="P68" s="418"/>
      <c r="Q68" s="418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417"/>
      <c r="AC68" s="417"/>
      <c r="AD68" s="419"/>
      <c r="AF68" s="53"/>
    </row>
    <row r="69" spans="1:32" ht="25.5" customHeight="1">
      <c r="A69" s="414">
        <v>7</v>
      </c>
      <c r="B69" s="415"/>
      <c r="C69" s="124"/>
      <c r="D69" s="349"/>
      <c r="E69" s="347"/>
      <c r="F69" s="416"/>
      <c r="G69" s="417"/>
      <c r="H69" s="417"/>
      <c r="I69" s="417"/>
      <c r="J69" s="417"/>
      <c r="K69" s="417"/>
      <c r="L69" s="417"/>
      <c r="M69" s="54"/>
      <c r="N69" s="417"/>
      <c r="O69" s="417"/>
      <c r="P69" s="418"/>
      <c r="Q69" s="418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417"/>
      <c r="AC69" s="417"/>
      <c r="AD69" s="419"/>
      <c r="AF69" s="53"/>
    </row>
    <row r="70" spans="1:32" ht="25.5" customHeight="1">
      <c r="A70" s="414">
        <v>8</v>
      </c>
      <c r="B70" s="415"/>
      <c r="C70" s="124"/>
      <c r="D70" s="349"/>
      <c r="E70" s="347"/>
      <c r="F70" s="416"/>
      <c r="G70" s="417"/>
      <c r="H70" s="417"/>
      <c r="I70" s="417"/>
      <c r="J70" s="417"/>
      <c r="K70" s="417"/>
      <c r="L70" s="417"/>
      <c r="M70" s="54"/>
      <c r="N70" s="417"/>
      <c r="O70" s="417"/>
      <c r="P70" s="418"/>
      <c r="Q70" s="418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417"/>
      <c r="AC70" s="417"/>
      <c r="AD70" s="419"/>
      <c r="AF70" s="53"/>
    </row>
    <row r="71" spans="1:32" ht="26.25" customHeight="1" thickBot="1">
      <c r="A71" s="420" t="s">
        <v>1017</v>
      </c>
      <c r="B71" s="420"/>
      <c r="C71" s="420"/>
      <c r="D71" s="420"/>
      <c r="E71" s="42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1" t="s">
        <v>113</v>
      </c>
      <c r="B72" s="422"/>
      <c r="C72" s="348" t="s">
        <v>2</v>
      </c>
      <c r="D72" s="348" t="s">
        <v>37</v>
      </c>
      <c r="E72" s="348" t="s">
        <v>3</v>
      </c>
      <c r="F72" s="422" t="s">
        <v>38</v>
      </c>
      <c r="G72" s="422"/>
      <c r="H72" s="422"/>
      <c r="I72" s="422"/>
      <c r="J72" s="422"/>
      <c r="K72" s="423" t="s">
        <v>58</v>
      </c>
      <c r="L72" s="424"/>
      <c r="M72" s="424"/>
      <c r="N72" s="424"/>
      <c r="O72" s="424"/>
      <c r="P72" s="424"/>
      <c r="Q72" s="424"/>
      <c r="R72" s="424"/>
      <c r="S72" s="425"/>
      <c r="T72" s="422" t="s">
        <v>49</v>
      </c>
      <c r="U72" s="422"/>
      <c r="V72" s="423" t="s">
        <v>50</v>
      </c>
      <c r="W72" s="425"/>
      <c r="X72" s="424" t="s">
        <v>51</v>
      </c>
      <c r="Y72" s="424"/>
      <c r="Z72" s="424"/>
      <c r="AA72" s="424"/>
      <c r="AB72" s="424"/>
      <c r="AC72" s="424"/>
      <c r="AD72" s="426"/>
      <c r="AF72" s="53"/>
    </row>
    <row r="73" spans="1:32" ht="33.75" customHeight="1">
      <c r="A73" s="435">
        <v>1</v>
      </c>
      <c r="B73" s="436"/>
      <c r="C73" s="350" t="s">
        <v>114</v>
      </c>
      <c r="D73" s="350"/>
      <c r="E73" s="71" t="s">
        <v>119</v>
      </c>
      <c r="F73" s="437" t="s">
        <v>120</v>
      </c>
      <c r="G73" s="438"/>
      <c r="H73" s="438"/>
      <c r="I73" s="438"/>
      <c r="J73" s="439"/>
      <c r="K73" s="440" t="s">
        <v>115</v>
      </c>
      <c r="L73" s="441"/>
      <c r="M73" s="441"/>
      <c r="N73" s="441"/>
      <c r="O73" s="441"/>
      <c r="P73" s="441"/>
      <c r="Q73" s="441"/>
      <c r="R73" s="441"/>
      <c r="S73" s="442"/>
      <c r="T73" s="443">
        <v>42901</v>
      </c>
      <c r="U73" s="444"/>
      <c r="V73" s="445"/>
      <c r="W73" s="445"/>
      <c r="X73" s="446"/>
      <c r="Y73" s="446"/>
      <c r="Z73" s="446"/>
      <c r="AA73" s="446"/>
      <c r="AB73" s="446"/>
      <c r="AC73" s="446"/>
      <c r="AD73" s="447"/>
      <c r="AF73" s="53"/>
    </row>
    <row r="74" spans="1:32" ht="30" customHeight="1">
      <c r="A74" s="427">
        <f>A73+1</f>
        <v>2</v>
      </c>
      <c r="B74" s="428"/>
      <c r="C74" s="349" t="s">
        <v>114</v>
      </c>
      <c r="D74" s="349"/>
      <c r="E74" s="35" t="s">
        <v>116</v>
      </c>
      <c r="F74" s="428" t="s">
        <v>117</v>
      </c>
      <c r="G74" s="428"/>
      <c r="H74" s="428"/>
      <c r="I74" s="428"/>
      <c r="J74" s="428"/>
      <c r="K74" s="429" t="s">
        <v>118</v>
      </c>
      <c r="L74" s="430"/>
      <c r="M74" s="430"/>
      <c r="N74" s="430"/>
      <c r="O74" s="430"/>
      <c r="P74" s="430"/>
      <c r="Q74" s="430"/>
      <c r="R74" s="430"/>
      <c r="S74" s="431"/>
      <c r="T74" s="432">
        <v>42867</v>
      </c>
      <c r="U74" s="432"/>
      <c r="V74" s="432"/>
      <c r="W74" s="432"/>
      <c r="X74" s="433"/>
      <c r="Y74" s="433"/>
      <c r="Z74" s="433"/>
      <c r="AA74" s="433"/>
      <c r="AB74" s="433"/>
      <c r="AC74" s="433"/>
      <c r="AD74" s="434"/>
      <c r="AF74" s="53"/>
    </row>
    <row r="75" spans="1:32" ht="30" customHeight="1">
      <c r="A75" s="427">
        <f t="shared" ref="A75:A81" si="11">A74+1</f>
        <v>3</v>
      </c>
      <c r="B75" s="428"/>
      <c r="C75" s="349"/>
      <c r="D75" s="349"/>
      <c r="E75" s="35"/>
      <c r="F75" s="428"/>
      <c r="G75" s="428"/>
      <c r="H75" s="428"/>
      <c r="I75" s="428"/>
      <c r="J75" s="428"/>
      <c r="K75" s="429"/>
      <c r="L75" s="430"/>
      <c r="M75" s="430"/>
      <c r="N75" s="430"/>
      <c r="O75" s="430"/>
      <c r="P75" s="430"/>
      <c r="Q75" s="430"/>
      <c r="R75" s="430"/>
      <c r="S75" s="431"/>
      <c r="T75" s="432"/>
      <c r="U75" s="432"/>
      <c r="V75" s="432"/>
      <c r="W75" s="432"/>
      <c r="X75" s="433"/>
      <c r="Y75" s="433"/>
      <c r="Z75" s="433"/>
      <c r="AA75" s="433"/>
      <c r="AB75" s="433"/>
      <c r="AC75" s="433"/>
      <c r="AD75" s="434"/>
      <c r="AF75" s="53"/>
    </row>
    <row r="76" spans="1:32" ht="30" customHeight="1">
      <c r="A76" s="427">
        <f t="shared" si="11"/>
        <v>4</v>
      </c>
      <c r="B76" s="428"/>
      <c r="C76" s="349"/>
      <c r="D76" s="349"/>
      <c r="E76" s="35"/>
      <c r="F76" s="428"/>
      <c r="G76" s="428"/>
      <c r="H76" s="428"/>
      <c r="I76" s="428"/>
      <c r="J76" s="428"/>
      <c r="K76" s="429"/>
      <c r="L76" s="430"/>
      <c r="M76" s="430"/>
      <c r="N76" s="430"/>
      <c r="O76" s="430"/>
      <c r="P76" s="430"/>
      <c r="Q76" s="430"/>
      <c r="R76" s="430"/>
      <c r="S76" s="431"/>
      <c r="T76" s="432"/>
      <c r="U76" s="432"/>
      <c r="V76" s="432"/>
      <c r="W76" s="432"/>
      <c r="X76" s="433"/>
      <c r="Y76" s="433"/>
      <c r="Z76" s="433"/>
      <c r="AA76" s="433"/>
      <c r="AB76" s="433"/>
      <c r="AC76" s="433"/>
      <c r="AD76" s="434"/>
      <c r="AF76" s="53"/>
    </row>
    <row r="77" spans="1:32" ht="30" customHeight="1">
      <c r="A77" s="427">
        <f t="shared" si="11"/>
        <v>5</v>
      </c>
      <c r="B77" s="428"/>
      <c r="C77" s="349"/>
      <c r="D77" s="349"/>
      <c r="E77" s="35"/>
      <c r="F77" s="428"/>
      <c r="G77" s="428"/>
      <c r="H77" s="428"/>
      <c r="I77" s="428"/>
      <c r="J77" s="428"/>
      <c r="K77" s="429"/>
      <c r="L77" s="430"/>
      <c r="M77" s="430"/>
      <c r="N77" s="430"/>
      <c r="O77" s="430"/>
      <c r="P77" s="430"/>
      <c r="Q77" s="430"/>
      <c r="R77" s="430"/>
      <c r="S77" s="431"/>
      <c r="T77" s="432"/>
      <c r="U77" s="432"/>
      <c r="V77" s="432"/>
      <c r="W77" s="432"/>
      <c r="X77" s="433"/>
      <c r="Y77" s="433"/>
      <c r="Z77" s="433"/>
      <c r="AA77" s="433"/>
      <c r="AB77" s="433"/>
      <c r="AC77" s="433"/>
      <c r="AD77" s="434"/>
      <c r="AF77" s="53"/>
    </row>
    <row r="78" spans="1:32" ht="30" customHeight="1">
      <c r="A78" s="427">
        <f t="shared" si="11"/>
        <v>6</v>
      </c>
      <c r="B78" s="428"/>
      <c r="C78" s="349"/>
      <c r="D78" s="349"/>
      <c r="E78" s="35"/>
      <c r="F78" s="428"/>
      <c r="G78" s="428"/>
      <c r="H78" s="428"/>
      <c r="I78" s="428"/>
      <c r="J78" s="428"/>
      <c r="K78" s="429"/>
      <c r="L78" s="430"/>
      <c r="M78" s="430"/>
      <c r="N78" s="430"/>
      <c r="O78" s="430"/>
      <c r="P78" s="430"/>
      <c r="Q78" s="430"/>
      <c r="R78" s="430"/>
      <c r="S78" s="431"/>
      <c r="T78" s="432"/>
      <c r="U78" s="432"/>
      <c r="V78" s="432"/>
      <c r="W78" s="432"/>
      <c r="X78" s="433"/>
      <c r="Y78" s="433"/>
      <c r="Z78" s="433"/>
      <c r="AA78" s="433"/>
      <c r="AB78" s="433"/>
      <c r="AC78" s="433"/>
      <c r="AD78" s="434"/>
      <c r="AF78" s="53"/>
    </row>
    <row r="79" spans="1:32" ht="30" customHeight="1">
      <c r="A79" s="427">
        <f t="shared" si="11"/>
        <v>7</v>
      </c>
      <c r="B79" s="428"/>
      <c r="C79" s="349"/>
      <c r="D79" s="349"/>
      <c r="E79" s="35"/>
      <c r="F79" s="428"/>
      <c r="G79" s="428"/>
      <c r="H79" s="428"/>
      <c r="I79" s="428"/>
      <c r="J79" s="428"/>
      <c r="K79" s="429"/>
      <c r="L79" s="430"/>
      <c r="M79" s="430"/>
      <c r="N79" s="430"/>
      <c r="O79" s="430"/>
      <c r="P79" s="430"/>
      <c r="Q79" s="430"/>
      <c r="R79" s="430"/>
      <c r="S79" s="431"/>
      <c r="T79" s="432"/>
      <c r="U79" s="432"/>
      <c r="V79" s="432"/>
      <c r="W79" s="432"/>
      <c r="X79" s="433"/>
      <c r="Y79" s="433"/>
      <c r="Z79" s="433"/>
      <c r="AA79" s="433"/>
      <c r="AB79" s="433"/>
      <c r="AC79" s="433"/>
      <c r="AD79" s="434"/>
      <c r="AF79" s="53"/>
    </row>
    <row r="80" spans="1:32" ht="30" customHeight="1">
      <c r="A80" s="427">
        <f t="shared" si="11"/>
        <v>8</v>
      </c>
      <c r="B80" s="428"/>
      <c r="C80" s="349"/>
      <c r="D80" s="349"/>
      <c r="E80" s="35"/>
      <c r="F80" s="428"/>
      <c r="G80" s="428"/>
      <c r="H80" s="428"/>
      <c r="I80" s="428"/>
      <c r="J80" s="428"/>
      <c r="K80" s="429"/>
      <c r="L80" s="430"/>
      <c r="M80" s="430"/>
      <c r="N80" s="430"/>
      <c r="O80" s="430"/>
      <c r="P80" s="430"/>
      <c r="Q80" s="430"/>
      <c r="R80" s="430"/>
      <c r="S80" s="431"/>
      <c r="T80" s="432"/>
      <c r="U80" s="432"/>
      <c r="V80" s="432"/>
      <c r="W80" s="432"/>
      <c r="X80" s="433"/>
      <c r="Y80" s="433"/>
      <c r="Z80" s="433"/>
      <c r="AA80" s="433"/>
      <c r="AB80" s="433"/>
      <c r="AC80" s="433"/>
      <c r="AD80" s="434"/>
      <c r="AF80" s="53"/>
    </row>
    <row r="81" spans="1:32" ht="30" customHeight="1">
      <c r="A81" s="427">
        <f t="shared" si="11"/>
        <v>9</v>
      </c>
      <c r="B81" s="428"/>
      <c r="C81" s="349"/>
      <c r="D81" s="349"/>
      <c r="E81" s="35"/>
      <c r="F81" s="428"/>
      <c r="G81" s="428"/>
      <c r="H81" s="428"/>
      <c r="I81" s="428"/>
      <c r="J81" s="428"/>
      <c r="K81" s="429"/>
      <c r="L81" s="430"/>
      <c r="M81" s="430"/>
      <c r="N81" s="430"/>
      <c r="O81" s="430"/>
      <c r="P81" s="430"/>
      <c r="Q81" s="430"/>
      <c r="R81" s="430"/>
      <c r="S81" s="431"/>
      <c r="T81" s="432"/>
      <c r="U81" s="432"/>
      <c r="V81" s="432"/>
      <c r="W81" s="432"/>
      <c r="X81" s="433"/>
      <c r="Y81" s="433"/>
      <c r="Z81" s="433"/>
      <c r="AA81" s="433"/>
      <c r="AB81" s="433"/>
      <c r="AC81" s="433"/>
      <c r="AD81" s="434"/>
      <c r="AF81" s="53"/>
    </row>
    <row r="82" spans="1:32" ht="36" thickBot="1">
      <c r="A82" s="420" t="s">
        <v>1018</v>
      </c>
      <c r="B82" s="420"/>
      <c r="C82" s="420"/>
      <c r="D82" s="420"/>
      <c r="E82" s="42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21" t="s">
        <v>113</v>
      </c>
      <c r="B83" s="422"/>
      <c r="C83" s="448" t="s">
        <v>52</v>
      </c>
      <c r="D83" s="448"/>
      <c r="E83" s="448" t="s">
        <v>53</v>
      </c>
      <c r="F83" s="448"/>
      <c r="G83" s="448"/>
      <c r="H83" s="448"/>
      <c r="I83" s="448"/>
      <c r="J83" s="448"/>
      <c r="K83" s="448" t="s">
        <v>54</v>
      </c>
      <c r="L83" s="448"/>
      <c r="M83" s="448"/>
      <c r="N83" s="448"/>
      <c r="O83" s="448"/>
      <c r="P83" s="448"/>
      <c r="Q83" s="448"/>
      <c r="R83" s="448"/>
      <c r="S83" s="448"/>
      <c r="T83" s="448" t="s">
        <v>55</v>
      </c>
      <c r="U83" s="448"/>
      <c r="V83" s="448" t="s">
        <v>56</v>
      </c>
      <c r="W83" s="448"/>
      <c r="X83" s="448"/>
      <c r="Y83" s="448" t="s">
        <v>51</v>
      </c>
      <c r="Z83" s="448"/>
      <c r="AA83" s="448"/>
      <c r="AB83" s="448"/>
      <c r="AC83" s="448"/>
      <c r="AD83" s="449"/>
      <c r="AF83" s="53"/>
    </row>
    <row r="84" spans="1:32" ht="30.75" customHeight="1">
      <c r="A84" s="435">
        <v>1</v>
      </c>
      <c r="B84" s="436"/>
      <c r="C84" s="450"/>
      <c r="D84" s="450"/>
      <c r="E84" s="450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50"/>
      <c r="R84" s="450"/>
      <c r="S84" s="450"/>
      <c r="T84" s="450"/>
      <c r="U84" s="450"/>
      <c r="V84" s="451"/>
      <c r="W84" s="451"/>
      <c r="X84" s="451"/>
      <c r="Y84" s="452"/>
      <c r="Z84" s="452"/>
      <c r="AA84" s="452"/>
      <c r="AB84" s="452"/>
      <c r="AC84" s="452"/>
      <c r="AD84" s="453"/>
      <c r="AF84" s="53"/>
    </row>
    <row r="85" spans="1:32" ht="30.75" customHeight="1">
      <c r="A85" s="427">
        <v>2</v>
      </c>
      <c r="B85" s="428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2"/>
      <c r="U85" s="462"/>
      <c r="V85" s="463"/>
      <c r="W85" s="463"/>
      <c r="X85" s="463"/>
      <c r="Y85" s="454"/>
      <c r="Z85" s="454"/>
      <c r="AA85" s="454"/>
      <c r="AB85" s="454"/>
      <c r="AC85" s="454"/>
      <c r="AD85" s="455"/>
      <c r="AF85" s="53"/>
    </row>
    <row r="86" spans="1:32" ht="30.75" customHeight="1" thickBot="1">
      <c r="A86" s="456">
        <v>3</v>
      </c>
      <c r="B86" s="457"/>
      <c r="C86" s="458"/>
      <c r="D86" s="458"/>
      <c r="E86" s="458"/>
      <c r="F86" s="458"/>
      <c r="G86" s="458"/>
      <c r="H86" s="458"/>
      <c r="I86" s="458"/>
      <c r="J86" s="458"/>
      <c r="K86" s="458"/>
      <c r="L86" s="458"/>
      <c r="M86" s="458"/>
      <c r="N86" s="458"/>
      <c r="O86" s="458"/>
      <c r="P86" s="458"/>
      <c r="Q86" s="458"/>
      <c r="R86" s="458"/>
      <c r="S86" s="458"/>
      <c r="T86" s="458"/>
      <c r="U86" s="458"/>
      <c r="V86" s="458"/>
      <c r="W86" s="458"/>
      <c r="X86" s="458"/>
      <c r="Y86" s="459"/>
      <c r="Z86" s="459"/>
      <c r="AA86" s="459"/>
      <c r="AB86" s="459"/>
      <c r="AC86" s="459"/>
      <c r="AD86" s="460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이름이 지정된 범위</vt:lpstr>
      </vt:variant>
      <vt:variant>
        <vt:i4>20</vt:i4>
      </vt:variant>
    </vt:vector>
  </HeadingPairs>
  <TitlesOfParts>
    <vt:vector size="41" baseType="lpstr">
      <vt:lpstr>총괄</vt:lpstr>
      <vt:lpstr>02</vt:lpstr>
      <vt:lpstr>03</vt:lpstr>
      <vt:lpstr>04</vt:lpstr>
      <vt:lpstr>05</vt:lpstr>
      <vt:lpstr>06</vt:lpstr>
      <vt:lpstr>09</vt:lpstr>
      <vt:lpstr>10</vt:lpstr>
      <vt:lpstr>11</vt:lpstr>
      <vt:lpstr>12</vt:lpstr>
      <vt:lpstr>13</vt:lpstr>
      <vt:lpstr>16</vt:lpstr>
      <vt:lpstr>17</vt:lpstr>
      <vt:lpstr>18</vt:lpstr>
      <vt:lpstr>19</vt:lpstr>
      <vt:lpstr>23</vt:lpstr>
      <vt:lpstr>24</vt:lpstr>
      <vt:lpstr>25</vt:lpstr>
      <vt:lpstr>26</vt:lpstr>
      <vt:lpstr>27</vt:lpstr>
      <vt:lpstr>30</vt:lpstr>
      <vt:lpstr>'02'!Print_Area</vt:lpstr>
      <vt:lpstr>'03'!Print_Area</vt:lpstr>
      <vt:lpstr>'04'!Print_Area</vt:lpstr>
      <vt:lpstr>'05'!Print_Area</vt:lpstr>
      <vt:lpstr>'06'!Print_Area</vt:lpstr>
      <vt:lpstr>'09'!Print_Area</vt:lpstr>
      <vt:lpstr>'10'!Print_Area</vt:lpstr>
      <vt:lpstr>'11'!Print_Area</vt:lpstr>
      <vt:lpstr>'12'!Print_Area</vt:lpstr>
      <vt:lpstr>'13'!Print_Area</vt:lpstr>
      <vt:lpstr>'16'!Print_Area</vt:lpstr>
      <vt:lpstr>'17'!Print_Area</vt:lpstr>
      <vt:lpstr>'18'!Print_Area</vt:lpstr>
      <vt:lpstr>'19'!Print_Area</vt:lpstr>
      <vt:lpstr>'23'!Print_Area</vt:lpstr>
      <vt:lpstr>'24'!Print_Area</vt:lpstr>
      <vt:lpstr>'25'!Print_Area</vt:lpstr>
      <vt:lpstr>'26'!Print_Area</vt:lpstr>
      <vt:lpstr>'27'!Print_Area</vt:lpstr>
      <vt:lpstr>'30'!Print_Area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2017-05-09T00:48:16Z</cp:lastPrinted>
  <dcterms:created xsi:type="dcterms:W3CDTF">2014-05-16T00:06:55Z</dcterms:created>
  <dcterms:modified xsi:type="dcterms:W3CDTF">2018-07-13T00:28:18Z</dcterms:modified>
</cp:coreProperties>
</file>