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drawings/drawing48.xml" ContentType="application/vnd.openxmlformats-officedocument.drawing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drawings/drawing4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18년도\일일업무\생산일보\"/>
    </mc:Choice>
  </mc:AlternateContent>
  <xr:revisionPtr revIDLastSave="0" documentId="10_ncr:8100000_{BC35DEAD-82EB-4D3C-B3A2-4AA077A23DBF}" xr6:coauthVersionLast="34" xr6:coauthVersionMax="34" xr10:uidLastSave="{00000000-0000-0000-0000-000000000000}"/>
  <bookViews>
    <workbookView xWindow="480" yWindow="1470" windowWidth="14880" windowHeight="7125" firstSheet="1" activeTab="24" xr2:uid="{00000000-000D-0000-FFFF-FFFF00000000}"/>
  </bookViews>
  <sheets>
    <sheet name="총괄" sheetId="16" r:id="rId1"/>
    <sheet name="01" sheetId="1249" r:id="rId2"/>
    <sheet name="02" sheetId="1250" r:id="rId3"/>
    <sheet name="03" sheetId="1251" r:id="rId4"/>
    <sheet name="06" sheetId="1252" r:id="rId5"/>
    <sheet name="07" sheetId="1253" r:id="rId6"/>
    <sheet name="08" sheetId="1254" r:id="rId7"/>
    <sheet name="09" sheetId="1255" r:id="rId8"/>
    <sheet name="10" sheetId="1256" r:id="rId9"/>
    <sheet name="13" sheetId="1257" r:id="rId10"/>
    <sheet name="14" sheetId="1258" r:id="rId11"/>
    <sheet name="15" sheetId="1259" r:id="rId12"/>
    <sheet name="16" sheetId="1260" r:id="rId13"/>
    <sheet name="17" sheetId="1261" r:id="rId14"/>
    <sheet name="20" sheetId="1262" r:id="rId15"/>
    <sheet name="21" sheetId="1263" r:id="rId16"/>
    <sheet name="22" sheetId="1264" r:id="rId17"/>
    <sheet name="23" sheetId="1265" r:id="rId18"/>
    <sheet name="24" sheetId="1266" r:id="rId19"/>
    <sheet name="25" sheetId="1267" r:id="rId20"/>
    <sheet name="27" sheetId="1268" r:id="rId21"/>
    <sheet name="28" sheetId="1269" r:id="rId22"/>
    <sheet name="29" sheetId="1270" r:id="rId23"/>
    <sheet name="30" sheetId="1271" r:id="rId24"/>
    <sheet name="31" sheetId="1272" r:id="rId25"/>
  </sheets>
  <definedNames>
    <definedName name="_xlnm.Print_Area" localSheetId="1">'01'!$A$1:$AD$88</definedName>
    <definedName name="_xlnm.Print_Area" localSheetId="2">'02'!$A$1:$AD$89</definedName>
    <definedName name="_xlnm.Print_Area" localSheetId="3">'03'!$A$1:$AD$86</definedName>
    <definedName name="_xlnm.Print_Area" localSheetId="4">'06'!$A$1:$AD$86</definedName>
    <definedName name="_xlnm.Print_Area" localSheetId="5">'07'!$A$1:$AD$86</definedName>
    <definedName name="_xlnm.Print_Area" localSheetId="6">'08'!$A$1:$AD$86</definedName>
    <definedName name="_xlnm.Print_Area" localSheetId="7">'09'!$A$1:$AD$88</definedName>
    <definedName name="_xlnm.Print_Area" localSheetId="8">'10'!$A$1:$AD$87</definedName>
    <definedName name="_xlnm.Print_Area" localSheetId="9">'13'!$A$1:$AD$86</definedName>
    <definedName name="_xlnm.Print_Area" localSheetId="10">'14'!$A$1:$AD$86</definedName>
    <definedName name="_xlnm.Print_Area" localSheetId="11">'15'!$A$1:$AD$86</definedName>
    <definedName name="_xlnm.Print_Area" localSheetId="12">'16'!$A$1:$AD$86</definedName>
    <definedName name="_xlnm.Print_Area" localSheetId="13">'17'!$A$1:$AD$86</definedName>
    <definedName name="_xlnm.Print_Area" localSheetId="14">'20'!$A$1:$AD$86</definedName>
    <definedName name="_xlnm.Print_Area" localSheetId="15">'21'!$A$1:$AD$86</definedName>
    <definedName name="_xlnm.Print_Area" localSheetId="16">'22'!$A$1:$AD$89</definedName>
    <definedName name="_xlnm.Print_Area" localSheetId="17">'23'!$A$1:$AD$86</definedName>
    <definedName name="_xlnm.Print_Area" localSheetId="18">'24'!$A$1:$AD$86</definedName>
    <definedName name="_xlnm.Print_Area" localSheetId="19">'25'!$A$1:$AD$86</definedName>
    <definedName name="_xlnm.Print_Area" localSheetId="20">'27'!$A$1:$AD$86</definedName>
    <definedName name="_xlnm.Print_Area" localSheetId="21">'28'!$A$1:$AD$86</definedName>
    <definedName name="_xlnm.Print_Area" localSheetId="22">'29'!$A$1:$AD$87</definedName>
    <definedName name="_xlnm.Print_Area" localSheetId="23">'30'!$A$1:$AD$86</definedName>
    <definedName name="_xlnm.Print_Area" localSheetId="24">'31'!$A$1:$AD$88</definedName>
  </definedNames>
  <calcPr calcId="162913"/>
</workbook>
</file>

<file path=xl/calcChain.xml><?xml version="1.0" encoding="utf-8"?>
<calcChain xmlns="http://schemas.openxmlformats.org/spreadsheetml/2006/main">
  <c r="AF18" i="16" l="1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21" i="1272"/>
  <c r="K21" i="1272" s="1"/>
  <c r="L20" i="1272"/>
  <c r="M20" i="1272" s="1"/>
  <c r="L18" i="1272"/>
  <c r="L15" i="1272"/>
  <c r="L14" i="1272"/>
  <c r="P14" i="1272" s="1"/>
  <c r="AC14" i="1272" s="1"/>
  <c r="L13" i="1272"/>
  <c r="O13" i="1272" s="1"/>
  <c r="L12" i="1272"/>
  <c r="O12" i="1272" s="1"/>
  <c r="K12" i="1272"/>
  <c r="AF12" i="1272"/>
  <c r="Q12" i="1272"/>
  <c r="AB12" i="1272"/>
  <c r="L11" i="1272"/>
  <c r="M11" i="1272" s="1"/>
  <c r="K10" i="1272"/>
  <c r="AF10" i="1272"/>
  <c r="AB10" i="1272"/>
  <c r="Q10" i="1272"/>
  <c r="P10" i="1272" s="1"/>
  <c r="AC10" i="1272" s="1"/>
  <c r="O10" i="1272"/>
  <c r="M10" i="1272"/>
  <c r="K9" i="1272"/>
  <c r="L8" i="1272"/>
  <c r="K22" i="1272"/>
  <c r="K20" i="1272"/>
  <c r="K18" i="1272"/>
  <c r="K15" i="1272"/>
  <c r="K14" i="1272"/>
  <c r="K13" i="1272"/>
  <c r="K11" i="1272"/>
  <c r="K8" i="1272"/>
  <c r="A76" i="1272"/>
  <c r="A77" i="1272" s="1"/>
  <c r="A78" i="1272" s="1"/>
  <c r="A79" i="1272" s="1"/>
  <c r="A80" i="1272" s="1"/>
  <c r="A81" i="1272" s="1"/>
  <c r="A82" i="1272" s="1"/>
  <c r="A83" i="1272" s="1"/>
  <c r="AF62" i="1272"/>
  <c r="AF64" i="1272" s="1"/>
  <c r="AF61" i="1272"/>
  <c r="AA23" i="1272"/>
  <c r="Z23" i="1272"/>
  <c r="Y23" i="1272"/>
  <c r="X23" i="1272"/>
  <c r="W23" i="1272"/>
  <c r="V23" i="1272"/>
  <c r="U23" i="1272"/>
  <c r="T23" i="1272"/>
  <c r="S23" i="1272"/>
  <c r="R23" i="1272"/>
  <c r="N23" i="1272"/>
  <c r="J23" i="1272"/>
  <c r="I23" i="1272"/>
  <c r="AF22" i="1272"/>
  <c r="AB22" i="1272"/>
  <c r="Q22" i="1272"/>
  <c r="P22" i="1272"/>
  <c r="AC22" i="1272" s="1"/>
  <c r="M22" i="1272"/>
  <c r="O22" i="1272"/>
  <c r="AF21" i="1272"/>
  <c r="Q21" i="1272"/>
  <c r="O21" i="1272"/>
  <c r="AF20" i="1272"/>
  <c r="AB20" i="1272"/>
  <c r="Q20" i="1272"/>
  <c r="P20" i="1272"/>
  <c r="AC20" i="1272" s="1"/>
  <c r="O20" i="1272"/>
  <c r="AF19" i="1272"/>
  <c r="AB19" i="1272"/>
  <c r="Q19" i="1272"/>
  <c r="P19" i="1272"/>
  <c r="AC19" i="1272" s="1"/>
  <c r="O19" i="1272"/>
  <c r="M19" i="1272"/>
  <c r="K19" i="1272"/>
  <c r="AF18" i="1272"/>
  <c r="Q18" i="1272"/>
  <c r="O18" i="1272"/>
  <c r="AB18" i="1272"/>
  <c r="AF17" i="1272"/>
  <c r="AB17" i="1272"/>
  <c r="Q17" i="1272"/>
  <c r="P17" i="1272"/>
  <c r="AC17" i="1272" s="1"/>
  <c r="O17" i="1272"/>
  <c r="M17" i="1272"/>
  <c r="K17" i="1272"/>
  <c r="AF16" i="1272"/>
  <c r="AB16" i="1272"/>
  <c r="Q16" i="1272"/>
  <c r="P16" i="1272"/>
  <c r="AC16" i="1272" s="1"/>
  <c r="O16" i="1272"/>
  <c r="M16" i="1272"/>
  <c r="K16" i="1272"/>
  <c r="AF15" i="1272"/>
  <c r="AB15" i="1272"/>
  <c r="Q15" i="1272"/>
  <c r="O15" i="1272"/>
  <c r="AF14" i="1272"/>
  <c r="Q14" i="1272"/>
  <c r="AF13" i="1272"/>
  <c r="AB13" i="1272"/>
  <c r="Q13" i="1272"/>
  <c r="P13" i="1272"/>
  <c r="AC13" i="1272" s="1"/>
  <c r="M13" i="1272"/>
  <c r="AF11" i="1272"/>
  <c r="Q11" i="1272"/>
  <c r="P11" i="1272" s="1"/>
  <c r="AC11" i="1272" s="1"/>
  <c r="AF9" i="1272"/>
  <c r="AB9" i="1272"/>
  <c r="Q9" i="1272"/>
  <c r="P9" i="1272" s="1"/>
  <c r="AC9" i="1272" s="1"/>
  <c r="O9" i="1272"/>
  <c r="M9" i="1272"/>
  <c r="AF8" i="1272"/>
  <c r="Q8" i="1272"/>
  <c r="O8" i="1272"/>
  <c r="AB8" i="1272"/>
  <c r="AF7" i="1272"/>
  <c r="AB7" i="1272"/>
  <c r="Q7" i="1272"/>
  <c r="P7" i="1272"/>
  <c r="AC7" i="1272" s="1"/>
  <c r="O7" i="1272"/>
  <c r="M7" i="1272"/>
  <c r="K7" i="1272"/>
  <c r="AF6" i="1272"/>
  <c r="AB6" i="1272"/>
  <c r="Q6" i="1272"/>
  <c r="P6" i="1272"/>
  <c r="AC6" i="1272" s="1"/>
  <c r="O6" i="1272"/>
  <c r="M6" i="1272"/>
  <c r="K6" i="1272"/>
  <c r="AB21" i="1272" l="1"/>
  <c r="P15" i="1272"/>
  <c r="AC15" i="1272" s="1"/>
  <c r="AD15" i="1272" s="1"/>
  <c r="M15" i="1272"/>
  <c r="P12" i="1272"/>
  <c r="AC12" i="1272" s="1"/>
  <c r="AD12" i="1272" s="1"/>
  <c r="M12" i="1272"/>
  <c r="O11" i="1272"/>
  <c r="AB11" i="1272"/>
  <c r="AD11" i="1272" s="1"/>
  <c r="AD10" i="1272"/>
  <c r="AD13" i="1272"/>
  <c r="AD16" i="1272"/>
  <c r="Q23" i="1272"/>
  <c r="AD20" i="1272"/>
  <c r="AD7" i="1272"/>
  <c r="AD9" i="1272"/>
  <c r="AD19" i="1272"/>
  <c r="AD17" i="1272"/>
  <c r="AD22" i="1272"/>
  <c r="AD6" i="1272"/>
  <c r="K23" i="1272"/>
  <c r="P8" i="1272"/>
  <c r="AC8" i="1272" s="1"/>
  <c r="AD8" i="1272" s="1"/>
  <c r="M14" i="1272"/>
  <c r="AB14" i="1272"/>
  <c r="P18" i="1272"/>
  <c r="AC18" i="1272" s="1"/>
  <c r="AD18" i="1272" s="1"/>
  <c r="P21" i="1272"/>
  <c r="AC21" i="1272" s="1"/>
  <c r="O14" i="1272"/>
  <c r="L23" i="1272"/>
  <c r="O23" i="1272" s="1"/>
  <c r="M8" i="1272"/>
  <c r="M18" i="1272"/>
  <c r="M21" i="1272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AD21" i="1272" l="1"/>
  <c r="AD14" i="1272"/>
  <c r="AD23" i="1272" s="1"/>
  <c r="M23" i="1272"/>
  <c r="AB23" i="1272"/>
  <c r="P23" i="1272"/>
  <c r="AC23" i="1272"/>
  <c r="L20" i="1271"/>
  <c r="K20" i="1271" s="1"/>
  <c r="L19" i="1271"/>
  <c r="K19" i="1271" s="1"/>
  <c r="L18" i="1271"/>
  <c r="K18" i="1271" s="1"/>
  <c r="L16" i="1271"/>
  <c r="K16" i="1271" s="1"/>
  <c r="L13" i="1271"/>
  <c r="O13" i="1271" s="1"/>
  <c r="L12" i="1271"/>
  <c r="K12" i="1271" s="1"/>
  <c r="L10" i="1271"/>
  <c r="K10" i="1271" s="1"/>
  <c r="K9" i="1271"/>
  <c r="L8" i="1271"/>
  <c r="M8" i="1271" s="1"/>
  <c r="K13" i="1271"/>
  <c r="K11" i="1271"/>
  <c r="A75" i="1271"/>
  <c r="A76" i="1271" s="1"/>
  <c r="A77" i="1271" s="1"/>
  <c r="A78" i="1271" s="1"/>
  <c r="A79" i="1271" s="1"/>
  <c r="A80" i="1271" s="1"/>
  <c r="A81" i="1271" s="1"/>
  <c r="A74" i="1271"/>
  <c r="AF60" i="1271"/>
  <c r="AF59" i="1271"/>
  <c r="AF62" i="1271" s="1"/>
  <c r="AA21" i="1271"/>
  <c r="Z21" i="1271"/>
  <c r="Y21" i="1271"/>
  <c r="X21" i="1271"/>
  <c r="W21" i="1271"/>
  <c r="V21" i="1271"/>
  <c r="U21" i="1271"/>
  <c r="T21" i="1271"/>
  <c r="S21" i="1271"/>
  <c r="R21" i="1271"/>
  <c r="N21" i="1271"/>
  <c r="J21" i="1271"/>
  <c r="I21" i="1271"/>
  <c r="AF20" i="1271"/>
  <c r="Q20" i="1271"/>
  <c r="O20" i="1271"/>
  <c r="AF19" i="1271"/>
  <c r="AB19" i="1271"/>
  <c r="Q19" i="1271"/>
  <c r="P19" i="1271"/>
  <c r="AC19" i="1271" s="1"/>
  <c r="M19" i="1271"/>
  <c r="AF18" i="1271"/>
  <c r="AB18" i="1271"/>
  <c r="Q18" i="1271"/>
  <c r="P18" i="1271" s="1"/>
  <c r="AC18" i="1271" s="1"/>
  <c r="AD18" i="1271" s="1"/>
  <c r="O18" i="1271"/>
  <c r="M18" i="1271"/>
  <c r="AF17" i="1271"/>
  <c r="AB17" i="1271"/>
  <c r="Q17" i="1271"/>
  <c r="P17" i="1271"/>
  <c r="AC17" i="1271" s="1"/>
  <c r="O17" i="1271"/>
  <c r="M17" i="1271"/>
  <c r="K17" i="1271"/>
  <c r="AF16" i="1271"/>
  <c r="Q16" i="1271"/>
  <c r="AF15" i="1271"/>
  <c r="AB15" i="1271"/>
  <c r="Q15" i="1271"/>
  <c r="P15" i="1271"/>
  <c r="AC15" i="1271" s="1"/>
  <c r="O15" i="1271"/>
  <c r="M15" i="1271"/>
  <c r="K15" i="1271"/>
  <c r="AF14" i="1271"/>
  <c r="AB14" i="1271"/>
  <c r="Q14" i="1271"/>
  <c r="P14" i="1271"/>
  <c r="AC14" i="1271" s="1"/>
  <c r="O14" i="1271"/>
  <c r="M14" i="1271"/>
  <c r="K14" i="1271"/>
  <c r="AF13" i="1271"/>
  <c r="AB13" i="1271"/>
  <c r="Q13" i="1271"/>
  <c r="AF12" i="1271"/>
  <c r="Q12" i="1271"/>
  <c r="AF11" i="1271"/>
  <c r="Q11" i="1271"/>
  <c r="P11" i="1271" s="1"/>
  <c r="AC11" i="1271" s="1"/>
  <c r="O11" i="1271"/>
  <c r="AB11" i="1271"/>
  <c r="AF10" i="1271"/>
  <c r="Q10" i="1271"/>
  <c r="P10" i="1271" s="1"/>
  <c r="AC10" i="1271" s="1"/>
  <c r="O10" i="1271"/>
  <c r="AF9" i="1271"/>
  <c r="AB9" i="1271"/>
  <c r="Q9" i="1271"/>
  <c r="P9" i="1271" s="1"/>
  <c r="AC9" i="1271" s="1"/>
  <c r="O9" i="1271"/>
  <c r="M9" i="1271"/>
  <c r="AF8" i="1271"/>
  <c r="Q8" i="1271"/>
  <c r="AF7" i="1271"/>
  <c r="AB7" i="1271"/>
  <c r="Q7" i="1271"/>
  <c r="P7" i="1271"/>
  <c r="AC7" i="1271" s="1"/>
  <c r="O7" i="1271"/>
  <c r="M7" i="1271"/>
  <c r="K7" i="1271"/>
  <c r="AF6" i="1271"/>
  <c r="AC6" i="1271"/>
  <c r="AB6" i="1271"/>
  <c r="Q6" i="1271"/>
  <c r="P6" i="1271"/>
  <c r="O6" i="1271"/>
  <c r="M6" i="1271"/>
  <c r="K6" i="1271"/>
  <c r="AE10" i="1272" l="1"/>
  <c r="AE12" i="1272"/>
  <c r="AE20" i="1272"/>
  <c r="AE17" i="1272"/>
  <c r="AE15" i="1272"/>
  <c r="AE11" i="1272"/>
  <c r="AE7" i="1272"/>
  <c r="AE18" i="1272"/>
  <c r="AE8" i="1272"/>
  <c r="AE21" i="1272"/>
  <c r="AE14" i="1272"/>
  <c r="AE22" i="1272"/>
  <c r="AE16" i="1272"/>
  <c r="AE13" i="1272"/>
  <c r="AE6" i="1272"/>
  <c r="AE19" i="1272"/>
  <c r="AE9" i="1272"/>
  <c r="M16" i="1271"/>
  <c r="AB16" i="1271"/>
  <c r="O16" i="1271"/>
  <c r="AD17" i="1271"/>
  <c r="AD7" i="1271"/>
  <c r="P16" i="1271"/>
  <c r="AC16" i="1271" s="1"/>
  <c r="O19" i="1271"/>
  <c r="AD19" i="1271"/>
  <c r="M13" i="1271"/>
  <c r="AB12" i="1271"/>
  <c r="M10" i="1271"/>
  <c r="AB10" i="1271"/>
  <c r="AD10" i="1271" s="1"/>
  <c r="Q21" i="1271"/>
  <c r="K8" i="1271"/>
  <c r="AB8" i="1271"/>
  <c r="O8" i="1271"/>
  <c r="AD15" i="1271"/>
  <c r="AD9" i="1271"/>
  <c r="AD14" i="1271"/>
  <c r="AD16" i="1271"/>
  <c r="AD11" i="1271"/>
  <c r="P8" i="1271"/>
  <c r="AC8" i="1271" s="1"/>
  <c r="M11" i="1271"/>
  <c r="O12" i="1271"/>
  <c r="P13" i="1271"/>
  <c r="AC13" i="1271" s="1"/>
  <c r="AD13" i="1271" s="1"/>
  <c r="P20" i="1271"/>
  <c r="AC20" i="1271" s="1"/>
  <c r="P12" i="1271"/>
  <c r="AC12" i="1271" s="1"/>
  <c r="M20" i="1271"/>
  <c r="AB20" i="1271"/>
  <c r="L21" i="1271"/>
  <c r="O21" i="1271" s="1"/>
  <c r="AD6" i="1271"/>
  <c r="M12" i="1271"/>
  <c r="K21" i="1271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1" i="1270"/>
  <c r="O21" i="1270" s="1"/>
  <c r="K20" i="1270"/>
  <c r="L19" i="1270"/>
  <c r="O19" i="1270" s="1"/>
  <c r="L14" i="1270"/>
  <c r="K14" i="1270"/>
  <c r="L13" i="1270"/>
  <c r="AB13" i="1270" s="1"/>
  <c r="K13" i="1270"/>
  <c r="L12" i="1270"/>
  <c r="AB12" i="1270" s="1"/>
  <c r="L11" i="1270"/>
  <c r="AB11" i="1270" s="1"/>
  <c r="AF10" i="1270"/>
  <c r="AB10" i="1270"/>
  <c r="Q10" i="1270"/>
  <c r="P10" i="1270" s="1"/>
  <c r="AC10" i="1270" s="1"/>
  <c r="O10" i="1270"/>
  <c r="M10" i="1270"/>
  <c r="K10" i="1270"/>
  <c r="K9" i="1270"/>
  <c r="L8" i="1270"/>
  <c r="O8" i="1270" s="1"/>
  <c r="K21" i="1270"/>
  <c r="K19" i="1270"/>
  <c r="K18" i="1270"/>
  <c r="K17" i="1270"/>
  <c r="K12" i="1270"/>
  <c r="K11" i="1270"/>
  <c r="A75" i="1270"/>
  <c r="A76" i="1270" s="1"/>
  <c r="A77" i="1270" s="1"/>
  <c r="A78" i="1270" s="1"/>
  <c r="A79" i="1270" s="1"/>
  <c r="A80" i="1270" s="1"/>
  <c r="A81" i="1270" s="1"/>
  <c r="A82" i="1270" s="1"/>
  <c r="AF61" i="1270"/>
  <c r="AF60" i="1270"/>
  <c r="AF63" i="1270" s="1"/>
  <c r="AA22" i="1270"/>
  <c r="Z22" i="1270"/>
  <c r="Y22" i="1270"/>
  <c r="X22" i="1270"/>
  <c r="W22" i="1270"/>
  <c r="V22" i="1270"/>
  <c r="U22" i="1270"/>
  <c r="T22" i="1270"/>
  <c r="S22" i="1270"/>
  <c r="R22" i="1270"/>
  <c r="N22" i="1270"/>
  <c r="J22" i="1270"/>
  <c r="I22" i="1270"/>
  <c r="AF21" i="1270"/>
  <c r="AB21" i="1270"/>
  <c r="Q21" i="1270"/>
  <c r="M21" i="1270"/>
  <c r="AF20" i="1270"/>
  <c r="AB20" i="1270"/>
  <c r="Q20" i="1270"/>
  <c r="P20" i="1270"/>
  <c r="AC20" i="1270" s="1"/>
  <c r="O20" i="1270"/>
  <c r="M20" i="1270"/>
  <c r="AF19" i="1270"/>
  <c r="Q19" i="1270"/>
  <c r="P19" i="1270" s="1"/>
  <c r="AC19" i="1270" s="1"/>
  <c r="M19" i="1270"/>
  <c r="AF18" i="1270"/>
  <c r="AB18" i="1270"/>
  <c r="Q18" i="1270"/>
  <c r="P18" i="1270" s="1"/>
  <c r="AC18" i="1270" s="1"/>
  <c r="O18" i="1270"/>
  <c r="M18" i="1270"/>
  <c r="AF17" i="1270"/>
  <c r="AB17" i="1270"/>
  <c r="Q17" i="1270"/>
  <c r="P17" i="1270"/>
  <c r="AC17" i="1270" s="1"/>
  <c r="O17" i="1270"/>
  <c r="M17" i="1270"/>
  <c r="AF16" i="1270"/>
  <c r="AB16" i="1270"/>
  <c r="Q16" i="1270"/>
  <c r="P16" i="1270"/>
  <c r="AC16" i="1270" s="1"/>
  <c r="O16" i="1270"/>
  <c r="M16" i="1270"/>
  <c r="K16" i="1270"/>
  <c r="AF15" i="1270"/>
  <c r="AB15" i="1270"/>
  <c r="Q15" i="1270"/>
  <c r="P15" i="1270"/>
  <c r="AC15" i="1270" s="1"/>
  <c r="O15" i="1270"/>
  <c r="M15" i="1270"/>
  <c r="K15" i="1270"/>
  <c r="AF14" i="1270"/>
  <c r="Q14" i="1270"/>
  <c r="O14" i="1270"/>
  <c r="M14" i="1270"/>
  <c r="AF13" i="1270"/>
  <c r="Q13" i="1270"/>
  <c r="M13" i="1270"/>
  <c r="O13" i="1270"/>
  <c r="AF12" i="1270"/>
  <c r="Q12" i="1270"/>
  <c r="P12" i="1270" s="1"/>
  <c r="AC12" i="1270" s="1"/>
  <c r="O12" i="1270"/>
  <c r="M12" i="1270"/>
  <c r="AF11" i="1270"/>
  <c r="Q11" i="1270"/>
  <c r="P11" i="1270" s="1"/>
  <c r="AC11" i="1270" s="1"/>
  <c r="O11" i="1270"/>
  <c r="M11" i="1270"/>
  <c r="AF9" i="1270"/>
  <c r="AB9" i="1270"/>
  <c r="Q9" i="1270"/>
  <c r="P9" i="1270" s="1"/>
  <c r="AC9" i="1270" s="1"/>
  <c r="O9" i="1270"/>
  <c r="M9" i="1270"/>
  <c r="AF8" i="1270"/>
  <c r="Q8" i="1270"/>
  <c r="AF7" i="1270"/>
  <c r="AB7" i="1270"/>
  <c r="Q7" i="1270"/>
  <c r="P7" i="1270"/>
  <c r="AC7" i="1270" s="1"/>
  <c r="O7" i="1270"/>
  <c r="M7" i="1270"/>
  <c r="K7" i="1270"/>
  <c r="AF6" i="1270"/>
  <c r="AB6" i="1270"/>
  <c r="Q6" i="1270"/>
  <c r="P6" i="1270"/>
  <c r="O6" i="1270"/>
  <c r="M6" i="1270"/>
  <c r="K6" i="1270"/>
  <c r="AD8" i="1271" l="1"/>
  <c r="AB21" i="1271"/>
  <c r="AD12" i="1271"/>
  <c r="M21" i="1271"/>
  <c r="P21" i="1271"/>
  <c r="AC21" i="1271"/>
  <c r="AD20" i="1271"/>
  <c r="P14" i="1270"/>
  <c r="AC14" i="1270" s="1"/>
  <c r="AD10" i="1270"/>
  <c r="AD11" i="1270"/>
  <c r="AD16" i="1270"/>
  <c r="AD7" i="1270"/>
  <c r="AD20" i="1270"/>
  <c r="Q22" i="1270"/>
  <c r="P8" i="1270"/>
  <c r="AC8" i="1270" s="1"/>
  <c r="AB8" i="1270"/>
  <c r="M8" i="1270"/>
  <c r="M22" i="1270" s="1"/>
  <c r="K8" i="1270"/>
  <c r="AD9" i="1270"/>
  <c r="AD17" i="1270"/>
  <c r="AD15" i="1270"/>
  <c r="AD18" i="1270"/>
  <c r="AD12" i="1270"/>
  <c r="P13" i="1270"/>
  <c r="AC13" i="1270" s="1"/>
  <c r="AD13" i="1270" s="1"/>
  <c r="P21" i="1270"/>
  <c r="AC21" i="1270" s="1"/>
  <c r="AD21" i="1270" s="1"/>
  <c r="AC6" i="1270"/>
  <c r="AB14" i="1270"/>
  <c r="AB19" i="1270"/>
  <c r="AD19" i="1270" s="1"/>
  <c r="L22" i="1270"/>
  <c r="O22" i="1270" s="1"/>
  <c r="K22" i="1270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0" i="1269"/>
  <c r="K20" i="1269" s="1"/>
  <c r="L18" i="1269"/>
  <c r="K18" i="1269" s="1"/>
  <c r="K17" i="1269"/>
  <c r="L16" i="1269"/>
  <c r="AB16" i="1269" s="1"/>
  <c r="L13" i="1269"/>
  <c r="L12" i="1269"/>
  <c r="L21" i="1269" s="1"/>
  <c r="O21" i="1269" s="1"/>
  <c r="K11" i="1269"/>
  <c r="K9" i="1269"/>
  <c r="AF9" i="1269"/>
  <c r="AB9" i="1269"/>
  <c r="Q9" i="1269"/>
  <c r="P9" i="1269"/>
  <c r="AC9" i="1269" s="1"/>
  <c r="O9" i="1269"/>
  <c r="M9" i="1269"/>
  <c r="L8" i="1269"/>
  <c r="K16" i="1269"/>
  <c r="K13" i="1269"/>
  <c r="K12" i="1269"/>
  <c r="K10" i="1269"/>
  <c r="K8" i="1269"/>
  <c r="A74" i="1269"/>
  <c r="A75" i="1269" s="1"/>
  <c r="A76" i="1269" s="1"/>
  <c r="A77" i="1269" s="1"/>
  <c r="A78" i="1269" s="1"/>
  <c r="A79" i="1269" s="1"/>
  <c r="A80" i="1269" s="1"/>
  <c r="A81" i="1269" s="1"/>
  <c r="AF62" i="1269"/>
  <c r="AF60" i="1269"/>
  <c r="AF59" i="1269"/>
  <c r="AA21" i="1269"/>
  <c r="Z21" i="1269"/>
  <c r="Y21" i="1269"/>
  <c r="X21" i="1269"/>
  <c r="W21" i="1269"/>
  <c r="V21" i="1269"/>
  <c r="U21" i="1269"/>
  <c r="T21" i="1269"/>
  <c r="S21" i="1269"/>
  <c r="R21" i="1269"/>
  <c r="N21" i="1269"/>
  <c r="J21" i="1269"/>
  <c r="I21" i="1269"/>
  <c r="AF20" i="1269"/>
  <c r="Q20" i="1269"/>
  <c r="P20" i="1269"/>
  <c r="AC20" i="1269" s="1"/>
  <c r="O20" i="1269"/>
  <c r="AF19" i="1269"/>
  <c r="AC19" i="1269"/>
  <c r="AB19" i="1269"/>
  <c r="Q19" i="1269"/>
  <c r="P19" i="1269"/>
  <c r="O19" i="1269"/>
  <c r="M19" i="1269"/>
  <c r="K19" i="1269"/>
  <c r="AF18" i="1269"/>
  <c r="Q18" i="1269"/>
  <c r="P18" i="1269"/>
  <c r="AC18" i="1269" s="1"/>
  <c r="AF17" i="1269"/>
  <c r="AB17" i="1269"/>
  <c r="Q17" i="1269"/>
  <c r="P17" i="1269" s="1"/>
  <c r="AC17" i="1269" s="1"/>
  <c r="O17" i="1269"/>
  <c r="M17" i="1269"/>
  <c r="AF16" i="1269"/>
  <c r="Q16" i="1269"/>
  <c r="O16" i="1269"/>
  <c r="M16" i="1269"/>
  <c r="AF15" i="1269"/>
  <c r="AB15" i="1269"/>
  <c r="Q15" i="1269"/>
  <c r="P15" i="1269"/>
  <c r="AC15" i="1269" s="1"/>
  <c r="AD15" i="1269" s="1"/>
  <c r="O15" i="1269"/>
  <c r="M15" i="1269"/>
  <c r="K15" i="1269"/>
  <c r="AF14" i="1269"/>
  <c r="AB14" i="1269"/>
  <c r="Q14" i="1269"/>
  <c r="P14" i="1269"/>
  <c r="AC14" i="1269" s="1"/>
  <c r="AD14" i="1269" s="1"/>
  <c r="O14" i="1269"/>
  <c r="M14" i="1269"/>
  <c r="K14" i="1269"/>
  <c r="AF13" i="1269"/>
  <c r="Q13" i="1269"/>
  <c r="AF12" i="1269"/>
  <c r="Q12" i="1269"/>
  <c r="P12" i="1269"/>
  <c r="AC12" i="1269" s="1"/>
  <c r="O12" i="1269"/>
  <c r="AF11" i="1269"/>
  <c r="AB11" i="1269"/>
  <c r="Q11" i="1269"/>
  <c r="P11" i="1269" s="1"/>
  <c r="AC11" i="1269" s="1"/>
  <c r="O11" i="1269"/>
  <c r="M11" i="1269"/>
  <c r="AF10" i="1269"/>
  <c r="AB10" i="1269"/>
  <c r="Q10" i="1269"/>
  <c r="O10" i="1269"/>
  <c r="M10" i="1269"/>
  <c r="P10" i="1269"/>
  <c r="AC10" i="1269" s="1"/>
  <c r="AD10" i="1269" s="1"/>
  <c r="AF8" i="1269"/>
  <c r="AB8" i="1269"/>
  <c r="Q8" i="1269"/>
  <c r="O8" i="1269"/>
  <c r="M8" i="1269"/>
  <c r="AF7" i="1269"/>
  <c r="AC7" i="1269"/>
  <c r="AD7" i="1269" s="1"/>
  <c r="AB7" i="1269"/>
  <c r="Q7" i="1269"/>
  <c r="P7" i="1269"/>
  <c r="O7" i="1269"/>
  <c r="M7" i="1269"/>
  <c r="K7" i="1269"/>
  <c r="AF6" i="1269"/>
  <c r="AB6" i="1269"/>
  <c r="Q6" i="1269"/>
  <c r="P6" i="1269"/>
  <c r="AC6" i="1269" s="1"/>
  <c r="O6" i="1269"/>
  <c r="M6" i="1269"/>
  <c r="K6" i="1269"/>
  <c r="AD21" i="1271" l="1"/>
  <c r="AE14" i="1271" s="1"/>
  <c r="AD8" i="1270"/>
  <c r="AB22" i="1270"/>
  <c r="AD14" i="1270"/>
  <c r="P22" i="1270"/>
  <c r="AC22" i="1270"/>
  <c r="AD6" i="1270"/>
  <c r="P16" i="1269"/>
  <c r="AC16" i="1269" s="1"/>
  <c r="P13" i="1269"/>
  <c r="AC13" i="1269" s="1"/>
  <c r="AD9" i="1269"/>
  <c r="P8" i="1269"/>
  <c r="AC8" i="1269" s="1"/>
  <c r="AD8" i="1269" s="1"/>
  <c r="Q21" i="1269"/>
  <c r="AD11" i="1269"/>
  <c r="AD17" i="1269"/>
  <c r="AD19" i="1269"/>
  <c r="AD16" i="1269"/>
  <c r="AD6" i="1269"/>
  <c r="M13" i="1269"/>
  <c r="AB13" i="1269"/>
  <c r="AD13" i="1269" s="1"/>
  <c r="M18" i="1269"/>
  <c r="AB18" i="1269"/>
  <c r="K21" i="1269"/>
  <c r="M12" i="1269"/>
  <c r="AB12" i="1269"/>
  <c r="AD12" i="1269" s="1"/>
  <c r="O13" i="1269"/>
  <c r="O18" i="1269"/>
  <c r="M20" i="1269"/>
  <c r="AB20" i="1269"/>
  <c r="AD20" i="1269" s="1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0" i="1268"/>
  <c r="L18" i="1268"/>
  <c r="O18" i="1268" s="1"/>
  <c r="K18" i="1268"/>
  <c r="L16" i="1268"/>
  <c r="K16" i="1268"/>
  <c r="L13" i="1268"/>
  <c r="O13" i="1268" s="1"/>
  <c r="K13" i="1268"/>
  <c r="L12" i="1268"/>
  <c r="L11" i="1268"/>
  <c r="AB11" i="1268" s="1"/>
  <c r="K11" i="1268"/>
  <c r="L10" i="1268"/>
  <c r="O10" i="1268" s="1"/>
  <c r="L8" i="1268"/>
  <c r="AB8" i="1268" s="1"/>
  <c r="K8" i="1268"/>
  <c r="K20" i="1268"/>
  <c r="K12" i="1268"/>
  <c r="K10" i="1268"/>
  <c r="A74" i="1268"/>
  <c r="A75" i="1268" s="1"/>
  <c r="A76" i="1268" s="1"/>
  <c r="A77" i="1268" s="1"/>
  <c r="A78" i="1268" s="1"/>
  <c r="A79" i="1268" s="1"/>
  <c r="A80" i="1268" s="1"/>
  <c r="A81" i="1268" s="1"/>
  <c r="AF60" i="1268"/>
  <c r="AF62" i="1268" s="1"/>
  <c r="AF59" i="1268"/>
  <c r="AA21" i="1268"/>
  <c r="Z21" i="1268"/>
  <c r="Y21" i="1268"/>
  <c r="X21" i="1268"/>
  <c r="W21" i="1268"/>
  <c r="V21" i="1268"/>
  <c r="U21" i="1268"/>
  <c r="T21" i="1268"/>
  <c r="S21" i="1268"/>
  <c r="R21" i="1268"/>
  <c r="N21" i="1268"/>
  <c r="J21" i="1268"/>
  <c r="I21" i="1268"/>
  <c r="AF20" i="1268"/>
  <c r="AB20" i="1268"/>
  <c r="Q20" i="1268"/>
  <c r="M20" i="1268"/>
  <c r="O20" i="1268"/>
  <c r="AF19" i="1268"/>
  <c r="AB19" i="1268"/>
  <c r="Q19" i="1268"/>
  <c r="P19" i="1268"/>
  <c r="AC19" i="1268" s="1"/>
  <c r="AD19" i="1268" s="1"/>
  <c r="O19" i="1268"/>
  <c r="M19" i="1268"/>
  <c r="K19" i="1268"/>
  <c r="AF18" i="1268"/>
  <c r="AB18" i="1268"/>
  <c r="Q18" i="1268"/>
  <c r="P18" i="1268" s="1"/>
  <c r="AC18" i="1268" s="1"/>
  <c r="M18" i="1268"/>
  <c r="AF17" i="1268"/>
  <c r="AC17" i="1268"/>
  <c r="AB17" i="1268"/>
  <c r="Q17" i="1268"/>
  <c r="P17" i="1268"/>
  <c r="O17" i="1268"/>
  <c r="M17" i="1268"/>
  <c r="K17" i="1268"/>
  <c r="AF16" i="1268"/>
  <c r="AB16" i="1268"/>
  <c r="Q16" i="1268"/>
  <c r="O16" i="1268"/>
  <c r="M16" i="1268"/>
  <c r="AF15" i="1268"/>
  <c r="AB15" i="1268"/>
  <c r="Q15" i="1268"/>
  <c r="P15" i="1268"/>
  <c r="AC15" i="1268" s="1"/>
  <c r="AD15" i="1268" s="1"/>
  <c r="O15" i="1268"/>
  <c r="M15" i="1268"/>
  <c r="K15" i="1268"/>
  <c r="AF14" i="1268"/>
  <c r="AB14" i="1268"/>
  <c r="Q14" i="1268"/>
  <c r="P14" i="1268"/>
  <c r="AC14" i="1268" s="1"/>
  <c r="AD14" i="1268" s="1"/>
  <c r="O14" i="1268"/>
  <c r="M14" i="1268"/>
  <c r="K14" i="1268"/>
  <c r="AF13" i="1268"/>
  <c r="AB13" i="1268"/>
  <c r="Q13" i="1268"/>
  <c r="P13" i="1268" s="1"/>
  <c r="AC13" i="1268" s="1"/>
  <c r="M13" i="1268"/>
  <c r="AF12" i="1268"/>
  <c r="Q12" i="1268"/>
  <c r="P12" i="1268" s="1"/>
  <c r="AC12" i="1268" s="1"/>
  <c r="AF11" i="1268"/>
  <c r="Q11" i="1268"/>
  <c r="P11" i="1268"/>
  <c r="AC11" i="1268" s="1"/>
  <c r="O11" i="1268"/>
  <c r="AF10" i="1268"/>
  <c r="AB10" i="1268"/>
  <c r="Q10" i="1268"/>
  <c r="P10" i="1268"/>
  <c r="AC10" i="1268" s="1"/>
  <c r="M10" i="1268"/>
  <c r="AF9" i="1268"/>
  <c r="AC9" i="1268"/>
  <c r="AD9" i="1268" s="1"/>
  <c r="AB9" i="1268"/>
  <c r="Q9" i="1268"/>
  <c r="P9" i="1268"/>
  <c r="O9" i="1268"/>
  <c r="M9" i="1268"/>
  <c r="K9" i="1268"/>
  <c r="AF8" i="1268"/>
  <c r="AC8" i="1268"/>
  <c r="Q8" i="1268"/>
  <c r="P8" i="1268"/>
  <c r="O8" i="1268"/>
  <c r="AF7" i="1268"/>
  <c r="AC7" i="1268"/>
  <c r="AD7" i="1268" s="1"/>
  <c r="AB7" i="1268"/>
  <c r="Q7" i="1268"/>
  <c r="P7" i="1268"/>
  <c r="O7" i="1268"/>
  <c r="M7" i="1268"/>
  <c r="K7" i="1268"/>
  <c r="AF6" i="1268"/>
  <c r="AC6" i="1268"/>
  <c r="AB6" i="1268"/>
  <c r="Q6" i="1268"/>
  <c r="P6" i="1268"/>
  <c r="O6" i="1268"/>
  <c r="M6" i="1268"/>
  <c r="K6" i="1268"/>
  <c r="AE16" i="1271" l="1"/>
  <c r="AE12" i="1271"/>
  <c r="AE9" i="1271"/>
  <c r="AE8" i="1271"/>
  <c r="AE15" i="1271"/>
  <c r="AE17" i="1271"/>
  <c r="AE18" i="1271"/>
  <c r="AE7" i="1271"/>
  <c r="AE6" i="1271"/>
  <c r="AE20" i="1271"/>
  <c r="AE11" i="1271"/>
  <c r="AE10" i="1271"/>
  <c r="AE13" i="1271"/>
  <c r="AE19" i="1271"/>
  <c r="AD22" i="1270"/>
  <c r="AC21" i="1269"/>
  <c r="P21" i="1269"/>
  <c r="M21" i="1269"/>
  <c r="AD18" i="1269"/>
  <c r="AD21" i="1269" s="1"/>
  <c r="AE9" i="1269" s="1"/>
  <c r="AB21" i="1269"/>
  <c r="P20" i="1268"/>
  <c r="AC20" i="1268" s="1"/>
  <c r="AD18" i="1268"/>
  <c r="P16" i="1268"/>
  <c r="AC16" i="1268" s="1"/>
  <c r="AD16" i="1268" s="1"/>
  <c r="L21" i="1268"/>
  <c r="O21" i="1268" s="1"/>
  <c r="Q21" i="1268"/>
  <c r="AD13" i="1268"/>
  <c r="AD11" i="1268"/>
  <c r="M11" i="1268"/>
  <c r="AD8" i="1268"/>
  <c r="M8" i="1268"/>
  <c r="AD17" i="1268"/>
  <c r="AD10" i="1268"/>
  <c r="AD20" i="1268"/>
  <c r="AB17" i="16" s="1"/>
  <c r="AD6" i="1268"/>
  <c r="M12" i="1268"/>
  <c r="AB12" i="1268"/>
  <c r="AB21" i="1268" s="1"/>
  <c r="O12" i="1268"/>
  <c r="K21" i="1268"/>
  <c r="L20" i="1267"/>
  <c r="K20" i="1267" s="1"/>
  <c r="L12" i="1267"/>
  <c r="L10" i="1267"/>
  <c r="K18" i="1267"/>
  <c r="K13" i="1267"/>
  <c r="K12" i="1267"/>
  <c r="K11" i="1267"/>
  <c r="K10" i="1267"/>
  <c r="K9" i="1267"/>
  <c r="A75" i="1267"/>
  <c r="A76" i="1267" s="1"/>
  <c r="A77" i="1267" s="1"/>
  <c r="A78" i="1267" s="1"/>
  <c r="A79" i="1267" s="1"/>
  <c r="A80" i="1267" s="1"/>
  <c r="A81" i="1267" s="1"/>
  <c r="A74" i="1267"/>
  <c r="AF60" i="1267"/>
  <c r="AF59" i="1267"/>
  <c r="AF62" i="1267" s="1"/>
  <c r="AA21" i="1267"/>
  <c r="Z21" i="1267"/>
  <c r="Y21" i="1267"/>
  <c r="X21" i="1267"/>
  <c r="W21" i="1267"/>
  <c r="V21" i="1267"/>
  <c r="U21" i="1267"/>
  <c r="T21" i="1267"/>
  <c r="S21" i="1267"/>
  <c r="R21" i="1267"/>
  <c r="N21" i="1267"/>
  <c r="J21" i="1267"/>
  <c r="I21" i="1267"/>
  <c r="AF20" i="1267"/>
  <c r="Q20" i="1267"/>
  <c r="O20" i="1267"/>
  <c r="AF19" i="1267"/>
  <c r="AB19" i="1267"/>
  <c r="Q19" i="1267"/>
  <c r="P19" i="1267"/>
  <c r="AC19" i="1267" s="1"/>
  <c r="O19" i="1267"/>
  <c r="M19" i="1267"/>
  <c r="K19" i="1267"/>
  <c r="AF18" i="1267"/>
  <c r="AB18" i="1267"/>
  <c r="Q18" i="1267"/>
  <c r="P18" i="1267" s="1"/>
  <c r="AC18" i="1267" s="1"/>
  <c r="M18" i="1267"/>
  <c r="AF17" i="1267"/>
  <c r="AB17" i="1267"/>
  <c r="Q17" i="1267"/>
  <c r="P17" i="1267"/>
  <c r="AC17" i="1267" s="1"/>
  <c r="AD17" i="1267" s="1"/>
  <c r="O17" i="1267"/>
  <c r="M17" i="1267"/>
  <c r="K17" i="1267"/>
  <c r="AF16" i="1267"/>
  <c r="AB16" i="1267"/>
  <c r="Q16" i="1267"/>
  <c r="P16" i="1267"/>
  <c r="AC16" i="1267" s="1"/>
  <c r="AD16" i="1267" s="1"/>
  <c r="O16" i="1267"/>
  <c r="M16" i="1267"/>
  <c r="K16" i="1267"/>
  <c r="AF15" i="1267"/>
  <c r="AB15" i="1267"/>
  <c r="Q15" i="1267"/>
  <c r="P15" i="1267"/>
  <c r="AC15" i="1267" s="1"/>
  <c r="AD15" i="1267" s="1"/>
  <c r="O15" i="1267"/>
  <c r="M15" i="1267"/>
  <c r="K15" i="1267"/>
  <c r="AF14" i="1267"/>
  <c r="AB14" i="1267"/>
  <c r="Q14" i="1267"/>
  <c r="P14" i="1267"/>
  <c r="AC14" i="1267" s="1"/>
  <c r="AD14" i="1267" s="1"/>
  <c r="O14" i="1267"/>
  <c r="M14" i="1267"/>
  <c r="K14" i="1267"/>
  <c r="AF13" i="1267"/>
  <c r="Q13" i="1267"/>
  <c r="AB13" i="1267"/>
  <c r="AF12" i="1267"/>
  <c r="AB12" i="1267"/>
  <c r="Q12" i="1267"/>
  <c r="O12" i="1267"/>
  <c r="M12" i="1267"/>
  <c r="AF11" i="1267"/>
  <c r="AB11" i="1267"/>
  <c r="Q11" i="1267"/>
  <c r="P11" i="1267" s="1"/>
  <c r="AC11" i="1267" s="1"/>
  <c r="AD11" i="1267" s="1"/>
  <c r="O11" i="1267"/>
  <c r="M11" i="1267"/>
  <c r="AF10" i="1267"/>
  <c r="Q10" i="1267"/>
  <c r="L21" i="1267"/>
  <c r="O21" i="1267" s="1"/>
  <c r="AF9" i="1267"/>
  <c r="AB9" i="1267"/>
  <c r="Q9" i="1267"/>
  <c r="P9" i="1267"/>
  <c r="AC9" i="1267" s="1"/>
  <c r="AD9" i="1267" s="1"/>
  <c r="O9" i="1267"/>
  <c r="M9" i="1267"/>
  <c r="AF8" i="1267"/>
  <c r="AB8" i="1267"/>
  <c r="Q8" i="1267"/>
  <c r="P8" i="1267"/>
  <c r="AC8" i="1267" s="1"/>
  <c r="O8" i="1267"/>
  <c r="M8" i="1267"/>
  <c r="K8" i="1267"/>
  <c r="AF7" i="1267"/>
  <c r="AB7" i="1267"/>
  <c r="Q7" i="1267"/>
  <c r="P7" i="1267"/>
  <c r="AC7" i="1267" s="1"/>
  <c r="AD7" i="1267" s="1"/>
  <c r="O7" i="1267"/>
  <c r="M7" i="1267"/>
  <c r="K7" i="1267"/>
  <c r="AF6" i="1267"/>
  <c r="AB6" i="1267"/>
  <c r="Q6" i="1267"/>
  <c r="P6" i="1267"/>
  <c r="O6" i="1267"/>
  <c r="M6" i="1267"/>
  <c r="K6" i="1267"/>
  <c r="AE15" i="1270" l="1"/>
  <c r="AE10" i="1270"/>
  <c r="AE18" i="1270"/>
  <c r="AE6" i="1270"/>
  <c r="AE7" i="1270"/>
  <c r="AE14" i="1270"/>
  <c r="AE17" i="1270"/>
  <c r="AE20" i="1270"/>
  <c r="AE16" i="1270"/>
  <c r="AE9" i="1270"/>
  <c r="AE11" i="1270"/>
  <c r="AE13" i="1270"/>
  <c r="AE12" i="1270"/>
  <c r="AE8" i="1270"/>
  <c r="AE19" i="1270"/>
  <c r="AE21" i="1270"/>
  <c r="AE16" i="1269"/>
  <c r="AE10" i="1269"/>
  <c r="AE7" i="1269"/>
  <c r="AE19" i="1269"/>
  <c r="AE14" i="1269"/>
  <c r="AE11" i="1269"/>
  <c r="AE8" i="1269"/>
  <c r="AE6" i="1269"/>
  <c r="AE18" i="1269"/>
  <c r="AE13" i="1269"/>
  <c r="AE20" i="1269"/>
  <c r="AE17" i="1269"/>
  <c r="AE12" i="1269"/>
  <c r="AE15" i="1269"/>
  <c r="P21" i="1268"/>
  <c r="AC21" i="1268"/>
  <c r="M21" i="1268"/>
  <c r="AD12" i="1268"/>
  <c r="AD21" i="1268" s="1"/>
  <c r="AB18" i="16" s="1"/>
  <c r="P12" i="1267"/>
  <c r="AC12" i="1267" s="1"/>
  <c r="AD12" i="1267" s="1"/>
  <c r="Q21" i="1267"/>
  <c r="AD8" i="1267"/>
  <c r="AD19" i="1267"/>
  <c r="O10" i="1267"/>
  <c r="O13" i="1267"/>
  <c r="P10" i="1267"/>
  <c r="AC10" i="1267" s="1"/>
  <c r="P13" i="1267"/>
  <c r="AC13" i="1267" s="1"/>
  <c r="P20" i="1267"/>
  <c r="AC20" i="1267" s="1"/>
  <c r="AC6" i="1267"/>
  <c r="M10" i="1267"/>
  <c r="AB10" i="1267"/>
  <c r="M13" i="1267"/>
  <c r="O18" i="1267"/>
  <c r="AD18" i="1267" s="1"/>
  <c r="M20" i="1267"/>
  <c r="AB20" i="1267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1266"/>
  <c r="L18" i="1266"/>
  <c r="M18" i="1266" s="1"/>
  <c r="K18" i="1266"/>
  <c r="L13" i="1266"/>
  <c r="AB13" i="1266" s="1"/>
  <c r="K13" i="1266"/>
  <c r="L12" i="1266"/>
  <c r="K12" i="1266"/>
  <c r="L10" i="1266"/>
  <c r="K10" i="1266" s="1"/>
  <c r="K9" i="1266"/>
  <c r="K20" i="1266"/>
  <c r="K19" i="1266"/>
  <c r="K16" i="1266"/>
  <c r="K15" i="1266"/>
  <c r="K11" i="1266"/>
  <c r="A75" i="1266"/>
  <c r="A76" i="1266" s="1"/>
  <c r="A77" i="1266" s="1"/>
  <c r="A78" i="1266" s="1"/>
  <c r="A79" i="1266" s="1"/>
  <c r="A80" i="1266" s="1"/>
  <c r="A81" i="1266" s="1"/>
  <c r="A74" i="1266"/>
  <c r="AF60" i="1266"/>
  <c r="AF59" i="1266"/>
  <c r="AF62" i="1266" s="1"/>
  <c r="AA21" i="1266"/>
  <c r="Z21" i="1266"/>
  <c r="Y21" i="1266"/>
  <c r="X21" i="1266"/>
  <c r="W21" i="1266"/>
  <c r="V21" i="1266"/>
  <c r="U21" i="1266"/>
  <c r="T21" i="1266"/>
  <c r="S21" i="1266"/>
  <c r="R21" i="1266"/>
  <c r="N21" i="1266"/>
  <c r="J21" i="1266"/>
  <c r="I21" i="1266"/>
  <c r="AF20" i="1266"/>
  <c r="Q20" i="1266"/>
  <c r="O20" i="1266"/>
  <c r="AF19" i="1266"/>
  <c r="AB19" i="1266"/>
  <c r="Q19" i="1266"/>
  <c r="P19" i="1266"/>
  <c r="AC19" i="1266" s="1"/>
  <c r="O19" i="1266"/>
  <c r="M19" i="1266"/>
  <c r="AF18" i="1266"/>
  <c r="AB18" i="1266"/>
  <c r="Q18" i="1266"/>
  <c r="P18" i="1266" s="1"/>
  <c r="AC18" i="1266" s="1"/>
  <c r="O18" i="1266"/>
  <c r="AF17" i="1266"/>
  <c r="AB17" i="1266"/>
  <c r="Q17" i="1266"/>
  <c r="P17" i="1266"/>
  <c r="AC17" i="1266" s="1"/>
  <c r="O17" i="1266"/>
  <c r="M17" i="1266"/>
  <c r="K17" i="1266"/>
  <c r="AF16" i="1266"/>
  <c r="AB16" i="1266"/>
  <c r="Q16" i="1266"/>
  <c r="M16" i="1266"/>
  <c r="P16" i="1266"/>
  <c r="AC16" i="1266" s="1"/>
  <c r="AF15" i="1266"/>
  <c r="Q15" i="1266"/>
  <c r="P15" i="1266"/>
  <c r="AC15" i="1266" s="1"/>
  <c r="AF14" i="1266"/>
  <c r="AB14" i="1266"/>
  <c r="Q14" i="1266"/>
  <c r="P14" i="1266"/>
  <c r="AC14" i="1266" s="1"/>
  <c r="O14" i="1266"/>
  <c r="M14" i="1266"/>
  <c r="K14" i="1266"/>
  <c r="AF13" i="1266"/>
  <c r="Q13" i="1266"/>
  <c r="M13" i="1266"/>
  <c r="P13" i="1266"/>
  <c r="AC13" i="1266" s="1"/>
  <c r="AF12" i="1266"/>
  <c r="Q12" i="1266"/>
  <c r="P12" i="1266"/>
  <c r="AC12" i="1266" s="1"/>
  <c r="AF11" i="1266"/>
  <c r="Q11" i="1266"/>
  <c r="P11" i="1266"/>
  <c r="AC11" i="1266" s="1"/>
  <c r="O11" i="1266"/>
  <c r="AB11" i="1266"/>
  <c r="AF10" i="1266"/>
  <c r="AB10" i="1266"/>
  <c r="Q10" i="1266"/>
  <c r="P10" i="1266"/>
  <c r="AC10" i="1266" s="1"/>
  <c r="O10" i="1266"/>
  <c r="M10" i="1266"/>
  <c r="L21" i="1266"/>
  <c r="O21" i="1266" s="1"/>
  <c r="AF9" i="1266"/>
  <c r="AB9" i="1266"/>
  <c r="Q9" i="1266"/>
  <c r="P9" i="1266" s="1"/>
  <c r="AC9" i="1266" s="1"/>
  <c r="O9" i="1266"/>
  <c r="M9" i="1266"/>
  <c r="AF8" i="1266"/>
  <c r="AB8" i="1266"/>
  <c r="Q8" i="1266"/>
  <c r="P8" i="1266"/>
  <c r="AC8" i="1266" s="1"/>
  <c r="AD8" i="1266" s="1"/>
  <c r="O8" i="1266"/>
  <c r="M8" i="1266"/>
  <c r="K8" i="1266"/>
  <c r="AF7" i="1266"/>
  <c r="AB7" i="1266"/>
  <c r="Q7" i="1266"/>
  <c r="P7" i="1266"/>
  <c r="AC7" i="1266" s="1"/>
  <c r="AD7" i="1266" s="1"/>
  <c r="O7" i="1266"/>
  <c r="M7" i="1266"/>
  <c r="K7" i="1266"/>
  <c r="AF6" i="1266"/>
  <c r="AB6" i="1266"/>
  <c r="Q6" i="1266"/>
  <c r="P6" i="1266"/>
  <c r="AC6" i="1266" s="1"/>
  <c r="O6" i="1266"/>
  <c r="M6" i="1266"/>
  <c r="K6" i="1266"/>
  <c r="AE10" i="1268" l="1"/>
  <c r="AE13" i="1268"/>
  <c r="AE6" i="1268"/>
  <c r="AE19" i="1268"/>
  <c r="AE17" i="1268"/>
  <c r="AE15" i="1268"/>
  <c r="AE8" i="1268"/>
  <c r="AE12" i="1268"/>
  <c r="AE7" i="1268"/>
  <c r="AE20" i="1268"/>
  <c r="AE11" i="1268"/>
  <c r="AE18" i="1268"/>
  <c r="AE16" i="1268"/>
  <c r="AE14" i="1268"/>
  <c r="AE9" i="1268"/>
  <c r="M21" i="1267"/>
  <c r="AB21" i="1267"/>
  <c r="AD13" i="1267"/>
  <c r="AD20" i="1267"/>
  <c r="AD10" i="1267"/>
  <c r="P21" i="1267"/>
  <c r="K21" i="1267"/>
  <c r="AC21" i="1267"/>
  <c r="AD6" i="1267"/>
  <c r="AD18" i="1266"/>
  <c r="AD11" i="1266"/>
  <c r="AD10" i="1266"/>
  <c r="AD14" i="1266"/>
  <c r="AD17" i="1266"/>
  <c r="AD19" i="1266"/>
  <c r="Q21" i="1266"/>
  <c r="AD9" i="1266"/>
  <c r="AD6" i="1266"/>
  <c r="P20" i="1266"/>
  <c r="AC20" i="1266" s="1"/>
  <c r="M12" i="1266"/>
  <c r="AB12" i="1266"/>
  <c r="O13" i="1266"/>
  <c r="AD13" i="1266" s="1"/>
  <c r="M15" i="1266"/>
  <c r="AB15" i="1266"/>
  <c r="O16" i="1266"/>
  <c r="AD16" i="1266" s="1"/>
  <c r="M11" i="1266"/>
  <c r="O12" i="1266"/>
  <c r="O15" i="1266"/>
  <c r="M20" i="1266"/>
  <c r="AB20" i="1266"/>
  <c r="P21" i="1266"/>
  <c r="K21" i="126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0" i="1265"/>
  <c r="K20" i="1265" s="1"/>
  <c r="L18" i="1265"/>
  <c r="O18" i="1265" s="1"/>
  <c r="L16" i="1265"/>
  <c r="K16" i="1265" s="1"/>
  <c r="L15" i="1265"/>
  <c r="L13" i="1265"/>
  <c r="K13" i="1265" s="1"/>
  <c r="L12" i="1265"/>
  <c r="L11" i="1265"/>
  <c r="O11" i="1265" s="1"/>
  <c r="L10" i="1265"/>
  <c r="K10" i="1265" s="1"/>
  <c r="K9" i="1265"/>
  <c r="K19" i="1265"/>
  <c r="K17" i="1265"/>
  <c r="K15" i="1265"/>
  <c r="K12" i="1265"/>
  <c r="A74" i="1265"/>
  <c r="A75" i="1265" s="1"/>
  <c r="A76" i="1265" s="1"/>
  <c r="A77" i="1265" s="1"/>
  <c r="A78" i="1265" s="1"/>
  <c r="A79" i="1265" s="1"/>
  <c r="A80" i="1265" s="1"/>
  <c r="A81" i="1265" s="1"/>
  <c r="AF60" i="1265"/>
  <c r="AF59" i="1265"/>
  <c r="AA21" i="1265"/>
  <c r="Z21" i="1265"/>
  <c r="Y21" i="1265"/>
  <c r="X21" i="1265"/>
  <c r="W21" i="1265"/>
  <c r="V21" i="1265"/>
  <c r="U21" i="1265"/>
  <c r="T21" i="1265"/>
  <c r="S21" i="1265"/>
  <c r="R21" i="1265"/>
  <c r="N21" i="1265"/>
  <c r="J21" i="1265"/>
  <c r="I21" i="1265"/>
  <c r="AF20" i="1265"/>
  <c r="Q20" i="1265"/>
  <c r="O20" i="1265"/>
  <c r="AF19" i="1265"/>
  <c r="Q19" i="1265"/>
  <c r="P19" i="1265" s="1"/>
  <c r="AC19" i="1265" s="1"/>
  <c r="AB19" i="1265"/>
  <c r="AF18" i="1265"/>
  <c r="Q18" i="1265"/>
  <c r="AB18" i="1265"/>
  <c r="AF17" i="1265"/>
  <c r="AB17" i="1265"/>
  <c r="Q17" i="1265"/>
  <c r="P17" i="1265"/>
  <c r="AC17" i="1265" s="1"/>
  <c r="O17" i="1265"/>
  <c r="M17" i="1265"/>
  <c r="AF16" i="1265"/>
  <c r="AB16" i="1265"/>
  <c r="Q16" i="1265"/>
  <c r="P16" i="1265" s="1"/>
  <c r="AC16" i="1265" s="1"/>
  <c r="O16" i="1265"/>
  <c r="M16" i="1265"/>
  <c r="AF15" i="1265"/>
  <c r="Q15" i="1265"/>
  <c r="O15" i="1265"/>
  <c r="AF14" i="1265"/>
  <c r="AB14" i="1265"/>
  <c r="Q14" i="1265"/>
  <c r="P14" i="1265"/>
  <c r="AC14" i="1265" s="1"/>
  <c r="O14" i="1265"/>
  <c r="M14" i="1265"/>
  <c r="K14" i="1265"/>
  <c r="AF13" i="1265"/>
  <c r="AB13" i="1265"/>
  <c r="Q13" i="1265"/>
  <c r="AF12" i="1265"/>
  <c r="Q12" i="1265"/>
  <c r="O12" i="1265"/>
  <c r="AF11" i="1265"/>
  <c r="AB11" i="1265"/>
  <c r="Q11" i="1265"/>
  <c r="M11" i="1265"/>
  <c r="AF10" i="1265"/>
  <c r="Q10" i="1265"/>
  <c r="AF9" i="1265"/>
  <c r="AB9" i="1265"/>
  <c r="Q9" i="1265"/>
  <c r="P9" i="1265" s="1"/>
  <c r="AC9" i="1265" s="1"/>
  <c r="O9" i="1265"/>
  <c r="M9" i="1265"/>
  <c r="AF8" i="1265"/>
  <c r="AB8" i="1265"/>
  <c r="Q8" i="1265"/>
  <c r="P8" i="1265"/>
  <c r="AC8" i="1265" s="1"/>
  <c r="O8" i="1265"/>
  <c r="M8" i="1265"/>
  <c r="K8" i="1265"/>
  <c r="AF7" i="1265"/>
  <c r="AB7" i="1265"/>
  <c r="Q7" i="1265"/>
  <c r="P7" i="1265"/>
  <c r="AC7" i="1265" s="1"/>
  <c r="O7" i="1265"/>
  <c r="M7" i="1265"/>
  <c r="K7" i="1265"/>
  <c r="AF6" i="1265"/>
  <c r="AC6" i="1265"/>
  <c r="AB6" i="1265"/>
  <c r="Q6" i="1265"/>
  <c r="P6" i="1265"/>
  <c r="O6" i="1265"/>
  <c r="M6" i="1265"/>
  <c r="K6" i="1265"/>
  <c r="AD21" i="1267" l="1"/>
  <c r="AE10" i="1267" s="1"/>
  <c r="AB21" i="1266"/>
  <c r="AD15" i="1266"/>
  <c r="M21" i="1266"/>
  <c r="AD20" i="1266"/>
  <c r="AD12" i="1266"/>
  <c r="AC21" i="1266"/>
  <c r="M13" i="1265"/>
  <c r="AB10" i="1265"/>
  <c r="M10" i="1265"/>
  <c r="AF62" i="1265"/>
  <c r="K18" i="1265"/>
  <c r="P18" i="1265"/>
  <c r="AC18" i="1265" s="1"/>
  <c r="P11" i="1265"/>
  <c r="AC11" i="1265" s="1"/>
  <c r="AD11" i="1265" s="1"/>
  <c r="AD7" i="1265"/>
  <c r="K11" i="1265"/>
  <c r="AD17" i="1265"/>
  <c r="AD16" i="1265"/>
  <c r="P13" i="1265"/>
  <c r="AC13" i="1265" s="1"/>
  <c r="Q21" i="1265"/>
  <c r="P10" i="1265"/>
  <c r="AC10" i="1265" s="1"/>
  <c r="AD9" i="1265"/>
  <c r="AD8" i="1265"/>
  <c r="AD14" i="1265"/>
  <c r="AD18" i="1265"/>
  <c r="P12" i="1265"/>
  <c r="AC12" i="1265" s="1"/>
  <c r="P15" i="1265"/>
  <c r="AC15" i="1265" s="1"/>
  <c r="M18" i="1265"/>
  <c r="O19" i="1265"/>
  <c r="AD19" i="1265" s="1"/>
  <c r="P20" i="1265"/>
  <c r="AC20" i="1265" s="1"/>
  <c r="AD6" i="1265"/>
  <c r="O10" i="1265"/>
  <c r="M12" i="1265"/>
  <c r="AB12" i="1265"/>
  <c r="O13" i="1265"/>
  <c r="M15" i="1265"/>
  <c r="AB15" i="1265"/>
  <c r="M20" i="1265"/>
  <c r="AB20" i="1265"/>
  <c r="L21" i="1265"/>
  <c r="O21" i="1265" s="1"/>
  <c r="K21" i="1265"/>
  <c r="M19" i="1265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K19" i="1264"/>
  <c r="AF19" i="1264"/>
  <c r="Q19" i="1264"/>
  <c r="P19" i="1264" s="1"/>
  <c r="AC19" i="1264" s="1"/>
  <c r="M19" i="1264"/>
  <c r="AF11" i="1264"/>
  <c r="AB11" i="1264"/>
  <c r="Q11" i="1264"/>
  <c r="P11" i="1264"/>
  <c r="AC11" i="1264" s="1"/>
  <c r="O11" i="1264"/>
  <c r="M11" i="1264"/>
  <c r="K11" i="1264"/>
  <c r="L23" i="1264"/>
  <c r="L22" i="1264"/>
  <c r="L21" i="1264"/>
  <c r="K21" i="1264"/>
  <c r="AE14" i="1267" l="1"/>
  <c r="AE9" i="1267"/>
  <c r="AE16" i="1267"/>
  <c r="AE6" i="1267"/>
  <c r="AE13" i="1267"/>
  <c r="AE17" i="1267"/>
  <c r="AE12" i="1267"/>
  <c r="AE15" i="1267"/>
  <c r="AE8" i="1267"/>
  <c r="AE20" i="1267"/>
  <c r="AE19" i="1267"/>
  <c r="AE11" i="1267"/>
  <c r="AE18" i="1267"/>
  <c r="AE7" i="1267"/>
  <c r="AD21" i="1266"/>
  <c r="AE9" i="1266" s="1"/>
  <c r="AE10" i="1266"/>
  <c r="AE11" i="1266"/>
  <c r="AD13" i="1265"/>
  <c r="AD10" i="1265"/>
  <c r="AB21" i="1265"/>
  <c r="AD12" i="1265"/>
  <c r="M21" i="1265"/>
  <c r="AD20" i="1265"/>
  <c r="AD15" i="1265"/>
  <c r="P21" i="1265"/>
  <c r="AC21" i="1265"/>
  <c r="AB19" i="1264"/>
  <c r="O19" i="1264"/>
  <c r="AD11" i="1264"/>
  <c r="AE14" i="1266" l="1"/>
  <c r="AE19" i="1266"/>
  <c r="AE20" i="1266"/>
  <c r="AE13" i="1266"/>
  <c r="AE15" i="1266"/>
  <c r="AE16" i="1266"/>
  <c r="AE8" i="1266"/>
  <c r="AE12" i="1266"/>
  <c r="AE7" i="1266"/>
  <c r="AE18" i="1266"/>
  <c r="AE17" i="1266"/>
  <c r="AE6" i="1266"/>
  <c r="AD21" i="1265"/>
  <c r="AE8" i="1265" s="1"/>
  <c r="AD19" i="1264"/>
  <c r="AE18" i="1265" l="1"/>
  <c r="AE15" i="1265"/>
  <c r="AE17" i="1265"/>
  <c r="AE11" i="1265"/>
  <c r="AE10" i="1265"/>
  <c r="AE7" i="1265"/>
  <c r="AE9" i="1265"/>
  <c r="AE20" i="1265"/>
  <c r="AE16" i="1265"/>
  <c r="AE14" i="1265"/>
  <c r="AE6" i="1265"/>
  <c r="AE13" i="1265"/>
  <c r="AE12" i="1265"/>
  <c r="AE19" i="1265"/>
  <c r="K20" i="1264"/>
  <c r="L18" i="1264"/>
  <c r="K18" i="1264"/>
  <c r="L17" i="1264"/>
  <c r="K17" i="1264"/>
  <c r="L15" i="1264"/>
  <c r="L14" i="1264"/>
  <c r="L12" i="1264"/>
  <c r="K12" i="1264"/>
  <c r="AF10" i="1264"/>
  <c r="AB10" i="1264"/>
  <c r="Q10" i="1264"/>
  <c r="P10" i="1264" s="1"/>
  <c r="AC10" i="1264" s="1"/>
  <c r="O10" i="1264"/>
  <c r="M10" i="1264"/>
  <c r="K10" i="1264"/>
  <c r="K9" i="1264"/>
  <c r="AD10" i="1264" l="1"/>
  <c r="K23" i="1264"/>
  <c r="K22" i="1264"/>
  <c r="K15" i="1264"/>
  <c r="K14" i="1264"/>
  <c r="K13" i="1264"/>
  <c r="A77" i="1264"/>
  <c r="A78" i="1264" s="1"/>
  <c r="A79" i="1264" s="1"/>
  <c r="A80" i="1264" s="1"/>
  <c r="A81" i="1264" s="1"/>
  <c r="A82" i="1264" s="1"/>
  <c r="A83" i="1264" s="1"/>
  <c r="A84" i="1264" s="1"/>
  <c r="AF63" i="1264"/>
  <c r="AF65" i="1264" s="1"/>
  <c r="AF62" i="1264"/>
  <c r="AA24" i="1264"/>
  <c r="Z24" i="1264"/>
  <c r="Y24" i="1264"/>
  <c r="X24" i="1264"/>
  <c r="W24" i="1264"/>
  <c r="V24" i="1264"/>
  <c r="U24" i="1264"/>
  <c r="T24" i="1264"/>
  <c r="S24" i="1264"/>
  <c r="R24" i="1264"/>
  <c r="N24" i="1264"/>
  <c r="J24" i="1264"/>
  <c r="I24" i="1264"/>
  <c r="AF23" i="1264"/>
  <c r="AB23" i="1264"/>
  <c r="Q23" i="1264"/>
  <c r="P23" i="1264" s="1"/>
  <c r="AC23" i="1264" s="1"/>
  <c r="O23" i="1264"/>
  <c r="M23" i="1264"/>
  <c r="AF22" i="1264"/>
  <c r="AB22" i="1264"/>
  <c r="Q22" i="1264"/>
  <c r="P22" i="1264" s="1"/>
  <c r="AC22" i="1264" s="1"/>
  <c r="O22" i="1264"/>
  <c r="M22" i="1264"/>
  <c r="AF21" i="1264"/>
  <c r="Q21" i="1264"/>
  <c r="P21" i="1264" s="1"/>
  <c r="AC21" i="1264" s="1"/>
  <c r="O21" i="1264"/>
  <c r="AF20" i="1264"/>
  <c r="AB20" i="1264"/>
  <c r="Q20" i="1264"/>
  <c r="P20" i="1264" s="1"/>
  <c r="AC20" i="1264" s="1"/>
  <c r="O20" i="1264"/>
  <c r="M20" i="1264"/>
  <c r="AF18" i="1264"/>
  <c r="AB18" i="1264"/>
  <c r="Q18" i="1264"/>
  <c r="P18" i="1264" s="1"/>
  <c r="AC18" i="1264" s="1"/>
  <c r="O18" i="1264"/>
  <c r="M18" i="1264"/>
  <c r="AF17" i="1264"/>
  <c r="AB17" i="1264"/>
  <c r="Q17" i="1264"/>
  <c r="P17" i="1264" s="1"/>
  <c r="AC17" i="1264" s="1"/>
  <c r="O17" i="1264"/>
  <c r="M17" i="1264"/>
  <c r="AF16" i="1264"/>
  <c r="AB16" i="1264"/>
  <c r="Q16" i="1264"/>
  <c r="P16" i="1264"/>
  <c r="AC16" i="1264" s="1"/>
  <c r="O16" i="1264"/>
  <c r="M16" i="1264"/>
  <c r="K16" i="1264"/>
  <c r="AF15" i="1264"/>
  <c r="AB15" i="1264"/>
  <c r="Q15" i="1264"/>
  <c r="P15" i="1264" s="1"/>
  <c r="AC15" i="1264" s="1"/>
  <c r="O15" i="1264"/>
  <c r="M15" i="1264"/>
  <c r="AF14" i="1264"/>
  <c r="Q14" i="1264"/>
  <c r="AB14" i="1264"/>
  <c r="AF13" i="1264"/>
  <c r="AB13" i="1264"/>
  <c r="Q13" i="1264"/>
  <c r="P13" i="1264"/>
  <c r="AC13" i="1264" s="1"/>
  <c r="M13" i="1264"/>
  <c r="O13" i="1264"/>
  <c r="AF12" i="1264"/>
  <c r="AB12" i="1264"/>
  <c r="Q12" i="1264"/>
  <c r="P12" i="1264" s="1"/>
  <c r="AC12" i="1264" s="1"/>
  <c r="O12" i="1264"/>
  <c r="M12" i="1264"/>
  <c r="AF9" i="1264"/>
  <c r="AB9" i="1264"/>
  <c r="Q9" i="1264"/>
  <c r="P9" i="1264" s="1"/>
  <c r="AC9" i="1264" s="1"/>
  <c r="O9" i="1264"/>
  <c r="M9" i="1264"/>
  <c r="AF8" i="1264"/>
  <c r="AB8" i="1264"/>
  <c r="Q8" i="1264"/>
  <c r="P8" i="1264"/>
  <c r="AC8" i="1264" s="1"/>
  <c r="O8" i="1264"/>
  <c r="M8" i="1264"/>
  <c r="K8" i="1264"/>
  <c r="AF7" i="1264"/>
  <c r="AB7" i="1264"/>
  <c r="Q7" i="1264"/>
  <c r="P7" i="1264"/>
  <c r="AC7" i="1264" s="1"/>
  <c r="O7" i="1264"/>
  <c r="M7" i="1264"/>
  <c r="K7" i="1264"/>
  <c r="AF6" i="1264"/>
  <c r="AB6" i="1264"/>
  <c r="Q6" i="1264"/>
  <c r="P6" i="1264"/>
  <c r="AC6" i="1264" s="1"/>
  <c r="O6" i="1264"/>
  <c r="M6" i="1264"/>
  <c r="K6" i="1264"/>
  <c r="AD13" i="1264" l="1"/>
  <c r="AD23" i="1264"/>
  <c r="AD7" i="1264"/>
  <c r="AD8" i="1264"/>
  <c r="AD16" i="1264"/>
  <c r="AD15" i="1264"/>
  <c r="AD20" i="1264"/>
  <c r="Q24" i="1264"/>
  <c r="AD12" i="1264"/>
  <c r="AD9" i="1264"/>
  <c r="AD17" i="1264"/>
  <c r="AD22" i="1264"/>
  <c r="AD18" i="1264"/>
  <c r="O14" i="1264"/>
  <c r="K24" i="1264"/>
  <c r="P14" i="1264"/>
  <c r="AC14" i="1264" s="1"/>
  <c r="M21" i="1264"/>
  <c r="AB21" i="1264"/>
  <c r="AD21" i="1264" s="1"/>
  <c r="L24" i="1264"/>
  <c r="O24" i="1264" s="1"/>
  <c r="AD6" i="1264"/>
  <c r="M14" i="1264"/>
  <c r="M24" i="1264" s="1"/>
  <c r="L20" i="1263"/>
  <c r="K20" i="1263" s="1"/>
  <c r="K19" i="1263"/>
  <c r="L18" i="1263"/>
  <c r="O18" i="1263" s="1"/>
  <c r="L13" i="1263"/>
  <c r="M13" i="1263" s="1"/>
  <c r="L12" i="1263"/>
  <c r="O12" i="1263" s="1"/>
  <c r="L11" i="1263"/>
  <c r="O11" i="1263" s="1"/>
  <c r="K9" i="1263"/>
  <c r="K14" i="1263"/>
  <c r="K12" i="1263"/>
  <c r="A74" i="1263"/>
  <c r="A75" i="1263" s="1"/>
  <c r="A76" i="1263" s="1"/>
  <c r="A77" i="1263" s="1"/>
  <c r="A78" i="1263" s="1"/>
  <c r="A79" i="1263" s="1"/>
  <c r="A80" i="1263" s="1"/>
  <c r="A81" i="1263" s="1"/>
  <c r="AF60" i="1263"/>
  <c r="AF59" i="1263"/>
  <c r="AA21" i="1263"/>
  <c r="Z21" i="1263"/>
  <c r="Y21" i="1263"/>
  <c r="X21" i="1263"/>
  <c r="W21" i="1263"/>
  <c r="V21" i="1263"/>
  <c r="U21" i="1263"/>
  <c r="T21" i="1263"/>
  <c r="S21" i="1263"/>
  <c r="R21" i="1263"/>
  <c r="N21" i="1263"/>
  <c r="J21" i="1263"/>
  <c r="I21" i="1263"/>
  <c r="AF20" i="1263"/>
  <c r="AB20" i="1263"/>
  <c r="Q20" i="1263"/>
  <c r="P20" i="1263"/>
  <c r="AC20" i="1263" s="1"/>
  <c r="O20" i="1263"/>
  <c r="AF19" i="1263"/>
  <c r="AB19" i="1263"/>
  <c r="Q19" i="1263"/>
  <c r="P19" i="1263"/>
  <c r="AC19" i="1263" s="1"/>
  <c r="O19" i="1263"/>
  <c r="M19" i="1263"/>
  <c r="AF18" i="1263"/>
  <c r="Q18" i="1263"/>
  <c r="P18" i="1263" s="1"/>
  <c r="AC18" i="1263" s="1"/>
  <c r="AF17" i="1263"/>
  <c r="AB17" i="1263"/>
  <c r="Q17" i="1263"/>
  <c r="P17" i="1263"/>
  <c r="AC17" i="1263" s="1"/>
  <c r="O17" i="1263"/>
  <c r="M17" i="1263"/>
  <c r="K17" i="1263"/>
  <c r="AF16" i="1263"/>
  <c r="AB16" i="1263"/>
  <c r="Q16" i="1263"/>
  <c r="P16" i="1263"/>
  <c r="AC16" i="1263" s="1"/>
  <c r="O16" i="1263"/>
  <c r="M16" i="1263"/>
  <c r="K16" i="1263"/>
  <c r="AF15" i="1263"/>
  <c r="AB15" i="1263"/>
  <c r="Q15" i="1263"/>
  <c r="P15" i="1263"/>
  <c r="AC15" i="1263" s="1"/>
  <c r="O15" i="1263"/>
  <c r="M15" i="1263"/>
  <c r="K15" i="1263"/>
  <c r="AF14" i="1263"/>
  <c r="AB14" i="1263"/>
  <c r="Q14" i="1263"/>
  <c r="P14" i="1263"/>
  <c r="AC14" i="1263" s="1"/>
  <c r="O14" i="1263"/>
  <c r="M14" i="1263"/>
  <c r="AF13" i="1263"/>
  <c r="Q13" i="1263"/>
  <c r="O13" i="1263"/>
  <c r="AF12" i="1263"/>
  <c r="AB12" i="1263"/>
  <c r="Q12" i="1263"/>
  <c r="P12" i="1263" s="1"/>
  <c r="AC12" i="1263" s="1"/>
  <c r="M12" i="1263"/>
  <c r="AF11" i="1263"/>
  <c r="Q11" i="1263"/>
  <c r="AF10" i="1263"/>
  <c r="AB10" i="1263"/>
  <c r="Q10" i="1263"/>
  <c r="P10" i="1263"/>
  <c r="AC10" i="1263" s="1"/>
  <c r="O10" i="1263"/>
  <c r="M10" i="1263"/>
  <c r="K10" i="1263"/>
  <c r="AF9" i="1263"/>
  <c r="AB9" i="1263"/>
  <c r="Q9" i="1263"/>
  <c r="P9" i="1263" s="1"/>
  <c r="AC9" i="1263" s="1"/>
  <c r="O9" i="1263"/>
  <c r="M9" i="1263"/>
  <c r="AF8" i="1263"/>
  <c r="AB8" i="1263"/>
  <c r="Q8" i="1263"/>
  <c r="P8" i="1263"/>
  <c r="AC8" i="1263" s="1"/>
  <c r="O8" i="1263"/>
  <c r="M8" i="1263"/>
  <c r="K8" i="1263"/>
  <c r="AF7" i="1263"/>
  <c r="AB7" i="1263"/>
  <c r="Q7" i="1263"/>
  <c r="P7" i="1263"/>
  <c r="AC7" i="1263" s="1"/>
  <c r="O7" i="1263"/>
  <c r="M7" i="1263"/>
  <c r="K7" i="1263"/>
  <c r="AF6" i="1263"/>
  <c r="AB6" i="1263"/>
  <c r="Q6" i="1263"/>
  <c r="P6" i="1263"/>
  <c r="AC6" i="1263" s="1"/>
  <c r="O6" i="1263"/>
  <c r="M6" i="1263"/>
  <c r="K6" i="1263"/>
  <c r="AD14" i="1264" l="1"/>
  <c r="AD24" i="1264" s="1"/>
  <c r="AE19" i="1264" s="1"/>
  <c r="AD7" i="1263"/>
  <c r="V4" i="16" s="1"/>
  <c r="AD15" i="1263"/>
  <c r="V12" i="16" s="1"/>
  <c r="AB13" i="1263"/>
  <c r="AF62" i="1263"/>
  <c r="K13" i="1263"/>
  <c r="K11" i="1263"/>
  <c r="K21" i="1263" s="1"/>
  <c r="K18" i="1263"/>
  <c r="AD8" i="1263"/>
  <c r="V5" i="16" s="1"/>
  <c r="P13" i="1263"/>
  <c r="AC13" i="1263" s="1"/>
  <c r="AD13" i="1263" s="1"/>
  <c r="V10" i="16" s="1"/>
  <c r="M20" i="1263"/>
  <c r="AD10" i="1263"/>
  <c r="V7" i="16" s="1"/>
  <c r="AB24" i="1264"/>
  <c r="P24" i="1264"/>
  <c r="AC24" i="1264"/>
  <c r="Q21" i="1263"/>
  <c r="P11" i="1263"/>
  <c r="AC11" i="1263" s="1"/>
  <c r="AC21" i="1263" s="1"/>
  <c r="AD9" i="1263"/>
  <c r="V6" i="16" s="1"/>
  <c r="AD12" i="1263"/>
  <c r="V9" i="16" s="1"/>
  <c r="AD17" i="1263"/>
  <c r="V14" i="16" s="1"/>
  <c r="AD16" i="1263"/>
  <c r="V13" i="16" s="1"/>
  <c r="AD19" i="1263"/>
  <c r="V16" i="16" s="1"/>
  <c r="AD14" i="1263"/>
  <c r="V11" i="16" s="1"/>
  <c r="AD6" i="1263"/>
  <c r="V3" i="16" s="1"/>
  <c r="AD11" i="1263"/>
  <c r="V8" i="16" s="1"/>
  <c r="AD20" i="1263"/>
  <c r="V17" i="16" s="1"/>
  <c r="M11" i="1263"/>
  <c r="AB11" i="1263"/>
  <c r="M18" i="1263"/>
  <c r="AB18" i="1263"/>
  <c r="AD18" i="1263" s="1"/>
  <c r="V15" i="16" s="1"/>
  <c r="L21" i="1263"/>
  <c r="O21" i="1263" s="1"/>
  <c r="L20" i="1262"/>
  <c r="K20" i="1262" s="1"/>
  <c r="L18" i="1262"/>
  <c r="K18" i="1262" s="1"/>
  <c r="K14" i="1262"/>
  <c r="L13" i="1262"/>
  <c r="L11" i="1262"/>
  <c r="K11" i="1262" s="1"/>
  <c r="K13" i="1262"/>
  <c r="K12" i="1262"/>
  <c r="A75" i="1262"/>
  <c r="A76" i="1262" s="1"/>
  <c r="A77" i="1262" s="1"/>
  <c r="A78" i="1262" s="1"/>
  <c r="A79" i="1262" s="1"/>
  <c r="A80" i="1262" s="1"/>
  <c r="A81" i="1262" s="1"/>
  <c r="A74" i="1262"/>
  <c r="AF60" i="1262"/>
  <c r="AF59" i="1262"/>
  <c r="AA21" i="1262"/>
  <c r="Z21" i="1262"/>
  <c r="Y21" i="1262"/>
  <c r="X21" i="1262"/>
  <c r="W21" i="1262"/>
  <c r="V21" i="1262"/>
  <c r="U21" i="1262"/>
  <c r="T21" i="1262"/>
  <c r="S21" i="1262"/>
  <c r="R21" i="1262"/>
  <c r="N21" i="1262"/>
  <c r="J21" i="1262"/>
  <c r="I21" i="1262"/>
  <c r="AF20" i="1262"/>
  <c r="Q20" i="1262"/>
  <c r="AF19" i="1262"/>
  <c r="AB19" i="1262"/>
  <c r="Q19" i="1262"/>
  <c r="P19" i="1262"/>
  <c r="AC19" i="1262" s="1"/>
  <c r="O19" i="1262"/>
  <c r="M19" i="1262"/>
  <c r="K19" i="1262"/>
  <c r="AF18" i="1262"/>
  <c r="AB18" i="1262"/>
  <c r="Q18" i="1262"/>
  <c r="O18" i="1262"/>
  <c r="AF17" i="1262"/>
  <c r="AB17" i="1262"/>
  <c r="Q17" i="1262"/>
  <c r="P17" i="1262"/>
  <c r="AC17" i="1262" s="1"/>
  <c r="AD17" i="1262" s="1"/>
  <c r="U14" i="16" s="1"/>
  <c r="O17" i="1262"/>
  <c r="M17" i="1262"/>
  <c r="K17" i="1262"/>
  <c r="AF16" i="1262"/>
  <c r="AB16" i="1262"/>
  <c r="Q16" i="1262"/>
  <c r="P16" i="1262"/>
  <c r="AC16" i="1262" s="1"/>
  <c r="O16" i="1262"/>
  <c r="M16" i="1262"/>
  <c r="K16" i="1262"/>
  <c r="AF15" i="1262"/>
  <c r="AB15" i="1262"/>
  <c r="Q15" i="1262"/>
  <c r="P15" i="1262"/>
  <c r="AC15" i="1262" s="1"/>
  <c r="O15" i="1262"/>
  <c r="M15" i="1262"/>
  <c r="K15" i="1262"/>
  <c r="AF14" i="1262"/>
  <c r="AB14" i="1262"/>
  <c r="Q14" i="1262"/>
  <c r="P14" i="1262" s="1"/>
  <c r="AC14" i="1262" s="1"/>
  <c r="O14" i="1262"/>
  <c r="M14" i="1262"/>
  <c r="AF13" i="1262"/>
  <c r="Q13" i="1262"/>
  <c r="AB13" i="1262"/>
  <c r="AF12" i="1262"/>
  <c r="AB12" i="1262"/>
  <c r="Q12" i="1262"/>
  <c r="P12" i="1262"/>
  <c r="AC12" i="1262" s="1"/>
  <c r="O12" i="1262"/>
  <c r="M12" i="1262"/>
  <c r="AF11" i="1262"/>
  <c r="AB11" i="1262"/>
  <c r="Q11" i="1262"/>
  <c r="O11" i="1262"/>
  <c r="M11" i="1262"/>
  <c r="AF10" i="1262"/>
  <c r="AB10" i="1262"/>
  <c r="Q10" i="1262"/>
  <c r="P10" i="1262"/>
  <c r="AC10" i="1262" s="1"/>
  <c r="AD10" i="1262" s="1"/>
  <c r="U7" i="16" s="1"/>
  <c r="O10" i="1262"/>
  <c r="M10" i="1262"/>
  <c r="K10" i="1262"/>
  <c r="AF9" i="1262"/>
  <c r="AB9" i="1262"/>
  <c r="Q9" i="1262"/>
  <c r="P9" i="1262"/>
  <c r="AC9" i="1262" s="1"/>
  <c r="AD9" i="1262" s="1"/>
  <c r="U6" i="16" s="1"/>
  <c r="O9" i="1262"/>
  <c r="M9" i="1262"/>
  <c r="K9" i="1262"/>
  <c r="AF8" i="1262"/>
  <c r="AB8" i="1262"/>
  <c r="Q8" i="1262"/>
  <c r="P8" i="1262"/>
  <c r="AC8" i="1262" s="1"/>
  <c r="AD8" i="1262" s="1"/>
  <c r="U5" i="16" s="1"/>
  <c r="O8" i="1262"/>
  <c r="M8" i="1262"/>
  <c r="K8" i="1262"/>
  <c r="AF7" i="1262"/>
  <c r="AB7" i="1262"/>
  <c r="Q7" i="1262"/>
  <c r="P7" i="1262"/>
  <c r="AC7" i="1262" s="1"/>
  <c r="AD7" i="1262" s="1"/>
  <c r="U4" i="16" s="1"/>
  <c r="O7" i="1262"/>
  <c r="M7" i="1262"/>
  <c r="K7" i="1262"/>
  <c r="AF6" i="1262"/>
  <c r="AB6" i="1262"/>
  <c r="Q6" i="1262"/>
  <c r="P6" i="1262"/>
  <c r="AC6" i="1262" s="1"/>
  <c r="O6" i="1262"/>
  <c r="M6" i="1262"/>
  <c r="K6" i="1262"/>
  <c r="AE12" i="1264" l="1"/>
  <c r="AE11" i="1264"/>
  <c r="AE14" i="1264"/>
  <c r="AE7" i="1264"/>
  <c r="AE18" i="1264"/>
  <c r="AE10" i="1264"/>
  <c r="AE20" i="1264"/>
  <c r="AE23" i="1264"/>
  <c r="AD16" i="1262"/>
  <c r="U13" i="16" s="1"/>
  <c r="AE21" i="1264"/>
  <c r="AE13" i="1264"/>
  <c r="AD15" i="1262"/>
  <c r="U12" i="16" s="1"/>
  <c r="L21" i="1262"/>
  <c r="O21" i="1262" s="1"/>
  <c r="O20" i="1262"/>
  <c r="AF62" i="1262"/>
  <c r="AE6" i="1264"/>
  <c r="AE15" i="1264"/>
  <c r="AE9" i="1264"/>
  <c r="AE16" i="1264"/>
  <c r="AE8" i="1264"/>
  <c r="AE17" i="1264"/>
  <c r="AE22" i="1264"/>
  <c r="P21" i="1263"/>
  <c r="M21" i="1263"/>
  <c r="AB21" i="1263"/>
  <c r="AD21" i="1263"/>
  <c r="V18" i="16" s="1"/>
  <c r="M18" i="1262"/>
  <c r="P18" i="1262"/>
  <c r="AC18" i="1262" s="1"/>
  <c r="AD18" i="1262" s="1"/>
  <c r="U15" i="16" s="1"/>
  <c r="AD14" i="1262"/>
  <c r="U11" i="16" s="1"/>
  <c r="Q21" i="1262"/>
  <c r="P11" i="1262"/>
  <c r="AC11" i="1262" s="1"/>
  <c r="AD11" i="1262" s="1"/>
  <c r="U8" i="16" s="1"/>
  <c r="AD12" i="1262"/>
  <c r="U9" i="16" s="1"/>
  <c r="AD19" i="1262"/>
  <c r="U16" i="16" s="1"/>
  <c r="K21" i="1262"/>
  <c r="O13" i="1262"/>
  <c r="AD6" i="1262"/>
  <c r="U3" i="16" s="1"/>
  <c r="P13" i="1262"/>
  <c r="AC13" i="1262" s="1"/>
  <c r="P20" i="1262"/>
  <c r="AC20" i="1262" s="1"/>
  <c r="M13" i="1262"/>
  <c r="M20" i="1262"/>
  <c r="AB20" i="1262"/>
  <c r="AB21" i="1262" s="1"/>
  <c r="L20" i="1261"/>
  <c r="K20" i="1261" s="1"/>
  <c r="L18" i="1261"/>
  <c r="K18" i="1261" s="1"/>
  <c r="L13" i="1261"/>
  <c r="K13" i="1261" s="1"/>
  <c r="L12" i="1261"/>
  <c r="K12" i="1261" s="1"/>
  <c r="K11" i="1261"/>
  <c r="K9" i="1261"/>
  <c r="A74" i="1261"/>
  <c r="A75" i="1261" s="1"/>
  <c r="A76" i="1261" s="1"/>
  <c r="A77" i="1261" s="1"/>
  <c r="A78" i="1261" s="1"/>
  <c r="A79" i="1261" s="1"/>
  <c r="A80" i="1261" s="1"/>
  <c r="A81" i="1261" s="1"/>
  <c r="AF60" i="1261"/>
  <c r="AF59" i="1261"/>
  <c r="AF62" i="1261" s="1"/>
  <c r="AA21" i="1261"/>
  <c r="Z21" i="1261"/>
  <c r="Y21" i="1261"/>
  <c r="X21" i="1261"/>
  <c r="W21" i="1261"/>
  <c r="V21" i="1261"/>
  <c r="U21" i="1261"/>
  <c r="T21" i="1261"/>
  <c r="S21" i="1261"/>
  <c r="R21" i="1261"/>
  <c r="N21" i="1261"/>
  <c r="J21" i="1261"/>
  <c r="I21" i="1261"/>
  <c r="AF20" i="1261"/>
  <c r="Q20" i="1261"/>
  <c r="AB20" i="1261"/>
  <c r="AF19" i="1261"/>
  <c r="AB19" i="1261"/>
  <c r="Q19" i="1261"/>
  <c r="P19" i="1261"/>
  <c r="AC19" i="1261" s="1"/>
  <c r="O19" i="1261"/>
  <c r="M19" i="1261"/>
  <c r="K19" i="1261"/>
  <c r="AF18" i="1261"/>
  <c r="Q18" i="1261"/>
  <c r="AF17" i="1261"/>
  <c r="AC17" i="1261"/>
  <c r="AB17" i="1261"/>
  <c r="Q17" i="1261"/>
  <c r="P17" i="1261"/>
  <c r="O17" i="1261"/>
  <c r="M17" i="1261"/>
  <c r="K17" i="1261"/>
  <c r="AF16" i="1261"/>
  <c r="AC16" i="1261"/>
  <c r="AB16" i="1261"/>
  <c r="Q16" i="1261"/>
  <c r="P16" i="1261"/>
  <c r="O16" i="1261"/>
  <c r="M16" i="1261"/>
  <c r="K16" i="1261"/>
  <c r="AF15" i="1261"/>
  <c r="AC15" i="1261"/>
  <c r="AB15" i="1261"/>
  <c r="Q15" i="1261"/>
  <c r="P15" i="1261"/>
  <c r="O15" i="1261"/>
  <c r="M15" i="1261"/>
  <c r="K15" i="1261"/>
  <c r="AF14" i="1261"/>
  <c r="AC14" i="1261"/>
  <c r="AB14" i="1261"/>
  <c r="Q14" i="1261"/>
  <c r="P14" i="1261"/>
  <c r="O14" i="1261"/>
  <c r="M14" i="1261"/>
  <c r="K14" i="1261"/>
  <c r="AF13" i="1261"/>
  <c r="Q13" i="1261"/>
  <c r="O13" i="1261"/>
  <c r="AF12" i="1261"/>
  <c r="Q12" i="1261"/>
  <c r="P12" i="1261"/>
  <c r="AC12" i="1261" s="1"/>
  <c r="AF11" i="1261"/>
  <c r="AB11" i="1261"/>
  <c r="Q11" i="1261"/>
  <c r="P11" i="1261" s="1"/>
  <c r="AC11" i="1261" s="1"/>
  <c r="O11" i="1261"/>
  <c r="M11" i="1261"/>
  <c r="AF10" i="1261"/>
  <c r="AC10" i="1261"/>
  <c r="AB10" i="1261"/>
  <c r="Q10" i="1261"/>
  <c r="P10" i="1261"/>
  <c r="O10" i="1261"/>
  <c r="M10" i="1261"/>
  <c r="K10" i="1261"/>
  <c r="AF9" i="1261"/>
  <c r="Q9" i="1261"/>
  <c r="O9" i="1261"/>
  <c r="AF8" i="1261"/>
  <c r="AB8" i="1261"/>
  <c r="Q8" i="1261"/>
  <c r="P8" i="1261"/>
  <c r="AC8" i="1261" s="1"/>
  <c r="O8" i="1261"/>
  <c r="M8" i="1261"/>
  <c r="K8" i="1261"/>
  <c r="AF7" i="1261"/>
  <c r="AB7" i="1261"/>
  <c r="Q7" i="1261"/>
  <c r="P7" i="1261"/>
  <c r="AC7" i="1261" s="1"/>
  <c r="AD7" i="1261" s="1"/>
  <c r="R4" i="16" s="1"/>
  <c r="O7" i="1261"/>
  <c r="M7" i="1261"/>
  <c r="K7" i="1261"/>
  <c r="AF6" i="1261"/>
  <c r="AB6" i="1261"/>
  <c r="Q6" i="1261"/>
  <c r="P6" i="1261"/>
  <c r="O6" i="1261"/>
  <c r="M6" i="1261"/>
  <c r="K6" i="1261"/>
  <c r="AD19" i="1261" l="1"/>
  <c r="R16" i="16" s="1"/>
  <c r="AB12" i="1261"/>
  <c r="AD12" i="1261" s="1"/>
  <c r="R9" i="16" s="1"/>
  <c r="AD8" i="1261"/>
  <c r="R5" i="16" s="1"/>
  <c r="O12" i="1261"/>
  <c r="M18" i="1261"/>
  <c r="AD20" i="1262"/>
  <c r="U17" i="16" s="1"/>
  <c r="AE16" i="1263"/>
  <c r="AE14" i="1263"/>
  <c r="AE9" i="1263"/>
  <c r="AE7" i="1263"/>
  <c r="AE12" i="1263"/>
  <c r="AE19" i="1263"/>
  <c r="AE20" i="1263"/>
  <c r="AE17" i="1263"/>
  <c r="AE15" i="1263"/>
  <c r="AE13" i="1263"/>
  <c r="AE10" i="1263"/>
  <c r="AE8" i="1263"/>
  <c r="AE6" i="1263"/>
  <c r="AE18" i="1263"/>
  <c r="AE11" i="1263"/>
  <c r="M21" i="1262"/>
  <c r="AD13" i="1262"/>
  <c r="U10" i="16" s="1"/>
  <c r="AC21" i="1262"/>
  <c r="P21" i="1262"/>
  <c r="O20" i="1261"/>
  <c r="P18" i="1261"/>
  <c r="AC18" i="1261" s="1"/>
  <c r="O18" i="1261"/>
  <c r="AB18" i="1261"/>
  <c r="L21" i="1261"/>
  <c r="O21" i="1261" s="1"/>
  <c r="M12" i="1261"/>
  <c r="Q21" i="1261"/>
  <c r="AD11" i="1261"/>
  <c r="R8" i="16" s="1"/>
  <c r="AD10" i="1261"/>
  <c r="R7" i="16" s="1"/>
  <c r="AD14" i="1261"/>
  <c r="R11" i="16" s="1"/>
  <c r="AD15" i="1261"/>
  <c r="R12" i="16" s="1"/>
  <c r="AD17" i="1261"/>
  <c r="R14" i="16" s="1"/>
  <c r="AD16" i="1261"/>
  <c r="R13" i="16" s="1"/>
  <c r="M9" i="1261"/>
  <c r="AB9" i="1261"/>
  <c r="P13" i="1261"/>
  <c r="AC13" i="1261" s="1"/>
  <c r="P20" i="1261"/>
  <c r="AC20" i="1261" s="1"/>
  <c r="AC6" i="1261"/>
  <c r="P9" i="1261"/>
  <c r="AC9" i="1261" s="1"/>
  <c r="AD9" i="1261" s="1"/>
  <c r="R6" i="16" s="1"/>
  <c r="M13" i="1261"/>
  <c r="AB13" i="1261"/>
  <c r="M20" i="1261"/>
  <c r="L20" i="1260"/>
  <c r="O20" i="1260" s="1"/>
  <c r="L18" i="1260"/>
  <c r="M18" i="1260" s="1"/>
  <c r="L13" i="1260"/>
  <c r="L12" i="1260"/>
  <c r="P12" i="1260" s="1"/>
  <c r="AC12" i="1260" s="1"/>
  <c r="L9" i="1260"/>
  <c r="P9" i="1260" s="1"/>
  <c r="AC9" i="1260" s="1"/>
  <c r="K13" i="1260"/>
  <c r="K12" i="1260"/>
  <c r="K10" i="1260"/>
  <c r="A74" i="1260"/>
  <c r="A75" i="1260" s="1"/>
  <c r="A76" i="1260" s="1"/>
  <c r="A77" i="1260" s="1"/>
  <c r="A78" i="1260" s="1"/>
  <c r="A79" i="1260" s="1"/>
  <c r="A80" i="1260" s="1"/>
  <c r="A81" i="1260" s="1"/>
  <c r="AF60" i="1260"/>
  <c r="AF59" i="1260"/>
  <c r="AA21" i="1260"/>
  <c r="Z21" i="1260"/>
  <c r="Y21" i="1260"/>
  <c r="X21" i="1260"/>
  <c r="W21" i="1260"/>
  <c r="V21" i="1260"/>
  <c r="U21" i="1260"/>
  <c r="T21" i="1260"/>
  <c r="S21" i="1260"/>
  <c r="R21" i="1260"/>
  <c r="N21" i="1260"/>
  <c r="J21" i="1260"/>
  <c r="I21" i="1260"/>
  <c r="AF20" i="1260"/>
  <c r="Q20" i="1260"/>
  <c r="AF19" i="1260"/>
  <c r="AB19" i="1260"/>
  <c r="Q19" i="1260"/>
  <c r="P19" i="1260"/>
  <c r="AC19" i="1260" s="1"/>
  <c r="O19" i="1260"/>
  <c r="M19" i="1260"/>
  <c r="K19" i="1260"/>
  <c r="AF18" i="1260"/>
  <c r="Q18" i="1260"/>
  <c r="AF17" i="1260"/>
  <c r="AB17" i="1260"/>
  <c r="Q17" i="1260"/>
  <c r="P17" i="1260"/>
  <c r="AC17" i="1260" s="1"/>
  <c r="O17" i="1260"/>
  <c r="M17" i="1260"/>
  <c r="K17" i="1260"/>
  <c r="AF16" i="1260"/>
  <c r="AB16" i="1260"/>
  <c r="Q16" i="1260"/>
  <c r="P16" i="1260"/>
  <c r="AC16" i="1260" s="1"/>
  <c r="O16" i="1260"/>
  <c r="M16" i="1260"/>
  <c r="K16" i="1260"/>
  <c r="AF15" i="1260"/>
  <c r="AB15" i="1260"/>
  <c r="Q15" i="1260"/>
  <c r="P15" i="1260"/>
  <c r="AC15" i="1260" s="1"/>
  <c r="O15" i="1260"/>
  <c r="M15" i="1260"/>
  <c r="K15" i="1260"/>
  <c r="AF14" i="1260"/>
  <c r="AB14" i="1260"/>
  <c r="Q14" i="1260"/>
  <c r="P14" i="1260"/>
  <c r="AC14" i="1260" s="1"/>
  <c r="O14" i="1260"/>
  <c r="M14" i="1260"/>
  <c r="K14" i="1260"/>
  <c r="AF13" i="1260"/>
  <c r="Q13" i="1260"/>
  <c r="AB13" i="1260"/>
  <c r="AF12" i="1260"/>
  <c r="AB12" i="1260"/>
  <c r="Q12" i="1260"/>
  <c r="M12" i="1260"/>
  <c r="O12" i="1260"/>
  <c r="AF11" i="1260"/>
  <c r="AC11" i="1260"/>
  <c r="AB11" i="1260"/>
  <c r="Q11" i="1260"/>
  <c r="P11" i="1260"/>
  <c r="O11" i="1260"/>
  <c r="M11" i="1260"/>
  <c r="K11" i="1260"/>
  <c r="AF10" i="1260"/>
  <c r="Q10" i="1260"/>
  <c r="AF9" i="1260"/>
  <c r="Q9" i="1260"/>
  <c r="O9" i="1260"/>
  <c r="AF8" i="1260"/>
  <c r="AB8" i="1260"/>
  <c r="Q8" i="1260"/>
  <c r="P8" i="1260"/>
  <c r="AC8" i="1260" s="1"/>
  <c r="O8" i="1260"/>
  <c r="M8" i="1260"/>
  <c r="K8" i="1260"/>
  <c r="AF7" i="1260"/>
  <c r="AB7" i="1260"/>
  <c r="Q7" i="1260"/>
  <c r="P7" i="1260"/>
  <c r="AC7" i="1260" s="1"/>
  <c r="AD7" i="1260" s="1"/>
  <c r="Q4" i="16" s="1"/>
  <c r="O7" i="1260"/>
  <c r="M7" i="1260"/>
  <c r="K7" i="1260"/>
  <c r="AF6" i="1260"/>
  <c r="AB6" i="1260"/>
  <c r="Q6" i="1260"/>
  <c r="P6" i="1260"/>
  <c r="O6" i="1260"/>
  <c r="M6" i="1260"/>
  <c r="K6" i="1260"/>
  <c r="L21" i="1260" l="1"/>
  <c r="O21" i="1260" s="1"/>
  <c r="AB18" i="1260"/>
  <c r="AD11" i="1260"/>
  <c r="Q8" i="16" s="1"/>
  <c r="O18" i="1260"/>
  <c r="K20" i="1260"/>
  <c r="K21" i="1260" s="1"/>
  <c r="AD8" i="1260"/>
  <c r="Q5" i="16" s="1"/>
  <c r="M9" i="1260"/>
  <c r="AB9" i="1260"/>
  <c r="P18" i="1260"/>
  <c r="AC18" i="1260" s="1"/>
  <c r="AF62" i="1260"/>
  <c r="K9" i="1260"/>
  <c r="K18" i="1260"/>
  <c r="AB21" i="1261"/>
  <c r="AD21" i="1262"/>
  <c r="U18" i="16" s="1"/>
  <c r="AE19" i="1262"/>
  <c r="AE20" i="1262"/>
  <c r="AE17" i="1262"/>
  <c r="AE15" i="1262"/>
  <c r="AE13" i="1262"/>
  <c r="AE10" i="1262"/>
  <c r="AE6" i="1262"/>
  <c r="AE18" i="1262"/>
  <c r="AE16" i="1262"/>
  <c r="AE14" i="1262"/>
  <c r="AE11" i="1262"/>
  <c r="AE9" i="1262"/>
  <c r="AE7" i="1262"/>
  <c r="AE8" i="1262"/>
  <c r="AD20" i="1261"/>
  <c r="R17" i="16" s="1"/>
  <c r="AD18" i="1261"/>
  <c r="R15" i="16" s="1"/>
  <c r="M21" i="1261"/>
  <c r="K21" i="1261"/>
  <c r="AD13" i="1261"/>
  <c r="R10" i="16" s="1"/>
  <c r="AD6" i="1261"/>
  <c r="R3" i="16" s="1"/>
  <c r="AC21" i="1261"/>
  <c r="P21" i="1261"/>
  <c r="AD12" i="1260"/>
  <c r="Q9" i="16" s="1"/>
  <c r="Q21" i="1260"/>
  <c r="AD9" i="1260"/>
  <c r="Q6" i="16" s="1"/>
  <c r="AD18" i="1260"/>
  <c r="Q15" i="16" s="1"/>
  <c r="AD14" i="1260"/>
  <c r="Q11" i="16" s="1"/>
  <c r="AD15" i="1260"/>
  <c r="Q12" i="16" s="1"/>
  <c r="AD16" i="1260"/>
  <c r="Q13" i="16" s="1"/>
  <c r="AD17" i="1260"/>
  <c r="Q14" i="16" s="1"/>
  <c r="AD19" i="1260"/>
  <c r="Q16" i="16" s="1"/>
  <c r="O10" i="1260"/>
  <c r="O13" i="1260"/>
  <c r="P10" i="1260"/>
  <c r="AC10" i="1260" s="1"/>
  <c r="P13" i="1260"/>
  <c r="AC13" i="1260" s="1"/>
  <c r="P20" i="1260"/>
  <c r="AC20" i="1260" s="1"/>
  <c r="AC6" i="1260"/>
  <c r="M10" i="1260"/>
  <c r="AB10" i="1260"/>
  <c r="AB21" i="1260" s="1"/>
  <c r="M13" i="1260"/>
  <c r="M20" i="1260"/>
  <c r="AB20" i="1260"/>
  <c r="L20" i="1259"/>
  <c r="K20" i="1259" s="1"/>
  <c r="L18" i="1259"/>
  <c r="L13" i="1259"/>
  <c r="K13" i="1259" s="1"/>
  <c r="L12" i="1259"/>
  <c r="O12" i="1259" s="1"/>
  <c r="L10" i="1259"/>
  <c r="K10" i="1259" s="1"/>
  <c r="K19" i="1259"/>
  <c r="K18" i="1259"/>
  <c r="K12" i="1259"/>
  <c r="K9" i="1259"/>
  <c r="A74" i="1259"/>
  <c r="A75" i="1259" s="1"/>
  <c r="A76" i="1259" s="1"/>
  <c r="A77" i="1259" s="1"/>
  <c r="A78" i="1259" s="1"/>
  <c r="A79" i="1259" s="1"/>
  <c r="A80" i="1259" s="1"/>
  <c r="A81" i="1259" s="1"/>
  <c r="AF60" i="1259"/>
  <c r="AF62" i="1259" s="1"/>
  <c r="AF59" i="1259"/>
  <c r="AA21" i="1259"/>
  <c r="Z21" i="1259"/>
  <c r="Y21" i="1259"/>
  <c r="X21" i="1259"/>
  <c r="W21" i="1259"/>
  <c r="V21" i="1259"/>
  <c r="U21" i="1259"/>
  <c r="T21" i="1259"/>
  <c r="S21" i="1259"/>
  <c r="R21" i="1259"/>
  <c r="N21" i="1259"/>
  <c r="J21" i="1259"/>
  <c r="I21" i="1259"/>
  <c r="AF20" i="1259"/>
  <c r="Q20" i="1259"/>
  <c r="M20" i="1259"/>
  <c r="AF19" i="1259"/>
  <c r="Q19" i="1259"/>
  <c r="AB19" i="1259"/>
  <c r="AF18" i="1259"/>
  <c r="Q18" i="1259"/>
  <c r="P18" i="1259" s="1"/>
  <c r="AC18" i="1259" s="1"/>
  <c r="O18" i="1259"/>
  <c r="AF17" i="1259"/>
  <c r="AC17" i="1259"/>
  <c r="AB17" i="1259"/>
  <c r="Q17" i="1259"/>
  <c r="P17" i="1259"/>
  <c r="O17" i="1259"/>
  <c r="M17" i="1259"/>
  <c r="K17" i="1259"/>
  <c r="AF16" i="1259"/>
  <c r="AB16" i="1259"/>
  <c r="Q16" i="1259"/>
  <c r="P16" i="1259"/>
  <c r="AC16" i="1259" s="1"/>
  <c r="O16" i="1259"/>
  <c r="M16" i="1259"/>
  <c r="K16" i="1259"/>
  <c r="AF15" i="1259"/>
  <c r="AB15" i="1259"/>
  <c r="Q15" i="1259"/>
  <c r="P15" i="1259"/>
  <c r="AC15" i="1259" s="1"/>
  <c r="O15" i="1259"/>
  <c r="M15" i="1259"/>
  <c r="K15" i="1259"/>
  <c r="AF14" i="1259"/>
  <c r="AB14" i="1259"/>
  <c r="Q14" i="1259"/>
  <c r="P14" i="1259"/>
  <c r="AC14" i="1259" s="1"/>
  <c r="O14" i="1259"/>
  <c r="M14" i="1259"/>
  <c r="K14" i="1259"/>
  <c r="AF13" i="1259"/>
  <c r="Q13" i="1259"/>
  <c r="AF12" i="1259"/>
  <c r="AB12" i="1259"/>
  <c r="Q12" i="1259"/>
  <c r="P12" i="1259" s="1"/>
  <c r="AC12" i="1259" s="1"/>
  <c r="M12" i="1259"/>
  <c r="AF11" i="1259"/>
  <c r="AB11" i="1259"/>
  <c r="Q11" i="1259"/>
  <c r="P11" i="1259"/>
  <c r="AC11" i="1259" s="1"/>
  <c r="O11" i="1259"/>
  <c r="M11" i="1259"/>
  <c r="K11" i="1259"/>
  <c r="AF10" i="1259"/>
  <c r="Q10" i="1259"/>
  <c r="P10" i="1259"/>
  <c r="AC10" i="1259" s="1"/>
  <c r="AB10" i="1259"/>
  <c r="AF9" i="1259"/>
  <c r="AB9" i="1259"/>
  <c r="Q9" i="1259"/>
  <c r="P9" i="1259" s="1"/>
  <c r="AC9" i="1259" s="1"/>
  <c r="O9" i="1259"/>
  <c r="M9" i="1259"/>
  <c r="AF8" i="1259"/>
  <c r="AB8" i="1259"/>
  <c r="Q8" i="1259"/>
  <c r="P8" i="1259"/>
  <c r="AC8" i="1259" s="1"/>
  <c r="O8" i="1259"/>
  <c r="M8" i="1259"/>
  <c r="K8" i="1259"/>
  <c r="AF7" i="1259"/>
  <c r="AB7" i="1259"/>
  <c r="Q7" i="1259"/>
  <c r="P7" i="1259"/>
  <c r="AC7" i="1259" s="1"/>
  <c r="AD7" i="1259" s="1"/>
  <c r="P4" i="16" s="1"/>
  <c r="O7" i="1259"/>
  <c r="M7" i="1259"/>
  <c r="K7" i="1259"/>
  <c r="AF6" i="1259"/>
  <c r="AB6" i="1259"/>
  <c r="Q6" i="1259"/>
  <c r="P6" i="1259"/>
  <c r="O6" i="1259"/>
  <c r="M6" i="1259"/>
  <c r="K6" i="1259"/>
  <c r="AD14" i="1259" l="1"/>
  <c r="P11" i="16" s="1"/>
  <c r="AE12" i="1262"/>
  <c r="AD11" i="1259"/>
  <c r="P8" i="16" s="1"/>
  <c r="AD13" i="1260"/>
  <c r="Q10" i="16" s="1"/>
  <c r="AB13" i="1259"/>
  <c r="AD13" i="1259" s="1"/>
  <c r="P10" i="16" s="1"/>
  <c r="Q21" i="1259"/>
  <c r="AD21" i="1261"/>
  <c r="M21" i="1260"/>
  <c r="AC21" i="1260"/>
  <c r="AD6" i="1260"/>
  <c r="Q3" i="16" s="1"/>
  <c r="P21" i="1260"/>
  <c r="AD20" i="1260"/>
  <c r="Q17" i="16" s="1"/>
  <c r="AD10" i="1260"/>
  <c r="Q7" i="16" s="1"/>
  <c r="P20" i="1259"/>
  <c r="AC20" i="1259" s="1"/>
  <c r="AB20" i="1259"/>
  <c r="AD20" i="1259" s="1"/>
  <c r="P17" i="16" s="1"/>
  <c r="O20" i="1259"/>
  <c r="O13" i="1259"/>
  <c r="P13" i="1259"/>
  <c r="AC13" i="1259" s="1"/>
  <c r="AD12" i="1259"/>
  <c r="P9" i="16" s="1"/>
  <c r="O10" i="1259"/>
  <c r="AD10" i="1259" s="1"/>
  <c r="P7" i="16" s="1"/>
  <c r="AD17" i="1259"/>
  <c r="P14" i="16" s="1"/>
  <c r="AD15" i="1259"/>
  <c r="P12" i="16" s="1"/>
  <c r="AD8" i="1259"/>
  <c r="P5" i="16" s="1"/>
  <c r="AD16" i="1259"/>
  <c r="P13" i="16" s="1"/>
  <c r="AD9" i="1259"/>
  <c r="P6" i="16" s="1"/>
  <c r="M18" i="1259"/>
  <c r="AB18" i="1259"/>
  <c r="O19" i="1259"/>
  <c r="AC6" i="1259"/>
  <c r="M10" i="1259"/>
  <c r="M13" i="1259"/>
  <c r="K21" i="1259"/>
  <c r="P19" i="1259"/>
  <c r="AC19" i="1259" s="1"/>
  <c r="L21" i="1259"/>
  <c r="O21" i="1259" s="1"/>
  <c r="M19" i="1259"/>
  <c r="L20" i="1258"/>
  <c r="K20" i="1258" s="1"/>
  <c r="L19" i="1258"/>
  <c r="AB19" i="1258" s="1"/>
  <c r="L18" i="1258"/>
  <c r="O18" i="1258" s="1"/>
  <c r="L13" i="1258"/>
  <c r="L12" i="1258"/>
  <c r="O12" i="1258" s="1"/>
  <c r="L10" i="1258"/>
  <c r="K10" i="1258" s="1"/>
  <c r="K9" i="1258"/>
  <c r="K17" i="1258"/>
  <c r="K13" i="1258"/>
  <c r="K8" i="1258"/>
  <c r="A75" i="1258"/>
  <c r="A76" i="1258" s="1"/>
  <c r="A77" i="1258" s="1"/>
  <c r="A78" i="1258" s="1"/>
  <c r="A79" i="1258" s="1"/>
  <c r="A80" i="1258" s="1"/>
  <c r="A81" i="1258" s="1"/>
  <c r="A74" i="1258"/>
  <c r="AF60" i="1258"/>
  <c r="AF59" i="1258"/>
  <c r="AF62" i="1258" s="1"/>
  <c r="AA21" i="1258"/>
  <c r="Z21" i="1258"/>
  <c r="Y21" i="1258"/>
  <c r="X21" i="1258"/>
  <c r="W21" i="1258"/>
  <c r="V21" i="1258"/>
  <c r="U21" i="1258"/>
  <c r="T21" i="1258"/>
  <c r="S21" i="1258"/>
  <c r="R21" i="1258"/>
  <c r="N21" i="1258"/>
  <c r="J21" i="1258"/>
  <c r="I21" i="1258"/>
  <c r="AF20" i="1258"/>
  <c r="Q20" i="1258"/>
  <c r="AF19" i="1258"/>
  <c r="Q19" i="1258"/>
  <c r="M19" i="1258"/>
  <c r="AF18" i="1258"/>
  <c r="Q18" i="1258"/>
  <c r="AF17" i="1258"/>
  <c r="AB17" i="1258"/>
  <c r="Q17" i="1258"/>
  <c r="P17" i="1258"/>
  <c r="AC17" i="1258" s="1"/>
  <c r="O17" i="1258"/>
  <c r="M17" i="1258"/>
  <c r="AF16" i="1258"/>
  <c r="AB16" i="1258"/>
  <c r="Q16" i="1258"/>
  <c r="P16" i="1258"/>
  <c r="AC16" i="1258" s="1"/>
  <c r="AD16" i="1258" s="1"/>
  <c r="O13" i="16" s="1"/>
  <c r="O16" i="1258"/>
  <c r="M16" i="1258"/>
  <c r="K16" i="1258"/>
  <c r="AF15" i="1258"/>
  <c r="AB15" i="1258"/>
  <c r="Q15" i="1258"/>
  <c r="P15" i="1258"/>
  <c r="AC15" i="1258" s="1"/>
  <c r="O15" i="1258"/>
  <c r="M15" i="1258"/>
  <c r="K15" i="1258"/>
  <c r="AF14" i="1258"/>
  <c r="AB14" i="1258"/>
  <c r="Q14" i="1258"/>
  <c r="P14" i="1258"/>
  <c r="AC14" i="1258" s="1"/>
  <c r="O14" i="1258"/>
  <c r="M14" i="1258"/>
  <c r="K14" i="1258"/>
  <c r="AF13" i="1258"/>
  <c r="Q13" i="1258"/>
  <c r="P13" i="1258"/>
  <c r="AC13" i="1258" s="1"/>
  <c r="AF12" i="1258"/>
  <c r="AB12" i="1258"/>
  <c r="Q12" i="1258"/>
  <c r="P12" i="1258"/>
  <c r="AC12" i="1258" s="1"/>
  <c r="AF11" i="1258"/>
  <c r="AB11" i="1258"/>
  <c r="Q11" i="1258"/>
  <c r="P11" i="1258"/>
  <c r="AC11" i="1258" s="1"/>
  <c r="O11" i="1258"/>
  <c r="M11" i="1258"/>
  <c r="K11" i="1258"/>
  <c r="AF10" i="1258"/>
  <c r="AB10" i="1258"/>
  <c r="Q10" i="1258"/>
  <c r="P10" i="1258"/>
  <c r="AC10" i="1258" s="1"/>
  <c r="O10" i="1258"/>
  <c r="AF9" i="1258"/>
  <c r="Q9" i="1258"/>
  <c r="O9" i="1258"/>
  <c r="AB9" i="1258"/>
  <c r="AF8" i="1258"/>
  <c r="AB8" i="1258"/>
  <c r="Q8" i="1258"/>
  <c r="P8" i="1258"/>
  <c r="AC8" i="1258" s="1"/>
  <c r="M8" i="1258"/>
  <c r="AF7" i="1258"/>
  <c r="AC7" i="1258"/>
  <c r="AB7" i="1258"/>
  <c r="Q7" i="1258"/>
  <c r="P7" i="1258"/>
  <c r="O7" i="1258"/>
  <c r="M7" i="1258"/>
  <c r="K7" i="1258"/>
  <c r="AF6" i="1258"/>
  <c r="AC6" i="1258"/>
  <c r="AB6" i="1258"/>
  <c r="Q6" i="1258"/>
  <c r="P6" i="1258"/>
  <c r="O6" i="1258"/>
  <c r="M6" i="1258"/>
  <c r="K6" i="1258"/>
  <c r="AD7" i="1258" l="1"/>
  <c r="O4" i="16" s="1"/>
  <c r="AD17" i="1258"/>
  <c r="O14" i="16" s="1"/>
  <c r="AE9" i="1261"/>
  <c r="R18" i="16"/>
  <c r="AD11" i="1258"/>
  <c r="O8" i="16" s="1"/>
  <c r="M12" i="1258"/>
  <c r="AE8" i="1261"/>
  <c r="AE7" i="1261"/>
  <c r="AE18" i="1261"/>
  <c r="AE12" i="1261"/>
  <c r="AE10" i="1261"/>
  <c r="AE11" i="1261"/>
  <c r="AE17" i="1261"/>
  <c r="AE14" i="1261"/>
  <c r="AE6" i="1261"/>
  <c r="AE13" i="1261"/>
  <c r="AE19" i="1261"/>
  <c r="AE16" i="1261"/>
  <c r="AE15" i="1261"/>
  <c r="AE20" i="1261"/>
  <c r="AD21" i="1260"/>
  <c r="AE16" i="1260" s="1"/>
  <c r="AE7" i="1260"/>
  <c r="AE6" i="1260"/>
  <c r="AB21" i="1259"/>
  <c r="M21" i="1259"/>
  <c r="AD19" i="1259"/>
  <c r="P16" i="16" s="1"/>
  <c r="AC21" i="1259"/>
  <c r="AD6" i="1259"/>
  <c r="P3" i="16" s="1"/>
  <c r="P21" i="1259"/>
  <c r="AD18" i="1259"/>
  <c r="P15" i="16" s="1"/>
  <c r="O20" i="1258"/>
  <c r="P19" i="1258"/>
  <c r="AC19" i="1258" s="1"/>
  <c r="K19" i="1258"/>
  <c r="O19" i="1258"/>
  <c r="AD19" i="1258" s="1"/>
  <c r="O16" i="16" s="1"/>
  <c r="P18" i="1258"/>
  <c r="AC18" i="1258" s="1"/>
  <c r="K18" i="1258"/>
  <c r="K12" i="1258"/>
  <c r="K21" i="1258" s="1"/>
  <c r="L21" i="1258"/>
  <c r="O21" i="1258" s="1"/>
  <c r="M10" i="1258"/>
  <c r="Q21" i="1258"/>
  <c r="AD14" i="1258"/>
  <c r="O11" i="16" s="1"/>
  <c r="AD15" i="1258"/>
  <c r="O12" i="16" s="1"/>
  <c r="AD12" i="1258"/>
  <c r="O9" i="16" s="1"/>
  <c r="AD10" i="1258"/>
  <c r="O7" i="16" s="1"/>
  <c r="AD8" i="1258"/>
  <c r="O5" i="16" s="1"/>
  <c r="AD6" i="1258"/>
  <c r="O3" i="16" s="1"/>
  <c r="O8" i="1258"/>
  <c r="P9" i="1258"/>
  <c r="AC9" i="1258" s="1"/>
  <c r="AD9" i="1258" s="1"/>
  <c r="O6" i="16" s="1"/>
  <c r="M13" i="1258"/>
  <c r="AB13" i="1258"/>
  <c r="M18" i="1258"/>
  <c r="AB18" i="1258"/>
  <c r="AB21" i="1258" s="1"/>
  <c r="P20" i="1258"/>
  <c r="AC20" i="1258" s="1"/>
  <c r="O13" i="1258"/>
  <c r="M9" i="1258"/>
  <c r="M20" i="1258"/>
  <c r="AB20" i="1258"/>
  <c r="L20" i="1257"/>
  <c r="P20" i="1257" s="1"/>
  <c r="AC20" i="1257" s="1"/>
  <c r="L19" i="1257"/>
  <c r="K19" i="1257" s="1"/>
  <c r="L18" i="1257"/>
  <c r="AB18" i="1257" s="1"/>
  <c r="K18" i="1257"/>
  <c r="L17" i="1257"/>
  <c r="K17" i="1257" s="1"/>
  <c r="L13" i="1257"/>
  <c r="K13" i="1257" s="1"/>
  <c r="L10" i="1257"/>
  <c r="K10" i="1257" s="1"/>
  <c r="L9" i="1257"/>
  <c r="K9" i="1257" s="1"/>
  <c r="L8" i="1257"/>
  <c r="K8" i="1257" s="1"/>
  <c r="K14" i="1257"/>
  <c r="K12" i="1257"/>
  <c r="K11" i="1257"/>
  <c r="A74" i="1257"/>
  <c r="A75" i="1257" s="1"/>
  <c r="A76" i="1257" s="1"/>
  <c r="A77" i="1257" s="1"/>
  <c r="A78" i="1257" s="1"/>
  <c r="A79" i="1257" s="1"/>
  <c r="A80" i="1257" s="1"/>
  <c r="A81" i="1257" s="1"/>
  <c r="AF60" i="1257"/>
  <c r="AF59" i="1257"/>
  <c r="AA21" i="1257"/>
  <c r="Z21" i="1257"/>
  <c r="Y21" i="1257"/>
  <c r="X21" i="1257"/>
  <c r="W21" i="1257"/>
  <c r="V21" i="1257"/>
  <c r="U21" i="1257"/>
  <c r="T21" i="1257"/>
  <c r="S21" i="1257"/>
  <c r="R21" i="1257"/>
  <c r="N21" i="1257"/>
  <c r="J21" i="1257"/>
  <c r="I21" i="1257"/>
  <c r="AF20" i="1257"/>
  <c r="AB20" i="1257"/>
  <c r="Q20" i="1257"/>
  <c r="M20" i="1257"/>
  <c r="AF19" i="1257"/>
  <c r="Q19" i="1257"/>
  <c r="M19" i="1257"/>
  <c r="AF18" i="1257"/>
  <c r="Q18" i="1257"/>
  <c r="P18" i="1257" s="1"/>
  <c r="AC18" i="1257" s="1"/>
  <c r="O18" i="1257"/>
  <c r="AF17" i="1257"/>
  <c r="Q17" i="1257"/>
  <c r="O17" i="1257"/>
  <c r="AF16" i="1257"/>
  <c r="AB16" i="1257"/>
  <c r="Q16" i="1257"/>
  <c r="P16" i="1257"/>
  <c r="AC16" i="1257" s="1"/>
  <c r="O16" i="1257"/>
  <c r="M16" i="1257"/>
  <c r="K16" i="1257"/>
  <c r="AF15" i="1257"/>
  <c r="AB15" i="1257"/>
  <c r="Q15" i="1257"/>
  <c r="P15" i="1257"/>
  <c r="AC15" i="1257" s="1"/>
  <c r="O15" i="1257"/>
  <c r="M15" i="1257"/>
  <c r="K15" i="1257"/>
  <c r="AF14" i="1257"/>
  <c r="Q14" i="1257"/>
  <c r="P14" i="1257"/>
  <c r="AC14" i="1257" s="1"/>
  <c r="O14" i="1257"/>
  <c r="AF13" i="1257"/>
  <c r="Q13" i="1257"/>
  <c r="AF12" i="1257"/>
  <c r="Q12" i="1257"/>
  <c r="P12" i="1257"/>
  <c r="AC12" i="1257" s="1"/>
  <c r="AF11" i="1257"/>
  <c r="Q11" i="1257"/>
  <c r="P11" i="1257"/>
  <c r="AC11" i="1257" s="1"/>
  <c r="O11" i="1257"/>
  <c r="AF10" i="1257"/>
  <c r="Q10" i="1257"/>
  <c r="O10" i="1257"/>
  <c r="AB10" i="1257"/>
  <c r="AF9" i="1257"/>
  <c r="Q9" i="1257"/>
  <c r="P9" i="1257" s="1"/>
  <c r="AC9" i="1257" s="1"/>
  <c r="M9" i="1257"/>
  <c r="AF8" i="1257"/>
  <c r="Q8" i="1257"/>
  <c r="AF7" i="1257"/>
  <c r="AB7" i="1257"/>
  <c r="Q7" i="1257"/>
  <c r="P7" i="1257"/>
  <c r="O7" i="1257"/>
  <c r="M7" i="1257"/>
  <c r="K7" i="1257"/>
  <c r="AF6" i="1257"/>
  <c r="AB6" i="1257"/>
  <c r="Q6" i="1257"/>
  <c r="P6" i="1257"/>
  <c r="AC6" i="1257" s="1"/>
  <c r="AD6" i="1257" s="1"/>
  <c r="N3" i="16" s="1"/>
  <c r="O6" i="1257"/>
  <c r="M6" i="1257"/>
  <c r="K6" i="1257"/>
  <c r="M13" i="1257" l="1"/>
  <c r="AB19" i="1257"/>
  <c r="O9" i="1257"/>
  <c r="AD9" i="1257" s="1"/>
  <c r="N6" i="16" s="1"/>
  <c r="O13" i="1257"/>
  <c r="AE8" i="1260"/>
  <c r="AB9" i="1257"/>
  <c r="AB13" i="1257"/>
  <c r="P19" i="1257"/>
  <c r="AC19" i="1257" s="1"/>
  <c r="K20" i="1257"/>
  <c r="K21" i="1257" s="1"/>
  <c r="AE19" i="1260"/>
  <c r="Q18" i="16"/>
  <c r="AE15" i="1260"/>
  <c r="AE11" i="1260"/>
  <c r="AE18" i="1260"/>
  <c r="AE20" i="1260"/>
  <c r="AE12" i="1260"/>
  <c r="AE17" i="1260"/>
  <c r="AE9" i="1260"/>
  <c r="AE14" i="1260"/>
  <c r="AE10" i="1260"/>
  <c r="AE13" i="1260"/>
  <c r="AD21" i="1259"/>
  <c r="AD13" i="1258"/>
  <c r="O10" i="16" s="1"/>
  <c r="M21" i="1258"/>
  <c r="AD18" i="1258"/>
  <c r="O15" i="16" s="1"/>
  <c r="AD20" i="1258"/>
  <c r="O17" i="16" s="1"/>
  <c r="P21" i="1258"/>
  <c r="AC21" i="1258"/>
  <c r="O20" i="1257"/>
  <c r="AD20" i="1257" s="1"/>
  <c r="N17" i="16" s="1"/>
  <c r="O19" i="1257"/>
  <c r="AD19" i="1257" s="1"/>
  <c r="N16" i="16" s="1"/>
  <c r="M18" i="1257"/>
  <c r="L21" i="1257"/>
  <c r="O21" i="1257" s="1"/>
  <c r="P17" i="1257"/>
  <c r="AC17" i="1257" s="1"/>
  <c r="M17" i="1257"/>
  <c r="AB17" i="1257"/>
  <c r="AF62" i="1257"/>
  <c r="P13" i="1257"/>
  <c r="AC13" i="1257" s="1"/>
  <c r="P10" i="1257"/>
  <c r="AC10" i="1257" s="1"/>
  <c r="Q21" i="1257"/>
  <c r="AD18" i="1257"/>
  <c r="N15" i="16" s="1"/>
  <c r="AD15" i="1257"/>
  <c r="N12" i="16" s="1"/>
  <c r="AD16" i="1257"/>
  <c r="N13" i="16" s="1"/>
  <c r="AD10" i="1257"/>
  <c r="N7" i="16" s="1"/>
  <c r="O8" i="1257"/>
  <c r="M11" i="1257"/>
  <c r="AB11" i="1257"/>
  <c r="AD11" i="1257" s="1"/>
  <c r="N8" i="16" s="1"/>
  <c r="O12" i="1257"/>
  <c r="M14" i="1257"/>
  <c r="AB14" i="1257"/>
  <c r="AD14" i="1257" s="1"/>
  <c r="N11" i="16" s="1"/>
  <c r="M8" i="1257"/>
  <c r="AB8" i="1257"/>
  <c r="M12" i="1257"/>
  <c r="AB12" i="1257"/>
  <c r="AC7" i="1257"/>
  <c r="AD7" i="1257" s="1"/>
  <c r="N4" i="16" s="1"/>
  <c r="P8" i="1257"/>
  <c r="AC8" i="1257" s="1"/>
  <c r="M10" i="1257"/>
  <c r="K19" i="1256"/>
  <c r="AF18" i="1256"/>
  <c r="AB18" i="1256"/>
  <c r="Q18" i="1256"/>
  <c r="P18" i="1256" s="1"/>
  <c r="AC18" i="1256" s="1"/>
  <c r="O18" i="1256"/>
  <c r="M18" i="1256"/>
  <c r="K18" i="1256"/>
  <c r="K17" i="1256"/>
  <c r="L14" i="1256"/>
  <c r="AB14" i="1256" s="1"/>
  <c r="L12" i="1256"/>
  <c r="O12" i="1256" s="1"/>
  <c r="L11" i="1256"/>
  <c r="L10" i="1256"/>
  <c r="O10" i="1256" s="1"/>
  <c r="L9" i="1256"/>
  <c r="K9" i="1256"/>
  <c r="L8" i="1256"/>
  <c r="K8" i="1256" s="1"/>
  <c r="K20" i="1256"/>
  <c r="K13" i="1256"/>
  <c r="A76" i="1256"/>
  <c r="A77" i="1256" s="1"/>
  <c r="A78" i="1256" s="1"/>
  <c r="A79" i="1256" s="1"/>
  <c r="A80" i="1256" s="1"/>
  <c r="A81" i="1256" s="1"/>
  <c r="A82" i="1256" s="1"/>
  <c r="A75" i="1256"/>
  <c r="AF61" i="1256"/>
  <c r="AF60" i="1256"/>
  <c r="AA22" i="1256"/>
  <c r="Z22" i="1256"/>
  <c r="Y22" i="1256"/>
  <c r="X22" i="1256"/>
  <c r="W22" i="1256"/>
  <c r="V22" i="1256"/>
  <c r="U22" i="1256"/>
  <c r="T22" i="1256"/>
  <c r="S22" i="1256"/>
  <c r="R22" i="1256"/>
  <c r="N22" i="1256"/>
  <c r="J22" i="1256"/>
  <c r="I22" i="1256"/>
  <c r="AF21" i="1256"/>
  <c r="AB21" i="1256"/>
  <c r="Q21" i="1256"/>
  <c r="P21" i="1256"/>
  <c r="AC21" i="1256" s="1"/>
  <c r="O21" i="1256"/>
  <c r="M21" i="1256"/>
  <c r="K21" i="1256"/>
  <c r="AF20" i="1256"/>
  <c r="AB20" i="1256"/>
  <c r="Q20" i="1256"/>
  <c r="P20" i="1256"/>
  <c r="AC20" i="1256" s="1"/>
  <c r="O20" i="1256"/>
  <c r="M20" i="1256"/>
  <c r="AF19" i="1256"/>
  <c r="AB19" i="1256"/>
  <c r="Q19" i="1256"/>
  <c r="P19" i="1256" s="1"/>
  <c r="AC19" i="1256" s="1"/>
  <c r="O19" i="1256"/>
  <c r="M19" i="1256"/>
  <c r="AF17" i="1256"/>
  <c r="AB17" i="1256"/>
  <c r="Q17" i="1256"/>
  <c r="P17" i="1256"/>
  <c r="AC17" i="1256" s="1"/>
  <c r="O17" i="1256"/>
  <c r="M17" i="1256"/>
  <c r="AF16" i="1256"/>
  <c r="AC16" i="1256"/>
  <c r="AB16" i="1256"/>
  <c r="Q16" i="1256"/>
  <c r="P16" i="1256"/>
  <c r="O16" i="1256"/>
  <c r="M16" i="1256"/>
  <c r="K16" i="1256"/>
  <c r="AF15" i="1256"/>
  <c r="AB15" i="1256"/>
  <c r="Q15" i="1256"/>
  <c r="P15" i="1256"/>
  <c r="AC15" i="1256" s="1"/>
  <c r="O15" i="1256"/>
  <c r="M15" i="1256"/>
  <c r="K15" i="1256"/>
  <c r="AF14" i="1256"/>
  <c r="Q14" i="1256"/>
  <c r="O14" i="1256"/>
  <c r="AF13" i="1256"/>
  <c r="Q13" i="1256"/>
  <c r="P13" i="1256"/>
  <c r="AC13" i="1256" s="1"/>
  <c r="O13" i="1256"/>
  <c r="AB13" i="1256"/>
  <c r="AF12" i="1256"/>
  <c r="Q12" i="1256"/>
  <c r="AF11" i="1256"/>
  <c r="Q11" i="1256"/>
  <c r="AF10" i="1256"/>
  <c r="Q10" i="1256"/>
  <c r="AF9" i="1256"/>
  <c r="AB9" i="1256"/>
  <c r="Q9" i="1256"/>
  <c r="M9" i="1256"/>
  <c r="AF8" i="1256"/>
  <c r="Q8" i="1256"/>
  <c r="O8" i="1256"/>
  <c r="M8" i="1256"/>
  <c r="AF7" i="1256"/>
  <c r="AB7" i="1256"/>
  <c r="Q7" i="1256"/>
  <c r="P7" i="1256"/>
  <c r="AC7" i="1256" s="1"/>
  <c r="O7" i="1256"/>
  <c r="M7" i="1256"/>
  <c r="K7" i="1256"/>
  <c r="AF6" i="1256"/>
  <c r="AB6" i="1256"/>
  <c r="Q6" i="1256"/>
  <c r="P6" i="1256"/>
  <c r="O6" i="1256"/>
  <c r="M6" i="1256"/>
  <c r="K6" i="1256"/>
  <c r="P10" i="1256" l="1"/>
  <c r="AC10" i="1256" s="1"/>
  <c r="P12" i="1256"/>
  <c r="AC12" i="1256" s="1"/>
  <c r="M14" i="1256"/>
  <c r="AF63" i="1256"/>
  <c r="K14" i="1256"/>
  <c r="AE14" i="1259"/>
  <c r="P18" i="16"/>
  <c r="AD21" i="1256"/>
  <c r="K17" i="16" s="1"/>
  <c r="AD13" i="1257"/>
  <c r="N10" i="16" s="1"/>
  <c r="AD17" i="1257"/>
  <c r="N14" i="16" s="1"/>
  <c r="AE16" i="1259"/>
  <c r="AE19" i="1259"/>
  <c r="AE10" i="1259"/>
  <c r="AE7" i="1259"/>
  <c r="AE11" i="1259"/>
  <c r="AE13" i="1259"/>
  <c r="AE9" i="1259"/>
  <c r="AE6" i="1259"/>
  <c r="AE15" i="1259"/>
  <c r="AE20" i="1259"/>
  <c r="AE18" i="1259"/>
  <c r="AE8" i="1259"/>
  <c r="AE17" i="1259"/>
  <c r="AE12" i="1259"/>
  <c r="AD21" i="1258"/>
  <c r="AC21" i="1257"/>
  <c r="AB21" i="1257"/>
  <c r="AD12" i="1257"/>
  <c r="N9" i="16" s="1"/>
  <c r="M21" i="1257"/>
  <c r="P21" i="1257"/>
  <c r="AD8" i="1257"/>
  <c r="N5" i="16" s="1"/>
  <c r="AB8" i="1256"/>
  <c r="K12" i="1256"/>
  <c r="K10" i="1256"/>
  <c r="AD18" i="1256"/>
  <c r="AD16" i="1256"/>
  <c r="K13" i="16" s="1"/>
  <c r="AD7" i="1256"/>
  <c r="K4" i="16" s="1"/>
  <c r="AD17" i="1256"/>
  <c r="P14" i="1256"/>
  <c r="AC14" i="1256" s="1"/>
  <c r="AD14" i="1256" s="1"/>
  <c r="K11" i="16" s="1"/>
  <c r="M12" i="1256"/>
  <c r="AB12" i="1256"/>
  <c r="AD12" i="1256" s="1"/>
  <c r="K9" i="16" s="1"/>
  <c r="P11" i="1256"/>
  <c r="AC11" i="1256" s="1"/>
  <c r="K11" i="1256"/>
  <c r="L22" i="1256"/>
  <c r="O22" i="1256" s="1"/>
  <c r="O9" i="1256"/>
  <c r="P9" i="1256"/>
  <c r="AC9" i="1256" s="1"/>
  <c r="P8" i="1256"/>
  <c r="AC8" i="1256" s="1"/>
  <c r="Q22" i="1256"/>
  <c r="AD13" i="1256"/>
  <c r="K10" i="16" s="1"/>
  <c r="AD15" i="1256"/>
  <c r="K12" i="16" s="1"/>
  <c r="AD19" i="1256"/>
  <c r="K15" i="16" s="1"/>
  <c r="AD20" i="1256"/>
  <c r="K16" i="16" s="1"/>
  <c r="M11" i="1256"/>
  <c r="AB11" i="1256"/>
  <c r="AC6" i="1256"/>
  <c r="M10" i="1256"/>
  <c r="AB10" i="1256"/>
  <c r="O11" i="1256"/>
  <c r="M13" i="1256"/>
  <c r="K20" i="1255"/>
  <c r="AF19" i="1255"/>
  <c r="AB19" i="1255"/>
  <c r="Q19" i="1255"/>
  <c r="P19" i="1255" s="1"/>
  <c r="AC19" i="1255" s="1"/>
  <c r="AD19" i="1255" s="1"/>
  <c r="O19" i="1255"/>
  <c r="M19" i="1255"/>
  <c r="K19" i="1255"/>
  <c r="K18" i="1255"/>
  <c r="AF18" i="1255"/>
  <c r="AB18" i="1255"/>
  <c r="Q18" i="1255"/>
  <c r="P18" i="1255"/>
  <c r="AC18" i="1255" s="1"/>
  <c r="O18" i="1255"/>
  <c r="M18" i="1255"/>
  <c r="K17" i="1255"/>
  <c r="K14" i="1255"/>
  <c r="L13" i="1255"/>
  <c r="K12" i="1255"/>
  <c r="L11" i="1255"/>
  <c r="L10" i="1255"/>
  <c r="K10" i="1255" s="1"/>
  <c r="K9" i="1255"/>
  <c r="K8" i="1255"/>
  <c r="K21" i="1255"/>
  <c r="A76" i="1255"/>
  <c r="A77" i="1255" s="1"/>
  <c r="A78" i="1255" s="1"/>
  <c r="A79" i="1255" s="1"/>
  <c r="A80" i="1255" s="1"/>
  <c r="A81" i="1255" s="1"/>
  <c r="A82" i="1255" s="1"/>
  <c r="A83" i="1255" s="1"/>
  <c r="AF62" i="1255"/>
  <c r="AF61" i="1255"/>
  <c r="AA23" i="1255"/>
  <c r="Z23" i="1255"/>
  <c r="Y23" i="1255"/>
  <c r="X23" i="1255"/>
  <c r="W23" i="1255"/>
  <c r="V23" i="1255"/>
  <c r="U23" i="1255"/>
  <c r="T23" i="1255"/>
  <c r="S23" i="1255"/>
  <c r="R23" i="1255"/>
  <c r="N23" i="1255"/>
  <c r="J23" i="1255"/>
  <c r="I23" i="1255"/>
  <c r="AF22" i="1255"/>
  <c r="AB22" i="1255"/>
  <c r="Q22" i="1255"/>
  <c r="P22" i="1255"/>
  <c r="AC22" i="1255" s="1"/>
  <c r="O22" i="1255"/>
  <c r="M22" i="1255"/>
  <c r="K22" i="1255"/>
  <c r="AF21" i="1255"/>
  <c r="AB21" i="1255"/>
  <c r="Q21" i="1255"/>
  <c r="P21" i="1255" s="1"/>
  <c r="AC21" i="1255" s="1"/>
  <c r="O21" i="1255"/>
  <c r="M21" i="1255"/>
  <c r="AF20" i="1255"/>
  <c r="AB20" i="1255"/>
  <c r="Q20" i="1255"/>
  <c r="P20" i="1255" s="1"/>
  <c r="AC20" i="1255" s="1"/>
  <c r="O20" i="1255"/>
  <c r="M20" i="1255"/>
  <c r="AF17" i="1255"/>
  <c r="AB17" i="1255"/>
  <c r="Q17" i="1255"/>
  <c r="P17" i="1255" s="1"/>
  <c r="AC17" i="1255" s="1"/>
  <c r="O17" i="1255"/>
  <c r="M17" i="1255"/>
  <c r="AF16" i="1255"/>
  <c r="AB16" i="1255"/>
  <c r="Q16" i="1255"/>
  <c r="P16" i="1255"/>
  <c r="AC16" i="1255" s="1"/>
  <c r="O16" i="1255"/>
  <c r="M16" i="1255"/>
  <c r="K16" i="1255"/>
  <c r="AF15" i="1255"/>
  <c r="AB15" i="1255"/>
  <c r="Q15" i="1255"/>
  <c r="P15" i="1255"/>
  <c r="AC15" i="1255" s="1"/>
  <c r="O15" i="1255"/>
  <c r="M15" i="1255"/>
  <c r="K15" i="1255"/>
  <c r="AF14" i="1255"/>
  <c r="AB14" i="1255"/>
  <c r="Q14" i="1255"/>
  <c r="P14" i="1255"/>
  <c r="AC14" i="1255" s="1"/>
  <c r="O14" i="1255"/>
  <c r="M14" i="1255"/>
  <c r="AF13" i="1255"/>
  <c r="Q13" i="1255"/>
  <c r="AF12" i="1255"/>
  <c r="Q12" i="1255"/>
  <c r="P12" i="1255" s="1"/>
  <c r="AC12" i="1255" s="1"/>
  <c r="O12" i="1255"/>
  <c r="AB12" i="1255"/>
  <c r="AF11" i="1255"/>
  <c r="Q11" i="1255"/>
  <c r="O11" i="1255"/>
  <c r="AF10" i="1255"/>
  <c r="Q10" i="1255"/>
  <c r="M10" i="1255"/>
  <c r="AF9" i="1255"/>
  <c r="AB9" i="1255"/>
  <c r="Q9" i="1255"/>
  <c r="P9" i="1255" s="1"/>
  <c r="AC9" i="1255" s="1"/>
  <c r="O9" i="1255"/>
  <c r="M9" i="1255"/>
  <c r="AF8" i="1255"/>
  <c r="AB8" i="1255"/>
  <c r="Q8" i="1255"/>
  <c r="P8" i="1255" s="1"/>
  <c r="AC8" i="1255" s="1"/>
  <c r="O8" i="1255"/>
  <c r="M8" i="1255"/>
  <c r="AF7" i="1255"/>
  <c r="AB7" i="1255"/>
  <c r="Q7" i="1255"/>
  <c r="P7" i="1255"/>
  <c r="AC7" i="1255" s="1"/>
  <c r="O7" i="1255"/>
  <c r="M7" i="1255"/>
  <c r="K7" i="1255"/>
  <c r="AF6" i="1255"/>
  <c r="AB6" i="1255"/>
  <c r="Q6" i="1255"/>
  <c r="P6" i="1255"/>
  <c r="AC6" i="1255" s="1"/>
  <c r="O6" i="1255"/>
  <c r="M6" i="1255"/>
  <c r="K6" i="1255"/>
  <c r="AE11" i="1258" l="1"/>
  <c r="O18" i="16"/>
  <c r="AF64" i="1255"/>
  <c r="K14" i="16"/>
  <c r="AE19" i="1258"/>
  <c r="AE18" i="1258"/>
  <c r="AE17" i="1258"/>
  <c r="AE6" i="1258"/>
  <c r="AE14" i="1258"/>
  <c r="AE16" i="1258"/>
  <c r="AE7" i="1258"/>
  <c r="AE20" i="1258"/>
  <c r="AE12" i="1258"/>
  <c r="AE9" i="1258"/>
  <c r="AE8" i="1258"/>
  <c r="AE10" i="1258"/>
  <c r="AE13" i="1258"/>
  <c r="AE15" i="1258"/>
  <c r="AD21" i="1257"/>
  <c r="AD8" i="1256"/>
  <c r="K5" i="16" s="1"/>
  <c r="K22" i="1256"/>
  <c r="AD9" i="1256"/>
  <c r="K6" i="16" s="1"/>
  <c r="AB22" i="1256"/>
  <c r="P22" i="1256"/>
  <c r="M22" i="1256"/>
  <c r="AD11" i="1256"/>
  <c r="K8" i="16" s="1"/>
  <c r="AD10" i="1256"/>
  <c r="K7" i="16" s="1"/>
  <c r="AC22" i="1256"/>
  <c r="AD6" i="1256"/>
  <c r="K3" i="16" s="1"/>
  <c r="Q23" i="1255"/>
  <c r="AD21" i="1255"/>
  <c r="J16" i="16" s="1"/>
  <c r="P11" i="1255"/>
  <c r="AC11" i="1255" s="1"/>
  <c r="AD18" i="1255"/>
  <c r="AD7" i="1255"/>
  <c r="J4" i="16" s="1"/>
  <c r="AD22" i="1255"/>
  <c r="J17" i="16" s="1"/>
  <c r="P13" i="1255"/>
  <c r="AC13" i="1255" s="1"/>
  <c r="O13" i="1255"/>
  <c r="K13" i="1255"/>
  <c r="M11" i="1255"/>
  <c r="AB11" i="1255"/>
  <c r="AD11" i="1255" s="1"/>
  <c r="J8" i="16" s="1"/>
  <c r="K11" i="1255"/>
  <c r="AD9" i="1255"/>
  <c r="J6" i="16" s="1"/>
  <c r="AD20" i="1255"/>
  <c r="AD16" i="1255"/>
  <c r="J13" i="16" s="1"/>
  <c r="AD14" i="1255"/>
  <c r="J11" i="16" s="1"/>
  <c r="AD15" i="1255"/>
  <c r="J12" i="16" s="1"/>
  <c r="AD8" i="1255"/>
  <c r="J5" i="16" s="1"/>
  <c r="AD17" i="1255"/>
  <c r="J14" i="16" s="1"/>
  <c r="AD12" i="1255"/>
  <c r="J9" i="16" s="1"/>
  <c r="AD6" i="1255"/>
  <c r="J3" i="16" s="1"/>
  <c r="AB10" i="1255"/>
  <c r="O10" i="1255"/>
  <c r="M13" i="1255"/>
  <c r="AB13" i="1255"/>
  <c r="P10" i="1255"/>
  <c r="AC10" i="1255" s="1"/>
  <c r="M12" i="1255"/>
  <c r="L23" i="1255"/>
  <c r="O23" i="1255" s="1"/>
  <c r="L13" i="1254"/>
  <c r="K13" i="1254" s="1"/>
  <c r="L12" i="1254"/>
  <c r="AB12" i="1254" s="1"/>
  <c r="L11" i="1254"/>
  <c r="K11" i="1254" s="1"/>
  <c r="L10" i="1254"/>
  <c r="K10" i="1254" s="1"/>
  <c r="K9" i="1254"/>
  <c r="L8" i="1254"/>
  <c r="O8" i="1254" s="1"/>
  <c r="K19" i="1254"/>
  <c r="K18" i="1254"/>
  <c r="K17" i="1254"/>
  <c r="K15" i="1254"/>
  <c r="A75" i="1254"/>
  <c r="A76" i="1254" s="1"/>
  <c r="A77" i="1254" s="1"/>
  <c r="A78" i="1254" s="1"/>
  <c r="A79" i="1254" s="1"/>
  <c r="A80" i="1254" s="1"/>
  <c r="A81" i="1254" s="1"/>
  <c r="A74" i="1254"/>
  <c r="AF60" i="1254"/>
  <c r="AF59" i="1254"/>
  <c r="AF62" i="1254" s="1"/>
  <c r="AA21" i="1254"/>
  <c r="Z21" i="1254"/>
  <c r="Y21" i="1254"/>
  <c r="X21" i="1254"/>
  <c r="W21" i="1254"/>
  <c r="V21" i="1254"/>
  <c r="U21" i="1254"/>
  <c r="T21" i="1254"/>
  <c r="S21" i="1254"/>
  <c r="R21" i="1254"/>
  <c r="N21" i="1254"/>
  <c r="J21" i="1254"/>
  <c r="I21" i="1254"/>
  <c r="AF20" i="1254"/>
  <c r="AB20" i="1254"/>
  <c r="Q20" i="1254"/>
  <c r="P20" i="1254"/>
  <c r="AC20" i="1254" s="1"/>
  <c r="AD20" i="1254" s="1"/>
  <c r="I17" i="16" s="1"/>
  <c r="O20" i="1254"/>
  <c r="M20" i="1254"/>
  <c r="K20" i="1254"/>
  <c r="AF19" i="1254"/>
  <c r="AB19" i="1254"/>
  <c r="Q19" i="1254"/>
  <c r="P19" i="1254" s="1"/>
  <c r="AC19" i="1254" s="1"/>
  <c r="O19" i="1254"/>
  <c r="M19" i="1254"/>
  <c r="AF18" i="1254"/>
  <c r="Q18" i="1254"/>
  <c r="AB18" i="1254"/>
  <c r="AF17" i="1254"/>
  <c r="AB17" i="1254"/>
  <c r="Q17" i="1254"/>
  <c r="P17" i="1254"/>
  <c r="AC17" i="1254" s="1"/>
  <c r="O17" i="1254"/>
  <c r="M17" i="1254"/>
  <c r="AF16" i="1254"/>
  <c r="AC16" i="1254"/>
  <c r="AB16" i="1254"/>
  <c r="Q16" i="1254"/>
  <c r="P16" i="1254"/>
  <c r="O16" i="1254"/>
  <c r="M16" i="1254"/>
  <c r="K16" i="1254"/>
  <c r="AF15" i="1254"/>
  <c r="Q15" i="1254"/>
  <c r="AB15" i="1254"/>
  <c r="AF14" i="1254"/>
  <c r="AB14" i="1254"/>
  <c r="Q14" i="1254"/>
  <c r="P14" i="1254"/>
  <c r="AC14" i="1254" s="1"/>
  <c r="AD14" i="1254" s="1"/>
  <c r="I11" i="16" s="1"/>
  <c r="O14" i="1254"/>
  <c r="M14" i="1254"/>
  <c r="K14" i="1254"/>
  <c r="AF13" i="1254"/>
  <c r="Q13" i="1254"/>
  <c r="P13" i="1254" s="1"/>
  <c r="AC13" i="1254" s="1"/>
  <c r="M13" i="1254"/>
  <c r="AF12" i="1254"/>
  <c r="Q12" i="1254"/>
  <c r="AF11" i="1254"/>
  <c r="AB11" i="1254"/>
  <c r="Q11" i="1254"/>
  <c r="P11" i="1254" s="1"/>
  <c r="AC11" i="1254" s="1"/>
  <c r="O11" i="1254"/>
  <c r="M11" i="1254"/>
  <c r="AF10" i="1254"/>
  <c r="AB10" i="1254"/>
  <c r="Q10" i="1254"/>
  <c r="P10" i="1254" s="1"/>
  <c r="AC10" i="1254" s="1"/>
  <c r="M10" i="1254"/>
  <c r="AF9" i="1254"/>
  <c r="AB9" i="1254"/>
  <c r="Q9" i="1254"/>
  <c r="P9" i="1254" s="1"/>
  <c r="AC9" i="1254" s="1"/>
  <c r="O9" i="1254"/>
  <c r="M9" i="1254"/>
  <c r="AF8" i="1254"/>
  <c r="Q8" i="1254"/>
  <c r="L21" i="1254"/>
  <c r="O21" i="1254" s="1"/>
  <c r="AF7" i="1254"/>
  <c r="AB7" i="1254"/>
  <c r="Q7" i="1254"/>
  <c r="P7" i="1254"/>
  <c r="AC7" i="1254" s="1"/>
  <c r="AD7" i="1254" s="1"/>
  <c r="I4" i="16" s="1"/>
  <c r="O7" i="1254"/>
  <c r="M7" i="1254"/>
  <c r="K7" i="1254"/>
  <c r="AF6" i="1254"/>
  <c r="AB6" i="1254"/>
  <c r="Q6" i="1254"/>
  <c r="P6" i="1254"/>
  <c r="O6" i="1254"/>
  <c r="M6" i="1254"/>
  <c r="K6" i="1254"/>
  <c r="AE18" i="1257" l="1"/>
  <c r="N18" i="16"/>
  <c r="AD9" i="1254"/>
  <c r="I6" i="16" s="1"/>
  <c r="K12" i="1254"/>
  <c r="K8" i="1254"/>
  <c r="K23" i="1255"/>
  <c r="J15" i="16"/>
  <c r="AE16" i="1257"/>
  <c r="AE15" i="1257"/>
  <c r="AE10" i="1257"/>
  <c r="AE7" i="1257"/>
  <c r="AE8" i="1257"/>
  <c r="AE17" i="1257"/>
  <c r="AE19" i="1257"/>
  <c r="AE20" i="1257"/>
  <c r="AE11" i="1257"/>
  <c r="AE9" i="1257"/>
  <c r="AE12" i="1257"/>
  <c r="AE13" i="1257"/>
  <c r="AE14" i="1257"/>
  <c r="AE6" i="1257"/>
  <c r="AD22" i="1256"/>
  <c r="K18" i="16" s="1"/>
  <c r="AC23" i="1255"/>
  <c r="AD13" i="1255"/>
  <c r="J10" i="16" s="1"/>
  <c r="M23" i="1255"/>
  <c r="AB23" i="1255"/>
  <c r="AD10" i="1255"/>
  <c r="J7" i="16" s="1"/>
  <c r="P23" i="1255"/>
  <c r="O13" i="1254"/>
  <c r="AB13" i="1254"/>
  <c r="AD11" i="1254"/>
  <c r="I8" i="16" s="1"/>
  <c r="Q21" i="1254"/>
  <c r="O10" i="1254"/>
  <c r="AD10" i="1254"/>
  <c r="I7" i="16" s="1"/>
  <c r="AD17" i="1254"/>
  <c r="I14" i="16" s="1"/>
  <c r="AD19" i="1254"/>
  <c r="I16" i="16" s="1"/>
  <c r="AD16" i="1254"/>
  <c r="I13" i="16" s="1"/>
  <c r="O12" i="1254"/>
  <c r="O15" i="1254"/>
  <c r="O18" i="1254"/>
  <c r="AC6" i="1254"/>
  <c r="M8" i="1254"/>
  <c r="AB8" i="1254"/>
  <c r="P12" i="1254"/>
  <c r="AC12" i="1254" s="1"/>
  <c r="AD12" i="1254" s="1"/>
  <c r="I9" i="16" s="1"/>
  <c r="P15" i="1254"/>
  <c r="AC15" i="1254" s="1"/>
  <c r="P18" i="1254"/>
  <c r="AC18" i="1254" s="1"/>
  <c r="P8" i="1254"/>
  <c r="AC8" i="1254" s="1"/>
  <c r="AD8" i="1254" s="1"/>
  <c r="I5" i="16" s="1"/>
  <c r="M12" i="1254"/>
  <c r="M15" i="1254"/>
  <c r="M18" i="1254"/>
  <c r="K19" i="1253"/>
  <c r="L18" i="1253"/>
  <c r="L17" i="1253"/>
  <c r="L15" i="1253"/>
  <c r="L13" i="1253"/>
  <c r="L12" i="1253"/>
  <c r="K12" i="1253" s="1"/>
  <c r="AE21" i="1256" l="1"/>
  <c r="AE18" i="1256"/>
  <c r="AE6" i="1256"/>
  <c r="AE8" i="1256"/>
  <c r="AE16" i="1256"/>
  <c r="AE10" i="1256"/>
  <c r="AE7" i="1256"/>
  <c r="AE19" i="1256"/>
  <c r="AE15" i="1256"/>
  <c r="AE9" i="1256"/>
  <c r="AE17" i="1256"/>
  <c r="AE12" i="1256"/>
  <c r="AE11" i="1256"/>
  <c r="AE13" i="1256"/>
  <c r="AE20" i="1256"/>
  <c r="AE14" i="1256"/>
  <c r="AD23" i="1255"/>
  <c r="AD13" i="1254"/>
  <c r="I10" i="16" s="1"/>
  <c r="AB21" i="1254"/>
  <c r="AD18" i="1254"/>
  <c r="I15" i="16" s="1"/>
  <c r="M21" i="1254"/>
  <c r="AD15" i="1254"/>
  <c r="I12" i="16" s="1"/>
  <c r="K21" i="1254"/>
  <c r="P21" i="1254"/>
  <c r="AC21" i="1254"/>
  <c r="AD6" i="1254"/>
  <c r="I3" i="16" s="1"/>
  <c r="L10" i="1253"/>
  <c r="K10" i="1253"/>
  <c r="L8" i="1253"/>
  <c r="AE19" i="1255" l="1"/>
  <c r="J18" i="16"/>
  <c r="AE17" i="1255"/>
  <c r="AE18" i="1255"/>
  <c r="AE9" i="1255"/>
  <c r="AE8" i="1255"/>
  <c r="AE20" i="1255"/>
  <c r="AE13" i="1255"/>
  <c r="AE6" i="1255"/>
  <c r="AE16" i="1255"/>
  <c r="AE7" i="1255"/>
  <c r="AE12" i="1255"/>
  <c r="AE11" i="1255"/>
  <c r="AE22" i="1255"/>
  <c r="AE15" i="1255"/>
  <c r="AE21" i="1255"/>
  <c r="AE14" i="1255"/>
  <c r="AE10" i="1255"/>
  <c r="AD21" i="1254"/>
  <c r="AE17" i="1254" s="1"/>
  <c r="AE10" i="1254"/>
  <c r="K18" i="1253"/>
  <c r="K17" i="1253"/>
  <c r="K15" i="1253"/>
  <c r="K13" i="1253"/>
  <c r="K8" i="1253"/>
  <c r="A74" i="1253"/>
  <c r="A75" i="1253" s="1"/>
  <c r="A76" i="1253" s="1"/>
  <c r="A77" i="1253" s="1"/>
  <c r="A78" i="1253" s="1"/>
  <c r="A79" i="1253" s="1"/>
  <c r="A80" i="1253" s="1"/>
  <c r="A81" i="1253" s="1"/>
  <c r="AF60" i="1253"/>
  <c r="AF59" i="1253"/>
  <c r="AF62" i="1253" s="1"/>
  <c r="AA21" i="1253"/>
  <c r="Z21" i="1253"/>
  <c r="Y21" i="1253"/>
  <c r="X21" i="1253"/>
  <c r="W21" i="1253"/>
  <c r="V21" i="1253"/>
  <c r="U21" i="1253"/>
  <c r="T21" i="1253"/>
  <c r="S21" i="1253"/>
  <c r="R21" i="1253"/>
  <c r="N21" i="1253"/>
  <c r="J21" i="1253"/>
  <c r="I21" i="1253"/>
  <c r="AF20" i="1253"/>
  <c r="AB20" i="1253"/>
  <c r="Q20" i="1253"/>
  <c r="P20" i="1253"/>
  <c r="AC20" i="1253" s="1"/>
  <c r="O20" i="1253"/>
  <c r="M20" i="1253"/>
  <c r="K20" i="1253"/>
  <c r="AF19" i="1253"/>
  <c r="AB19" i="1253"/>
  <c r="Q19" i="1253"/>
  <c r="P19" i="1253" s="1"/>
  <c r="AC19" i="1253" s="1"/>
  <c r="O19" i="1253"/>
  <c r="M19" i="1253"/>
  <c r="AF18" i="1253"/>
  <c r="Q18" i="1253"/>
  <c r="M18" i="1253"/>
  <c r="O18" i="1253"/>
  <c r="AF17" i="1253"/>
  <c r="Q17" i="1253"/>
  <c r="AB17" i="1253"/>
  <c r="AF16" i="1253"/>
  <c r="AB16" i="1253"/>
  <c r="Q16" i="1253"/>
  <c r="P16" i="1253"/>
  <c r="AC16" i="1253" s="1"/>
  <c r="O16" i="1253"/>
  <c r="M16" i="1253"/>
  <c r="K16" i="1253"/>
  <c r="AF15" i="1253"/>
  <c r="AB15" i="1253"/>
  <c r="Q15" i="1253"/>
  <c r="M15" i="1253"/>
  <c r="O15" i="1253"/>
  <c r="AF14" i="1253"/>
  <c r="AB14" i="1253"/>
  <c r="Q14" i="1253"/>
  <c r="P14" i="1253"/>
  <c r="AC14" i="1253" s="1"/>
  <c r="O14" i="1253"/>
  <c r="M14" i="1253"/>
  <c r="K14" i="1253"/>
  <c r="AF13" i="1253"/>
  <c r="AB13" i="1253"/>
  <c r="Q13" i="1253"/>
  <c r="P13" i="1253" s="1"/>
  <c r="AC13" i="1253" s="1"/>
  <c r="O13" i="1253"/>
  <c r="M13" i="1253"/>
  <c r="AF12" i="1253"/>
  <c r="AB12" i="1253"/>
  <c r="Q12" i="1253"/>
  <c r="M12" i="1253"/>
  <c r="O12" i="1253"/>
  <c r="AF11" i="1253"/>
  <c r="AB11" i="1253"/>
  <c r="Q11" i="1253"/>
  <c r="P11" i="1253"/>
  <c r="AC11" i="1253" s="1"/>
  <c r="O11" i="1253"/>
  <c r="M11" i="1253"/>
  <c r="K11" i="1253"/>
  <c r="AF10" i="1253"/>
  <c r="AB10" i="1253"/>
  <c r="Q10" i="1253"/>
  <c r="P10" i="1253" s="1"/>
  <c r="AC10" i="1253" s="1"/>
  <c r="O10" i="1253"/>
  <c r="M10" i="1253"/>
  <c r="AF9" i="1253"/>
  <c r="AB9" i="1253"/>
  <c r="Q9" i="1253"/>
  <c r="P9" i="1253"/>
  <c r="AC9" i="1253" s="1"/>
  <c r="O9" i="1253"/>
  <c r="M9" i="1253"/>
  <c r="K9" i="1253"/>
  <c r="AF8" i="1253"/>
  <c r="AB8" i="1253"/>
  <c r="Q8" i="1253"/>
  <c r="P8" i="1253" s="1"/>
  <c r="AC8" i="1253" s="1"/>
  <c r="O8" i="1253"/>
  <c r="M8" i="1253"/>
  <c r="AF7" i="1253"/>
  <c r="AB7" i="1253"/>
  <c r="Q7" i="1253"/>
  <c r="P7" i="1253"/>
  <c r="AC7" i="1253" s="1"/>
  <c r="AD7" i="1253" s="1"/>
  <c r="H4" i="16" s="1"/>
  <c r="O7" i="1253"/>
  <c r="M7" i="1253"/>
  <c r="K7" i="1253"/>
  <c r="AF6" i="1253"/>
  <c r="AB6" i="1253"/>
  <c r="Q6" i="1253"/>
  <c r="P6" i="1253"/>
  <c r="AC6" i="1253" s="1"/>
  <c r="O6" i="1253"/>
  <c r="M6" i="1253"/>
  <c r="K6" i="1253"/>
  <c r="AD20" i="1253" l="1"/>
  <c r="H17" i="16" s="1"/>
  <c r="AE11" i="1254"/>
  <c r="I18" i="16"/>
  <c r="AD19" i="1253"/>
  <c r="H16" i="16" s="1"/>
  <c r="AE19" i="1254"/>
  <c r="AE18" i="1254"/>
  <c r="AE15" i="1254"/>
  <c r="AE14" i="1254"/>
  <c r="AE8" i="1254"/>
  <c r="AE20" i="1254"/>
  <c r="AE12" i="1254"/>
  <c r="AE7" i="1254"/>
  <c r="AE6" i="1254"/>
  <c r="AE9" i="1254"/>
  <c r="AE16" i="1254"/>
  <c r="AE13" i="1254"/>
  <c r="Q21" i="1253"/>
  <c r="AD8" i="1253"/>
  <c r="H5" i="16" s="1"/>
  <c r="AD10" i="1253"/>
  <c r="H7" i="16" s="1"/>
  <c r="AD9" i="1253"/>
  <c r="H6" i="16" s="1"/>
  <c r="AD13" i="1253"/>
  <c r="H10" i="16" s="1"/>
  <c r="AD14" i="1253"/>
  <c r="H11" i="16" s="1"/>
  <c r="AD16" i="1253"/>
  <c r="H13" i="16" s="1"/>
  <c r="AD11" i="1253"/>
  <c r="H8" i="16" s="1"/>
  <c r="P12" i="1253"/>
  <c r="AC12" i="1253" s="1"/>
  <c r="AD12" i="1253" s="1"/>
  <c r="H9" i="16" s="1"/>
  <c r="P15" i="1253"/>
  <c r="AC15" i="1253" s="1"/>
  <c r="AD15" i="1253" s="1"/>
  <c r="H12" i="16" s="1"/>
  <c r="O17" i="1253"/>
  <c r="P18" i="1253"/>
  <c r="AC18" i="1253" s="1"/>
  <c r="P17" i="1253"/>
  <c r="AC17" i="1253" s="1"/>
  <c r="AD6" i="1253"/>
  <c r="H3" i="16" s="1"/>
  <c r="AB18" i="1253"/>
  <c r="AB21" i="1253" s="1"/>
  <c r="L21" i="1253"/>
  <c r="O21" i="1253" s="1"/>
  <c r="K21" i="1253"/>
  <c r="M17" i="1253"/>
  <c r="M21" i="1253" s="1"/>
  <c r="L18" i="1252"/>
  <c r="AB18" i="1252" s="1"/>
  <c r="K18" i="1252"/>
  <c r="L17" i="1252"/>
  <c r="L15" i="1252"/>
  <c r="K15" i="1252"/>
  <c r="L13" i="1252"/>
  <c r="K13" i="1252" s="1"/>
  <c r="L12" i="1252"/>
  <c r="K12" i="1252" s="1"/>
  <c r="K9" i="1252"/>
  <c r="L8" i="1252"/>
  <c r="AB8" i="1252" s="1"/>
  <c r="K8" i="1252"/>
  <c r="K19" i="1252"/>
  <c r="K10" i="1252"/>
  <c r="A74" i="1252"/>
  <c r="A75" i="1252" s="1"/>
  <c r="A76" i="1252" s="1"/>
  <c r="A77" i="1252" s="1"/>
  <c r="A78" i="1252" s="1"/>
  <c r="A79" i="1252" s="1"/>
  <c r="A80" i="1252" s="1"/>
  <c r="A81" i="1252" s="1"/>
  <c r="AF60" i="1252"/>
  <c r="AF59" i="1252"/>
  <c r="AF62" i="1252" s="1"/>
  <c r="AA21" i="1252"/>
  <c r="Z21" i="1252"/>
  <c r="Y21" i="1252"/>
  <c r="X21" i="1252"/>
  <c r="W21" i="1252"/>
  <c r="V21" i="1252"/>
  <c r="U21" i="1252"/>
  <c r="T21" i="1252"/>
  <c r="S21" i="1252"/>
  <c r="R21" i="1252"/>
  <c r="N21" i="1252"/>
  <c r="J21" i="1252"/>
  <c r="I21" i="1252"/>
  <c r="AF20" i="1252"/>
  <c r="AB20" i="1252"/>
  <c r="Q20" i="1252"/>
  <c r="P20" i="1252"/>
  <c r="AC20" i="1252" s="1"/>
  <c r="AD20" i="1252" s="1"/>
  <c r="G17" i="16" s="1"/>
  <c r="O20" i="1252"/>
  <c r="M20" i="1252"/>
  <c r="K20" i="1252"/>
  <c r="AF19" i="1252"/>
  <c r="AB19" i="1252"/>
  <c r="Q19" i="1252"/>
  <c r="P19" i="1252" s="1"/>
  <c r="AC19" i="1252" s="1"/>
  <c r="O19" i="1252"/>
  <c r="M19" i="1252"/>
  <c r="AF18" i="1252"/>
  <c r="Q18" i="1252"/>
  <c r="P18" i="1252" s="1"/>
  <c r="AC18" i="1252" s="1"/>
  <c r="O18" i="1252"/>
  <c r="M18" i="1252"/>
  <c r="AF17" i="1252"/>
  <c r="Q17" i="1252"/>
  <c r="K17" i="1252"/>
  <c r="AF16" i="1252"/>
  <c r="AB16" i="1252"/>
  <c r="Q16" i="1252"/>
  <c r="P16" i="1252"/>
  <c r="AC16" i="1252" s="1"/>
  <c r="O16" i="1252"/>
  <c r="M16" i="1252"/>
  <c r="K16" i="1252"/>
  <c r="AF15" i="1252"/>
  <c r="AB15" i="1252"/>
  <c r="Q15" i="1252"/>
  <c r="P15" i="1252" s="1"/>
  <c r="AC15" i="1252" s="1"/>
  <c r="O15" i="1252"/>
  <c r="M15" i="1252"/>
  <c r="AF14" i="1252"/>
  <c r="AB14" i="1252"/>
  <c r="Q14" i="1252"/>
  <c r="P14" i="1252"/>
  <c r="AC14" i="1252" s="1"/>
  <c r="O14" i="1252"/>
  <c r="M14" i="1252"/>
  <c r="K14" i="1252"/>
  <c r="AF13" i="1252"/>
  <c r="AB13" i="1252"/>
  <c r="Q13" i="1252"/>
  <c r="P13" i="1252" s="1"/>
  <c r="AC13" i="1252" s="1"/>
  <c r="O13" i="1252"/>
  <c r="AF12" i="1252"/>
  <c r="Q12" i="1252"/>
  <c r="AB12" i="1252"/>
  <c r="AF11" i="1252"/>
  <c r="AB11" i="1252"/>
  <c r="Q11" i="1252"/>
  <c r="P11" i="1252"/>
  <c r="AC11" i="1252" s="1"/>
  <c r="O11" i="1252"/>
  <c r="M11" i="1252"/>
  <c r="K11" i="1252"/>
  <c r="AF10" i="1252"/>
  <c r="AB10" i="1252"/>
  <c r="Q10" i="1252"/>
  <c r="P10" i="1252"/>
  <c r="AC10" i="1252" s="1"/>
  <c r="AD10" i="1252" s="1"/>
  <c r="G7" i="16" s="1"/>
  <c r="O10" i="1252"/>
  <c r="M10" i="1252"/>
  <c r="AF9" i="1252"/>
  <c r="AB9" i="1252"/>
  <c r="Q9" i="1252"/>
  <c r="P9" i="1252"/>
  <c r="AC9" i="1252" s="1"/>
  <c r="M9" i="1252"/>
  <c r="L21" i="1252"/>
  <c r="O21" i="1252" s="1"/>
  <c r="AF8" i="1252"/>
  <c r="Q8" i="1252"/>
  <c r="P8" i="1252" s="1"/>
  <c r="AC8" i="1252" s="1"/>
  <c r="O8" i="1252"/>
  <c r="AF7" i="1252"/>
  <c r="AB7" i="1252"/>
  <c r="Q7" i="1252"/>
  <c r="P7" i="1252"/>
  <c r="AC7" i="1252" s="1"/>
  <c r="AD7" i="1252" s="1"/>
  <c r="G4" i="16" s="1"/>
  <c r="O7" i="1252"/>
  <c r="M7" i="1252"/>
  <c r="K7" i="1252"/>
  <c r="AF6" i="1252"/>
  <c r="AB6" i="1252"/>
  <c r="Q6" i="1252"/>
  <c r="P6" i="1252"/>
  <c r="AC6" i="1252" s="1"/>
  <c r="O6" i="1252"/>
  <c r="M6" i="1252"/>
  <c r="K6" i="1252"/>
  <c r="P17" i="1252" l="1"/>
  <c r="AC17" i="1252" s="1"/>
  <c r="AD17" i="1253"/>
  <c r="H14" i="16" s="1"/>
  <c r="AC21" i="1253"/>
  <c r="AD18" i="1253"/>
  <c r="P21" i="1253"/>
  <c r="AD18" i="1252"/>
  <c r="G15" i="16" s="1"/>
  <c r="M17" i="1252"/>
  <c r="AB17" i="1252"/>
  <c r="AB21" i="1252" s="1"/>
  <c r="O17" i="1252"/>
  <c r="AD13" i="1252"/>
  <c r="G10" i="16" s="1"/>
  <c r="M13" i="1252"/>
  <c r="Q21" i="1252"/>
  <c r="M8" i="1252"/>
  <c r="AD14" i="1252"/>
  <c r="G11" i="16" s="1"/>
  <c r="AD15" i="1252"/>
  <c r="G12" i="16" s="1"/>
  <c r="AD16" i="1252"/>
  <c r="G13" i="16" s="1"/>
  <c r="AD19" i="1252"/>
  <c r="G16" i="16" s="1"/>
  <c r="AD11" i="1252"/>
  <c r="G8" i="16" s="1"/>
  <c r="AD8" i="1252"/>
  <c r="G5" i="16" s="1"/>
  <c r="K21" i="1252"/>
  <c r="O12" i="1252"/>
  <c r="O9" i="1252"/>
  <c r="AD9" i="1252" s="1"/>
  <c r="G6" i="16" s="1"/>
  <c r="P12" i="1252"/>
  <c r="AC12" i="1252" s="1"/>
  <c r="AD6" i="1252"/>
  <c r="G3" i="16" s="1"/>
  <c r="M12" i="1252"/>
  <c r="M21" i="1252" s="1"/>
  <c r="K18" i="1251"/>
  <c r="L12" i="1251"/>
  <c r="K12" i="1251" s="1"/>
  <c r="K10" i="1251"/>
  <c r="L9" i="1251"/>
  <c r="K9" i="1251"/>
  <c r="K20" i="1251"/>
  <c r="K19" i="1251"/>
  <c r="K13" i="1251"/>
  <c r="K8" i="1251"/>
  <c r="A74" i="1251"/>
  <c r="A75" i="1251" s="1"/>
  <c r="A76" i="1251" s="1"/>
  <c r="A77" i="1251" s="1"/>
  <c r="A78" i="1251" s="1"/>
  <c r="A79" i="1251" s="1"/>
  <c r="A80" i="1251" s="1"/>
  <c r="A81" i="1251" s="1"/>
  <c r="AF60" i="1251"/>
  <c r="AF59" i="1251"/>
  <c r="AF62" i="1251" s="1"/>
  <c r="AA21" i="1251"/>
  <c r="Z21" i="1251"/>
  <c r="Y21" i="1251"/>
  <c r="X21" i="1251"/>
  <c r="W21" i="1251"/>
  <c r="V21" i="1251"/>
  <c r="U21" i="1251"/>
  <c r="T21" i="1251"/>
  <c r="S21" i="1251"/>
  <c r="R21" i="1251"/>
  <c r="N21" i="1251"/>
  <c r="J21" i="1251"/>
  <c r="I21" i="1251"/>
  <c r="AF20" i="1251"/>
  <c r="Q20" i="1251"/>
  <c r="O20" i="1251"/>
  <c r="AF19" i="1251"/>
  <c r="Q19" i="1251"/>
  <c r="P19" i="1251" s="1"/>
  <c r="AC19" i="1251" s="1"/>
  <c r="AB19" i="1251"/>
  <c r="AF18" i="1251"/>
  <c r="Q18" i="1251"/>
  <c r="O18" i="1251"/>
  <c r="AF17" i="1251"/>
  <c r="AB17" i="1251"/>
  <c r="Q17" i="1251"/>
  <c r="P17" i="1251"/>
  <c r="AC17" i="1251" s="1"/>
  <c r="O17" i="1251"/>
  <c r="M17" i="1251"/>
  <c r="K17" i="1251"/>
  <c r="AF16" i="1251"/>
  <c r="AB16" i="1251"/>
  <c r="Q16" i="1251"/>
  <c r="P16" i="1251"/>
  <c r="AC16" i="1251" s="1"/>
  <c r="O16" i="1251"/>
  <c r="M16" i="1251"/>
  <c r="K16" i="1251"/>
  <c r="AF15" i="1251"/>
  <c r="AB15" i="1251"/>
  <c r="Q15" i="1251"/>
  <c r="P15" i="1251"/>
  <c r="AC15" i="1251" s="1"/>
  <c r="O15" i="1251"/>
  <c r="M15" i="1251"/>
  <c r="K15" i="1251"/>
  <c r="AF14" i="1251"/>
  <c r="AB14" i="1251"/>
  <c r="Q14" i="1251"/>
  <c r="P14" i="1251"/>
  <c r="AC14" i="1251" s="1"/>
  <c r="O14" i="1251"/>
  <c r="M14" i="1251"/>
  <c r="K14" i="1251"/>
  <c r="AF13" i="1251"/>
  <c r="Q13" i="1251"/>
  <c r="P13" i="1251" s="1"/>
  <c r="AC13" i="1251" s="1"/>
  <c r="AB13" i="1251"/>
  <c r="AF12" i="1251"/>
  <c r="Q12" i="1251"/>
  <c r="AB12" i="1251"/>
  <c r="AF11" i="1251"/>
  <c r="AB11" i="1251"/>
  <c r="Q11" i="1251"/>
  <c r="P11" i="1251"/>
  <c r="AC11" i="1251" s="1"/>
  <c r="O11" i="1251"/>
  <c r="M11" i="1251"/>
  <c r="K11" i="1251"/>
  <c r="AF10" i="1251"/>
  <c r="Q10" i="1251"/>
  <c r="P10" i="1251" s="1"/>
  <c r="AC10" i="1251" s="1"/>
  <c r="AB10" i="1251"/>
  <c r="AF9" i="1251"/>
  <c r="Q9" i="1251"/>
  <c r="P9" i="1251" s="1"/>
  <c r="AC9" i="1251" s="1"/>
  <c r="O9" i="1251"/>
  <c r="AB9" i="1251"/>
  <c r="AF8" i="1251"/>
  <c r="AB8" i="1251"/>
  <c r="Q8" i="1251"/>
  <c r="P8" i="1251" s="1"/>
  <c r="AC8" i="1251" s="1"/>
  <c r="O8" i="1251"/>
  <c r="M8" i="1251"/>
  <c r="AF7" i="1251"/>
  <c r="AB7" i="1251"/>
  <c r="Q7" i="1251"/>
  <c r="P7" i="1251"/>
  <c r="O7" i="1251"/>
  <c r="M7" i="1251"/>
  <c r="K7" i="1251"/>
  <c r="AF6" i="1251"/>
  <c r="AB6" i="1251"/>
  <c r="Q6" i="1251"/>
  <c r="P6" i="1251"/>
  <c r="AC6" i="1251" s="1"/>
  <c r="O6" i="1251"/>
  <c r="M6" i="1251"/>
  <c r="K6" i="1251"/>
  <c r="L23" i="1250"/>
  <c r="L22" i="1250"/>
  <c r="K22" i="1250" s="1"/>
  <c r="AF21" i="1250"/>
  <c r="AB21" i="1250"/>
  <c r="Q21" i="1250"/>
  <c r="P21" i="1250" s="1"/>
  <c r="AC21" i="1250" s="1"/>
  <c r="O21" i="1250"/>
  <c r="M21" i="1250"/>
  <c r="K21" i="1250"/>
  <c r="L20" i="1250"/>
  <c r="O20" i="1250" s="1"/>
  <c r="L15" i="1250"/>
  <c r="O15" i="1250" s="1"/>
  <c r="L14" i="1250"/>
  <c r="AB14" i="1250" s="1"/>
  <c r="L12" i="1250"/>
  <c r="K12" i="1250" s="1"/>
  <c r="K11" i="1250"/>
  <c r="AF11" i="1250"/>
  <c r="AB11" i="1250"/>
  <c r="Q11" i="1250"/>
  <c r="P11" i="1250" s="1"/>
  <c r="AC11" i="1250" s="1"/>
  <c r="O11" i="1250"/>
  <c r="M11" i="1250"/>
  <c r="L9" i="1250"/>
  <c r="K9" i="1250" s="1"/>
  <c r="K23" i="1250"/>
  <c r="K20" i="1250"/>
  <c r="K15" i="1250"/>
  <c r="K14" i="1250"/>
  <c r="K13" i="1250"/>
  <c r="K10" i="1250"/>
  <c r="K8" i="1250"/>
  <c r="A77" i="1250"/>
  <c r="A78" i="1250" s="1"/>
  <c r="A79" i="1250" s="1"/>
  <c r="A80" i="1250" s="1"/>
  <c r="A81" i="1250" s="1"/>
  <c r="A82" i="1250" s="1"/>
  <c r="A83" i="1250" s="1"/>
  <c r="A84" i="1250" s="1"/>
  <c r="AF63" i="1250"/>
  <c r="AF62" i="1250"/>
  <c r="AF65" i="1250" s="1"/>
  <c r="AA24" i="1250"/>
  <c r="Z24" i="1250"/>
  <c r="Y24" i="1250"/>
  <c r="X24" i="1250"/>
  <c r="W24" i="1250"/>
  <c r="V24" i="1250"/>
  <c r="U24" i="1250"/>
  <c r="T24" i="1250"/>
  <c r="S24" i="1250"/>
  <c r="R24" i="1250"/>
  <c r="N24" i="1250"/>
  <c r="J24" i="1250"/>
  <c r="I24" i="1250"/>
  <c r="AF23" i="1250"/>
  <c r="Q23" i="1250"/>
  <c r="O23" i="1250"/>
  <c r="AF22" i="1250"/>
  <c r="AB22" i="1250"/>
  <c r="Q22" i="1250"/>
  <c r="P22" i="1250"/>
  <c r="AC22" i="1250" s="1"/>
  <c r="O22" i="1250"/>
  <c r="M22" i="1250"/>
  <c r="AF20" i="1250"/>
  <c r="AB20" i="1250"/>
  <c r="Q20" i="1250"/>
  <c r="P20" i="1250" s="1"/>
  <c r="AC20" i="1250" s="1"/>
  <c r="M20" i="1250"/>
  <c r="AF19" i="1250"/>
  <c r="AB19" i="1250"/>
  <c r="Q19" i="1250"/>
  <c r="P19" i="1250"/>
  <c r="AC19" i="1250" s="1"/>
  <c r="O19" i="1250"/>
  <c r="M19" i="1250"/>
  <c r="K19" i="1250"/>
  <c r="AF18" i="1250"/>
  <c r="AB18" i="1250"/>
  <c r="Q18" i="1250"/>
  <c r="P18" i="1250"/>
  <c r="AC18" i="1250" s="1"/>
  <c r="O18" i="1250"/>
  <c r="M18" i="1250"/>
  <c r="K18" i="1250"/>
  <c r="AF17" i="1250"/>
  <c r="AB17" i="1250"/>
  <c r="Q17" i="1250"/>
  <c r="P17" i="1250"/>
  <c r="AC17" i="1250" s="1"/>
  <c r="O17" i="1250"/>
  <c r="M17" i="1250"/>
  <c r="K17" i="1250"/>
  <c r="AF16" i="1250"/>
  <c r="AB16" i="1250"/>
  <c r="Q16" i="1250"/>
  <c r="P16" i="1250"/>
  <c r="AC16" i="1250" s="1"/>
  <c r="O16" i="1250"/>
  <c r="M16" i="1250"/>
  <c r="K16" i="1250"/>
  <c r="AF15" i="1250"/>
  <c r="Q15" i="1250"/>
  <c r="AF14" i="1250"/>
  <c r="Q14" i="1250"/>
  <c r="P14" i="1250" s="1"/>
  <c r="AC14" i="1250" s="1"/>
  <c r="AF13" i="1250"/>
  <c r="AB13" i="1250"/>
  <c r="Q13" i="1250"/>
  <c r="P13" i="1250" s="1"/>
  <c r="AC13" i="1250" s="1"/>
  <c r="O13" i="1250"/>
  <c r="M13" i="1250"/>
  <c r="AF12" i="1250"/>
  <c r="Q12" i="1250"/>
  <c r="P12" i="1250" s="1"/>
  <c r="AC12" i="1250" s="1"/>
  <c r="O12" i="1250"/>
  <c r="AB12" i="1250"/>
  <c r="AF10" i="1250"/>
  <c r="AB10" i="1250"/>
  <c r="Q10" i="1250"/>
  <c r="P10" i="1250" s="1"/>
  <c r="AC10" i="1250" s="1"/>
  <c r="O10" i="1250"/>
  <c r="M10" i="1250"/>
  <c r="AF9" i="1250"/>
  <c r="Q9" i="1250"/>
  <c r="P9" i="1250" s="1"/>
  <c r="AC9" i="1250" s="1"/>
  <c r="AB9" i="1250"/>
  <c r="AF8" i="1250"/>
  <c r="Q8" i="1250"/>
  <c r="P8" i="1250" s="1"/>
  <c r="AC8" i="1250" s="1"/>
  <c r="O8" i="1250"/>
  <c r="AF7" i="1250"/>
  <c r="AC7" i="1250"/>
  <c r="AB7" i="1250"/>
  <c r="Q7" i="1250"/>
  <c r="P7" i="1250"/>
  <c r="O7" i="1250"/>
  <c r="M7" i="1250"/>
  <c r="K7" i="1250"/>
  <c r="AF6" i="1250"/>
  <c r="AB6" i="1250"/>
  <c r="Q6" i="1250"/>
  <c r="P6" i="1250"/>
  <c r="O6" i="1250"/>
  <c r="M6" i="1250"/>
  <c r="K6" i="1250"/>
  <c r="AD21" i="1253" l="1"/>
  <c r="H18" i="16" s="1"/>
  <c r="H15" i="16"/>
  <c r="AE6" i="1253"/>
  <c r="AE11" i="1253"/>
  <c r="AE12" i="1253"/>
  <c r="AE8" i="1253"/>
  <c r="AD17" i="1252"/>
  <c r="G14" i="16" s="1"/>
  <c r="AD12" i="1252"/>
  <c r="AC21" i="1252"/>
  <c r="P21" i="1252"/>
  <c r="O12" i="1251"/>
  <c r="P12" i="1251"/>
  <c r="AC12" i="1251" s="1"/>
  <c r="AD11" i="1251"/>
  <c r="D8" i="16" s="1"/>
  <c r="Q21" i="1251"/>
  <c r="AD8" i="1251"/>
  <c r="D5" i="16" s="1"/>
  <c r="AD17" i="1251"/>
  <c r="D14" i="16" s="1"/>
  <c r="AD15" i="1251"/>
  <c r="D12" i="16" s="1"/>
  <c r="AD16" i="1251"/>
  <c r="D13" i="16" s="1"/>
  <c r="AD14" i="1251"/>
  <c r="D11" i="16" s="1"/>
  <c r="AD9" i="1251"/>
  <c r="D6" i="16" s="1"/>
  <c r="AD12" i="1251"/>
  <c r="D9" i="16" s="1"/>
  <c r="AC7" i="1251"/>
  <c r="AD7" i="1251" s="1"/>
  <c r="D4" i="16" s="1"/>
  <c r="M9" i="1251"/>
  <c r="O10" i="1251"/>
  <c r="AD10" i="1251" s="1"/>
  <c r="D7" i="16" s="1"/>
  <c r="M12" i="1251"/>
  <c r="O13" i="1251"/>
  <c r="AD13" i="1251" s="1"/>
  <c r="D10" i="16" s="1"/>
  <c r="P18" i="1251"/>
  <c r="AC18" i="1251" s="1"/>
  <c r="O19" i="1251"/>
  <c r="AD19" i="1251" s="1"/>
  <c r="D16" i="16" s="1"/>
  <c r="K21" i="1251"/>
  <c r="P20" i="1251"/>
  <c r="AC20" i="1251" s="1"/>
  <c r="M18" i="1251"/>
  <c r="AB18" i="1251"/>
  <c r="M20" i="1251"/>
  <c r="AB20" i="1251"/>
  <c r="L21" i="1251"/>
  <c r="O21" i="1251" s="1"/>
  <c r="AD6" i="1251"/>
  <c r="D3" i="16" s="1"/>
  <c r="M10" i="1251"/>
  <c r="M13" i="1251"/>
  <c r="M19" i="1251"/>
  <c r="AD21" i="1250"/>
  <c r="AD20" i="1250"/>
  <c r="C15" i="16" s="1"/>
  <c r="AD7" i="1250"/>
  <c r="C4" i="16" s="1"/>
  <c r="AD19" i="1250"/>
  <c r="C14" i="16" s="1"/>
  <c r="L24" i="1250"/>
  <c r="O24" i="1250" s="1"/>
  <c r="AD11" i="1250"/>
  <c r="AD18" i="1250"/>
  <c r="C13" i="16" s="1"/>
  <c r="AD17" i="1250"/>
  <c r="C12" i="16" s="1"/>
  <c r="Q24" i="1250"/>
  <c r="AD10" i="1250"/>
  <c r="AD16" i="1250"/>
  <c r="C11" i="16" s="1"/>
  <c r="AD13" i="1250"/>
  <c r="C8" i="16" s="1"/>
  <c r="AD22" i="1250"/>
  <c r="AD12" i="1250"/>
  <c r="C7" i="16" s="1"/>
  <c r="AC6" i="1250"/>
  <c r="M8" i="1250"/>
  <c r="AB8" i="1250"/>
  <c r="AD8" i="1250" s="1"/>
  <c r="C5" i="16" s="1"/>
  <c r="O9" i="1250"/>
  <c r="AD9" i="1250" s="1"/>
  <c r="C6" i="16" s="1"/>
  <c r="M12" i="1250"/>
  <c r="O14" i="1250"/>
  <c r="AD14" i="1250" s="1"/>
  <c r="C9" i="16" s="1"/>
  <c r="K24" i="1250"/>
  <c r="P15" i="1250"/>
  <c r="AC15" i="1250" s="1"/>
  <c r="P23" i="1250"/>
  <c r="AC23" i="1250" s="1"/>
  <c r="M15" i="1250"/>
  <c r="AB15" i="1250"/>
  <c r="M23" i="1250"/>
  <c r="AB23" i="1250"/>
  <c r="M9" i="1250"/>
  <c r="M14" i="1250"/>
  <c r="L22" i="1249"/>
  <c r="L20" i="1249"/>
  <c r="K20" i="1249" s="1"/>
  <c r="L15" i="1249"/>
  <c r="K15" i="1249" s="1"/>
  <c r="L14" i="1249"/>
  <c r="K13" i="1249"/>
  <c r="AF13" i="1249"/>
  <c r="AB13" i="1249"/>
  <c r="Q13" i="1249"/>
  <c r="P13" i="1249" s="1"/>
  <c r="AC13" i="1249" s="1"/>
  <c r="O13" i="1249"/>
  <c r="M13" i="1249"/>
  <c r="L11" i="1249"/>
  <c r="K11" i="1249"/>
  <c r="K10" i="1249"/>
  <c r="AF10" i="1249"/>
  <c r="Q10" i="1249"/>
  <c r="AB10" i="1249"/>
  <c r="L9" i="1249"/>
  <c r="K9" i="1249"/>
  <c r="L8" i="1249"/>
  <c r="K8" i="1249" s="1"/>
  <c r="K22" i="1249"/>
  <c r="K21" i="1249"/>
  <c r="K14" i="1249"/>
  <c r="K12" i="1249"/>
  <c r="AE10" i="1253" l="1"/>
  <c r="AE15" i="1253"/>
  <c r="AE14" i="1253"/>
  <c r="AE16" i="1253"/>
  <c r="C16" i="16"/>
  <c r="AD21" i="1252"/>
  <c r="G18" i="16" s="1"/>
  <c r="G9" i="16"/>
  <c r="AE13" i="1253"/>
  <c r="AE18" i="1253"/>
  <c r="AE17" i="1253"/>
  <c r="AE19" i="1253"/>
  <c r="AE7" i="1253"/>
  <c r="AE20" i="1253"/>
  <c r="AE9" i="1253"/>
  <c r="AE15" i="1252"/>
  <c r="AE8" i="1252"/>
  <c r="AE7" i="1252"/>
  <c r="AE11" i="1252"/>
  <c r="AE9" i="1252"/>
  <c r="AE20" i="1252"/>
  <c r="AE18" i="1252"/>
  <c r="AE16" i="1252"/>
  <c r="AE14" i="1252"/>
  <c r="AE12" i="1252"/>
  <c r="AE10" i="1252"/>
  <c r="AE19" i="1252"/>
  <c r="AE17" i="1252"/>
  <c r="AE13" i="1252"/>
  <c r="AE6" i="1252"/>
  <c r="AD18" i="1251"/>
  <c r="D15" i="16" s="1"/>
  <c r="M21" i="1251"/>
  <c r="AB21" i="1251"/>
  <c r="AC21" i="1251"/>
  <c r="AD20" i="1251"/>
  <c r="P21" i="1251"/>
  <c r="AD23" i="1250"/>
  <c r="C17" i="16" s="1"/>
  <c r="M24" i="1250"/>
  <c r="AD15" i="1250"/>
  <c r="C10" i="16" s="1"/>
  <c r="AB24" i="1250"/>
  <c r="AC24" i="1250"/>
  <c r="AD6" i="1250"/>
  <c r="C3" i="16" s="1"/>
  <c r="P24" i="1250"/>
  <c r="AD13" i="1249"/>
  <c r="O10" i="1249"/>
  <c r="P10" i="1249"/>
  <c r="AC10" i="1249" s="1"/>
  <c r="M10" i="1249"/>
  <c r="M14" i="1249"/>
  <c r="AF14" i="1249"/>
  <c r="AB14" i="1249"/>
  <c r="Q14" i="1249"/>
  <c r="P14" i="1249" s="1"/>
  <c r="AC14" i="1249" s="1"/>
  <c r="O14" i="1249"/>
  <c r="A76" i="1249"/>
  <c r="A77" i="1249" s="1"/>
  <c r="A78" i="1249" s="1"/>
  <c r="A79" i="1249" s="1"/>
  <c r="A80" i="1249" s="1"/>
  <c r="A81" i="1249" s="1"/>
  <c r="A82" i="1249" s="1"/>
  <c r="A83" i="1249" s="1"/>
  <c r="AF62" i="1249"/>
  <c r="AF61" i="1249"/>
  <c r="AA23" i="1249"/>
  <c r="Z23" i="1249"/>
  <c r="Y23" i="1249"/>
  <c r="X23" i="1249"/>
  <c r="W23" i="1249"/>
  <c r="V23" i="1249"/>
  <c r="U23" i="1249"/>
  <c r="T23" i="1249"/>
  <c r="S23" i="1249"/>
  <c r="R23" i="1249"/>
  <c r="N23" i="1249"/>
  <c r="J23" i="1249"/>
  <c r="I23" i="1249"/>
  <c r="AF22" i="1249"/>
  <c r="Q22" i="1249"/>
  <c r="O22" i="1249"/>
  <c r="AF21" i="1249"/>
  <c r="AB21" i="1249"/>
  <c r="Q21" i="1249"/>
  <c r="P21" i="1249" s="1"/>
  <c r="AC21" i="1249" s="1"/>
  <c r="O21" i="1249"/>
  <c r="M21" i="1249"/>
  <c r="AF20" i="1249"/>
  <c r="AB20" i="1249"/>
  <c r="Q20" i="1249"/>
  <c r="P20" i="1249" s="1"/>
  <c r="AC20" i="1249" s="1"/>
  <c r="O20" i="1249"/>
  <c r="M20" i="1249"/>
  <c r="AF19" i="1249"/>
  <c r="AB19" i="1249"/>
  <c r="Q19" i="1249"/>
  <c r="P19" i="1249"/>
  <c r="AC19" i="1249" s="1"/>
  <c r="O19" i="1249"/>
  <c r="M19" i="1249"/>
  <c r="K19" i="1249"/>
  <c r="AF18" i="1249"/>
  <c r="AB18" i="1249"/>
  <c r="Q18" i="1249"/>
  <c r="P18" i="1249"/>
  <c r="AC18" i="1249" s="1"/>
  <c r="O18" i="1249"/>
  <c r="M18" i="1249"/>
  <c r="K18" i="1249"/>
  <c r="AF17" i="1249"/>
  <c r="AB17" i="1249"/>
  <c r="Q17" i="1249"/>
  <c r="P17" i="1249"/>
  <c r="AC17" i="1249" s="1"/>
  <c r="O17" i="1249"/>
  <c r="M17" i="1249"/>
  <c r="K17" i="1249"/>
  <c r="AF16" i="1249"/>
  <c r="AB16" i="1249"/>
  <c r="Q16" i="1249"/>
  <c r="P16" i="1249"/>
  <c r="AC16" i="1249" s="1"/>
  <c r="O16" i="1249"/>
  <c r="M16" i="1249"/>
  <c r="K16" i="1249"/>
  <c r="AF15" i="1249"/>
  <c r="AB15" i="1249"/>
  <c r="Q15" i="1249"/>
  <c r="P15" i="1249" s="1"/>
  <c r="AC15" i="1249" s="1"/>
  <c r="O15" i="1249"/>
  <c r="M15" i="1249"/>
  <c r="AF12" i="1249"/>
  <c r="AB12" i="1249"/>
  <c r="Q12" i="1249"/>
  <c r="P12" i="1249" s="1"/>
  <c r="AC12" i="1249" s="1"/>
  <c r="O12" i="1249"/>
  <c r="M12" i="1249"/>
  <c r="AF11" i="1249"/>
  <c r="Q11" i="1249"/>
  <c r="P11" i="1249" s="1"/>
  <c r="AC11" i="1249" s="1"/>
  <c r="M11" i="1249"/>
  <c r="AB11" i="1249"/>
  <c r="AF9" i="1249"/>
  <c r="AB9" i="1249"/>
  <c r="Q9" i="1249"/>
  <c r="P9" i="1249" s="1"/>
  <c r="AC9" i="1249" s="1"/>
  <c r="M9" i="1249"/>
  <c r="AF8" i="1249"/>
  <c r="Q8" i="1249"/>
  <c r="O8" i="1249"/>
  <c r="AF7" i="1249"/>
  <c r="AB7" i="1249"/>
  <c r="Q7" i="1249"/>
  <c r="P7" i="1249"/>
  <c r="AC7" i="1249" s="1"/>
  <c r="O7" i="1249"/>
  <c r="M7" i="1249"/>
  <c r="K7" i="1249"/>
  <c r="AF6" i="1249"/>
  <c r="AB6" i="1249"/>
  <c r="Q6" i="1249"/>
  <c r="P6" i="1249"/>
  <c r="O6" i="1249"/>
  <c r="M6" i="1249"/>
  <c r="K6" i="1249"/>
  <c r="AD21" i="1251" l="1"/>
  <c r="D18" i="16" s="1"/>
  <c r="D17" i="16"/>
  <c r="AE7" i="1251"/>
  <c r="AE18" i="1251"/>
  <c r="AE8" i="1251"/>
  <c r="AE10" i="1251"/>
  <c r="AD24" i="1250"/>
  <c r="AE18" i="1250"/>
  <c r="AD10" i="1249"/>
  <c r="AD14" i="1249"/>
  <c r="B9" i="16" s="1"/>
  <c r="AD18" i="1249"/>
  <c r="B13" i="16" s="1"/>
  <c r="AD7" i="1249"/>
  <c r="B4" i="16" s="1"/>
  <c r="Q23" i="1249"/>
  <c r="AD15" i="1249"/>
  <c r="B10" i="16" s="1"/>
  <c r="AD19" i="1249"/>
  <c r="B14" i="16" s="1"/>
  <c r="AD20" i="1249"/>
  <c r="B15" i="16" s="1"/>
  <c r="AD21" i="1249"/>
  <c r="B16" i="16" s="1"/>
  <c r="AF64" i="1249"/>
  <c r="AD17" i="1249"/>
  <c r="B12" i="16" s="1"/>
  <c r="AD16" i="1249"/>
  <c r="B11" i="16" s="1"/>
  <c r="AD12" i="1249"/>
  <c r="B8" i="16" s="1"/>
  <c r="AC6" i="1249"/>
  <c r="K23" i="1249"/>
  <c r="P8" i="1249"/>
  <c r="AC8" i="1249" s="1"/>
  <c r="O11" i="1249"/>
  <c r="AD11" i="1249" s="1"/>
  <c r="B7" i="16" s="1"/>
  <c r="P22" i="1249"/>
  <c r="AC22" i="1249" s="1"/>
  <c r="M8" i="1249"/>
  <c r="AB8" i="1249"/>
  <c r="O9" i="1249"/>
  <c r="AD9" i="1249" s="1"/>
  <c r="B6" i="16" s="1"/>
  <c r="M22" i="1249"/>
  <c r="AB22" i="1249"/>
  <c r="L23" i="1249"/>
  <c r="O23" i="1249" s="1"/>
  <c r="AE13" i="1251" l="1"/>
  <c r="AE11" i="1251"/>
  <c r="AE20" i="1251"/>
  <c r="AE9" i="1251"/>
  <c r="AE15" i="1251"/>
  <c r="AE14" i="1251"/>
  <c r="AE17" i="1251"/>
  <c r="AE12" i="1251"/>
  <c r="AE21" i="1250"/>
  <c r="C18" i="16"/>
  <c r="AE6" i="1251"/>
  <c r="AE16" i="1251"/>
  <c r="AE19" i="1251"/>
  <c r="AE16" i="1250"/>
  <c r="AE11" i="1250"/>
  <c r="AE9" i="1250"/>
  <c r="AE19" i="1250"/>
  <c r="AE6" i="1250"/>
  <c r="AE22" i="1250"/>
  <c r="AE7" i="1250"/>
  <c r="AE15" i="1250"/>
  <c r="AE23" i="1250"/>
  <c r="AE8" i="1250"/>
  <c r="AE20" i="1250"/>
  <c r="AE14" i="1250"/>
  <c r="AE12" i="1250"/>
  <c r="AE10" i="1250"/>
  <c r="AE17" i="1250"/>
  <c r="AE13" i="1250"/>
  <c r="M23" i="1249"/>
  <c r="AD22" i="1249"/>
  <c r="B17" i="16" s="1"/>
  <c r="AB23" i="1249"/>
  <c r="AD8" i="1249"/>
  <c r="B5" i="16" s="1"/>
  <c r="P23" i="1249"/>
  <c r="AC23" i="1249"/>
  <c r="AD6" i="1249"/>
  <c r="B3" i="16" s="1"/>
  <c r="AD23" i="1249" l="1"/>
  <c r="AE13" i="1249" l="1"/>
  <c r="B18" i="16"/>
  <c r="AE10" i="1249"/>
  <c r="AE18" i="1249"/>
  <c r="AE14" i="1249"/>
  <c r="AE20" i="1249"/>
  <c r="AE7" i="1249"/>
  <c r="AE19" i="1249"/>
  <c r="AE11" i="1249"/>
  <c r="AE16" i="1249"/>
  <c r="AE15" i="1249"/>
  <c r="AE12" i="1249"/>
  <c r="AE6" i="1249"/>
  <c r="AE17" i="1249"/>
  <c r="AE8" i="1249"/>
  <c r="AE9" i="1249"/>
  <c r="AE22" i="1249"/>
  <c r="AE21" i="1249"/>
  <c r="AG3" i="16" l="1"/>
  <c r="AG17" i="16" l="1"/>
  <c r="AG12" i="16"/>
  <c r="AG4" i="16" l="1"/>
  <c r="AG11" i="16"/>
  <c r="AG9" i="16"/>
  <c r="AG7" i="16"/>
  <c r="AG8" i="16"/>
  <c r="AG14" i="16"/>
  <c r="AG10" i="16"/>
  <c r="AG15" i="16"/>
  <c r="AG6" i="16" l="1"/>
  <c r="AG13" i="16"/>
  <c r="AG16" i="16"/>
  <c r="AG5" i="16"/>
  <c r="AG18" i="16" l="1"/>
</calcChain>
</file>

<file path=xl/sharedStrings.xml><?xml version="1.0" encoding="utf-8"?>
<sst xmlns="http://schemas.openxmlformats.org/spreadsheetml/2006/main" count="5388" uniqueCount="931">
  <si>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</si>
  <si>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</si>
  <si>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</si>
  <si>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</si>
  <si>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</si>
  <si>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</si>
  <si>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</si>
  <si>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</si>
  <si>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</si>
  <si>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</si>
  <si>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</si>
  <si>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</si>
  <si>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</si>
  <si>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</si>
  <si>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</si>
  <si>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</si>
  <si>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</si>
  <si>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</si>
  <si>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</si>
  <si>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</si>
  <si>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</si>
  <si>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</si>
  <si>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</si>
  <si>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</si>
  <si>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</si>
  <si>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</si>
  <si>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</si>
  <si>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</si>
  <si>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</si>
  <si>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</si>
  <si>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</si>
  <si>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</si>
  <si>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</si>
  <si>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</si>
  <si>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</si>
  <si>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</si>
  <si>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</si>
  <si>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</si>
  <si>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</si>
  <si>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</si>
  <si>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</si>
  <si>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</si>
  <si>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</si>
  <si>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</si>
  <si>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</si>
  <si>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</si>
  <si>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</si>
  <si>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</si>
  <si>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</si>
  <si>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</si>
  <si>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</si>
  <si>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</si>
  <si>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</si>
  <si>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</si>
  <si>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</si>
  <si>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</si>
  <si>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</si>
  <si>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</si>
  <si>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</si>
  <si>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</si>
  <si>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</si>
  <si>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</si>
  <si>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</si>
  <si>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</si>
  <si>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</si>
  <si>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</si>
  <si>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</si>
  <si>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</si>
  <si>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</si>
  <si>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</si>
  <si>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</si>
  <si>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</si>
  <si>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</si>
  <si>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</si>
  <si>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</si>
  <si>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</si>
  <si>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</si>
  <si>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</si>
  <si>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</si>
  <si>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</si>
  <si>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</si>
  <si>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</si>
  <si>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</si>
  <si>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</si>
  <si>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</si>
  <si>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</si>
  <si>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</si>
  <si>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</si>
  <si>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</si>
  <si>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</si>
  <si>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</si>
  <si>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</si>
  <si>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</si>
  <si>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</si>
  <si>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</si>
  <si>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</si>
  <si>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</si>
  <si>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</si>
  <si>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</si>
  <si>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</si>
  <si>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</si>
  <si>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</si>
  <si>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</si>
  <si>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</si>
  <si>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</si>
  <si>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</si>
  <si>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</si>
  <si>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</si>
  <si>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</si>
  <si>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</si>
  <si>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</si>
  <si>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</si>
  <si>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</si>
  <si>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</si>
  <si>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</si>
  <si>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 xml:space="preserve"> 코아파손</t>
    <phoneticPr fontId="2" type="noConversion"/>
  </si>
  <si>
    <t>IC GUIDE</t>
    <phoneticPr fontId="2" type="noConversion"/>
  </si>
  <si>
    <t>AMB07H9A-KAA-R1</t>
    <phoneticPr fontId="2" type="noConversion"/>
  </si>
  <si>
    <t xml:space="preserve"> 미성형,단차</t>
    <phoneticPr fontId="2" type="noConversion"/>
  </si>
  <si>
    <t>38P</t>
    <phoneticPr fontId="2" type="noConversion"/>
  </si>
  <si>
    <t>AM0164A-A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</si>
  <si>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</si>
  <si>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</si>
  <si>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</si>
  <si>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72P</t>
    <phoneticPr fontId="2" type="noConversion"/>
  </si>
  <si>
    <t>SST</t>
    <phoneticPr fontId="2" type="noConversion"/>
  </si>
  <si>
    <t>ADAPTER</t>
    <phoneticPr fontId="2" type="noConversion"/>
  </si>
  <si>
    <t>TST</t>
    <phoneticPr fontId="2" type="noConversion"/>
  </si>
  <si>
    <t>사출물 B</t>
    <phoneticPr fontId="2" type="noConversion"/>
  </si>
  <si>
    <t>SF2255</t>
    <phoneticPr fontId="2" type="noConversion"/>
  </si>
  <si>
    <t>발주분양산</t>
    <phoneticPr fontId="2" type="noConversion"/>
  </si>
  <si>
    <t>MCS</t>
    <phoneticPr fontId="2" type="noConversion"/>
  </si>
  <si>
    <t>SGF2033</t>
    <phoneticPr fontId="2" type="noConversion"/>
  </si>
  <si>
    <t>SF2255 I/V</t>
    <phoneticPr fontId="2" type="noConversion"/>
  </si>
  <si>
    <t>7301</t>
    <phoneticPr fontId="2" type="noConversion"/>
  </si>
  <si>
    <t>SF2255 I/V</t>
    <phoneticPr fontId="2" type="noConversion"/>
  </si>
  <si>
    <t>KR6182-GF153QA</t>
    <phoneticPr fontId="2" type="noConversion"/>
  </si>
  <si>
    <t>AMM0822A-KAB-R1</t>
    <phoneticPr fontId="2" type="noConversion"/>
  </si>
  <si>
    <t>BODY</t>
    <phoneticPr fontId="2" type="noConversion"/>
  </si>
  <si>
    <t>AM0148B-K-R2</t>
    <phoneticPr fontId="2" type="noConversion"/>
  </si>
  <si>
    <t>22P</t>
    <phoneticPr fontId="2" type="noConversion"/>
  </si>
  <si>
    <t>F/ADAPTER</t>
    <phoneticPr fontId="2" type="noConversion"/>
  </si>
  <si>
    <t>AMB2071A-KAA-R2</t>
    <phoneticPr fontId="2" type="noConversion"/>
  </si>
  <si>
    <t>OKINS</t>
    <phoneticPr fontId="2" type="noConversion"/>
  </si>
  <si>
    <t>SF2255</t>
    <phoneticPr fontId="2" type="noConversion"/>
  </si>
  <si>
    <t>KR6197AB841CB</t>
    <phoneticPr fontId="2" type="noConversion"/>
  </si>
  <si>
    <t>발주분양산</t>
    <phoneticPr fontId="2" type="noConversion"/>
  </si>
  <si>
    <t>SST</t>
    <phoneticPr fontId="2" type="noConversion"/>
  </si>
  <si>
    <t>OKINS</t>
    <phoneticPr fontId="2" type="noConversion"/>
  </si>
  <si>
    <t>ADAPTER</t>
    <phoneticPr fontId="2" type="noConversion"/>
  </si>
  <si>
    <t>92-178V-AD949C</t>
    <phoneticPr fontId="2" type="noConversion"/>
  </si>
  <si>
    <t>SF2255 I/V</t>
    <phoneticPr fontId="2" type="noConversion"/>
  </si>
  <si>
    <t>STOPPER</t>
    <phoneticPr fontId="2" type="noConversion"/>
  </si>
  <si>
    <t>KR6197-D475PA</t>
    <phoneticPr fontId="2" type="noConversion"/>
  </si>
  <si>
    <t>SF2255</t>
    <phoneticPr fontId="2" type="noConversion"/>
  </si>
  <si>
    <t>92-178V-ST949B-2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</si>
  <si>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</si>
  <si>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</si>
  <si>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2018년 08월 01일 일일생산현황</t>
    </r>
    <r>
      <rPr>
        <b/>
        <sz val="14"/>
        <color indexed="8"/>
        <rFont val="굴림체"/>
        <family val="3"/>
        <charset val="129"/>
      </rPr>
      <t>(02일(목) 20시 현재)</t>
    </r>
    <phoneticPr fontId="2" type="noConversion"/>
  </si>
  <si>
    <t>SLIDER</t>
    <phoneticPr fontId="2" type="noConversion"/>
  </si>
  <si>
    <t>92-178V-SL949B</t>
    <phoneticPr fontId="2" type="noConversion"/>
  </si>
  <si>
    <t>EX08302</t>
    <phoneticPr fontId="2" type="noConversion"/>
  </si>
  <si>
    <t>MCS</t>
    <phoneticPr fontId="2" type="noConversion"/>
  </si>
  <si>
    <t>SPACER</t>
    <phoneticPr fontId="2" type="noConversion"/>
  </si>
  <si>
    <t>AMB39F7/8A-KAA-R1</t>
    <phoneticPr fontId="2" type="noConversion"/>
  </si>
  <si>
    <t>S475</t>
    <phoneticPr fontId="2" type="noConversion"/>
  </si>
  <si>
    <t>2*1</t>
    <phoneticPr fontId="2" type="noConversion"/>
  </si>
  <si>
    <t>SST</t>
    <phoneticPr fontId="2" type="noConversion"/>
  </si>
  <si>
    <t>790 F</t>
    <phoneticPr fontId="2" type="noConversion"/>
  </si>
  <si>
    <t>016-125-313</t>
    <phoneticPr fontId="2" type="noConversion"/>
  </si>
  <si>
    <t>SGF2030</t>
    <phoneticPr fontId="2" type="noConversion"/>
  </si>
  <si>
    <t>LEAD GUIDE</t>
    <phoneticPr fontId="2" type="noConversion"/>
  </si>
  <si>
    <t>92-178V-LG949C</t>
    <phoneticPr fontId="2" type="noConversion"/>
  </si>
  <si>
    <t>F/ADAPTER</t>
    <phoneticPr fontId="2" type="noConversion"/>
  </si>
  <si>
    <t>AMB20C5A-KAA-R1</t>
    <phoneticPr fontId="2" type="noConversion"/>
  </si>
  <si>
    <t>OKINS</t>
    <phoneticPr fontId="2" type="noConversion"/>
  </si>
  <si>
    <t>BASE</t>
    <phoneticPr fontId="2" type="noConversion"/>
  </si>
  <si>
    <t>92-178V-BS949C</t>
    <phoneticPr fontId="2" type="noConversion"/>
  </si>
  <si>
    <t>SF2255</t>
    <phoneticPr fontId="2" type="noConversion"/>
  </si>
  <si>
    <t>08월 호기별 가동현황</t>
    <phoneticPr fontId="2" type="noConversion"/>
  </si>
  <si>
    <t>전일 ISSUE 사항(01일)</t>
    <phoneticPr fontId="2" type="noConversion"/>
  </si>
  <si>
    <t>3</t>
    <phoneticPr fontId="2" type="noConversion"/>
  </si>
  <si>
    <t>4</t>
    <phoneticPr fontId="2" type="noConversion"/>
  </si>
  <si>
    <t>016-125-313</t>
    <phoneticPr fontId="2" type="noConversion"/>
  </si>
  <si>
    <t>4</t>
    <phoneticPr fontId="2" type="noConversion"/>
  </si>
  <si>
    <t>790 F</t>
    <phoneticPr fontId="2" type="noConversion"/>
  </si>
  <si>
    <t>발주분양산-&gt;1C막음</t>
    <phoneticPr fontId="2" type="noConversion"/>
  </si>
  <si>
    <t>92-178V-LG949C</t>
    <phoneticPr fontId="2" type="noConversion"/>
  </si>
  <si>
    <t>5</t>
    <phoneticPr fontId="2" type="noConversion"/>
  </si>
  <si>
    <t>LEAD GUIDE</t>
    <phoneticPr fontId="2" type="noConversion"/>
  </si>
  <si>
    <t>AMB20C5A-KAA-R1</t>
    <phoneticPr fontId="2" type="noConversion"/>
  </si>
  <si>
    <t>6</t>
    <phoneticPr fontId="2" type="noConversion"/>
  </si>
  <si>
    <t>F/ADAPTER</t>
    <phoneticPr fontId="2" type="noConversion"/>
  </si>
  <si>
    <t>92-178V-BS949C</t>
    <phoneticPr fontId="2" type="noConversion"/>
  </si>
  <si>
    <t>13</t>
    <phoneticPr fontId="2" type="noConversion"/>
  </si>
  <si>
    <t>BASE</t>
    <phoneticPr fontId="2" type="noConversion"/>
  </si>
  <si>
    <t>수리후양산</t>
    <phoneticPr fontId="2" type="noConversion"/>
  </si>
  <si>
    <t>당일 진행 사항(02일)</t>
    <phoneticPr fontId="2" type="noConversion"/>
  </si>
  <si>
    <t>KR6304-ER01TA</t>
    <phoneticPr fontId="2" type="noConversion"/>
  </si>
  <si>
    <t>SST</t>
    <phoneticPr fontId="2" type="noConversion"/>
  </si>
  <si>
    <t>ROLLER</t>
    <phoneticPr fontId="2" type="noConversion"/>
  </si>
  <si>
    <t>LEVER BRACKET</t>
    <phoneticPr fontId="2" type="noConversion"/>
  </si>
  <si>
    <t>메카텍</t>
    <phoneticPr fontId="2" type="noConversion"/>
  </si>
  <si>
    <t>KR6197AB841CB</t>
    <phoneticPr fontId="2" type="noConversion"/>
  </si>
  <si>
    <t>8</t>
    <phoneticPr fontId="2" type="noConversion"/>
  </si>
  <si>
    <t>수리후양산</t>
    <phoneticPr fontId="2" type="noConversion"/>
  </si>
  <si>
    <t>코아파손정지</t>
    <phoneticPr fontId="2" type="noConversion"/>
  </si>
  <si>
    <t>AMB0459A-KAA-R1</t>
    <phoneticPr fontId="2" type="noConversion"/>
  </si>
  <si>
    <t>MCS</t>
    <phoneticPr fontId="2" type="noConversion"/>
  </si>
  <si>
    <t>14</t>
    <phoneticPr fontId="2" type="noConversion"/>
  </si>
  <si>
    <t>KR6414-B414UA</t>
    <phoneticPr fontId="2" type="noConversion"/>
  </si>
  <si>
    <t>SAMPLE 진행 사항(01일)</t>
    <phoneticPr fontId="2" type="noConversion"/>
  </si>
  <si>
    <t>COVER</t>
    <phoneticPr fontId="2" type="noConversion"/>
  </si>
  <si>
    <t>AMB0347A-KAA-R1</t>
    <phoneticPr fontId="2" type="noConversion"/>
  </si>
  <si>
    <t>SGF2050</t>
    <phoneticPr fontId="2" type="noConversion"/>
  </si>
  <si>
    <t>수정</t>
    <phoneticPr fontId="2" type="noConversion"/>
  </si>
  <si>
    <t>JD4901</t>
    <phoneticPr fontId="2" type="noConversion"/>
  </si>
  <si>
    <t>AMB09D7A-KAA-R1</t>
    <phoneticPr fontId="2" type="noConversion"/>
  </si>
  <si>
    <t>LATCH</t>
    <phoneticPr fontId="2" type="noConversion"/>
  </si>
  <si>
    <t>LATCH PLATE</t>
    <phoneticPr fontId="2" type="noConversion"/>
  </si>
  <si>
    <t>AMB09D8A-KAA-R1</t>
    <phoneticPr fontId="2" type="noConversion"/>
  </si>
  <si>
    <t>AMB0165A-KAA-R1</t>
    <phoneticPr fontId="2" type="noConversion"/>
  </si>
  <si>
    <r>
      <t>2018년 08월 02일 일일생산현황</t>
    </r>
    <r>
      <rPr>
        <b/>
        <sz val="14"/>
        <color indexed="8"/>
        <rFont val="굴림체"/>
        <family val="3"/>
        <charset val="129"/>
      </rPr>
      <t>(03일(금) 20시 현재)</t>
    </r>
    <phoneticPr fontId="2" type="noConversion"/>
  </si>
  <si>
    <t>SST</t>
    <phoneticPr fontId="2" type="noConversion"/>
  </si>
  <si>
    <t>ROLLER</t>
    <phoneticPr fontId="2" type="noConversion"/>
  </si>
  <si>
    <t>KR6304-ER01TA</t>
    <phoneticPr fontId="2" type="noConversion"/>
  </si>
  <si>
    <t>JD4901</t>
    <phoneticPr fontId="2" type="noConversion"/>
  </si>
  <si>
    <t>MCS</t>
    <phoneticPr fontId="2" type="noConversion"/>
  </si>
  <si>
    <t>LEAD GUIDE</t>
    <phoneticPr fontId="2" type="noConversion"/>
  </si>
  <si>
    <t>AMB0459A-KAA-R1</t>
    <phoneticPr fontId="2" type="noConversion"/>
  </si>
  <si>
    <t>SGP2020R</t>
    <phoneticPr fontId="2" type="noConversion"/>
  </si>
  <si>
    <t>메카텍</t>
    <phoneticPr fontId="2" type="noConversion"/>
  </si>
  <si>
    <t>LEVER BRACKET</t>
    <phoneticPr fontId="2" type="noConversion"/>
  </si>
  <si>
    <t>BASE</t>
    <phoneticPr fontId="2" type="noConversion"/>
  </si>
  <si>
    <t>KR6414-B414UA</t>
    <phoneticPr fontId="2" type="noConversion"/>
  </si>
  <si>
    <t>7301</t>
    <phoneticPr fontId="2" type="noConversion"/>
  </si>
  <si>
    <t>전일 ISSUE 사항(02일)</t>
    <phoneticPr fontId="2" type="noConversion"/>
  </si>
  <si>
    <t>MCS</t>
    <phoneticPr fontId="2" type="noConversion"/>
  </si>
  <si>
    <t>14</t>
    <phoneticPr fontId="2" type="noConversion"/>
  </si>
  <si>
    <t>LEAD GUIDE</t>
    <phoneticPr fontId="2" type="noConversion"/>
  </si>
  <si>
    <t>발주분양산-&gt;치수NG-&gt;4호기 양산</t>
    <phoneticPr fontId="2" type="noConversion"/>
  </si>
  <si>
    <t>발주분양산-&gt;낙하불량수리</t>
    <phoneticPr fontId="2" type="noConversion"/>
  </si>
  <si>
    <t>당일 진행 사항(03일)</t>
    <phoneticPr fontId="2" type="noConversion"/>
  </si>
  <si>
    <t>SLIDER</t>
    <phoneticPr fontId="2" type="noConversion"/>
  </si>
  <si>
    <t>KR6414-A167YA</t>
    <phoneticPr fontId="2" type="noConversion"/>
  </si>
  <si>
    <t>ACTUATOR</t>
    <phoneticPr fontId="2" type="noConversion"/>
  </si>
  <si>
    <t>AMB1901M-JAA-R1</t>
    <phoneticPr fontId="2" type="noConversion"/>
  </si>
  <si>
    <t>13</t>
    <phoneticPr fontId="2" type="noConversion"/>
  </si>
  <si>
    <t>AMB1914B-KAA-R1</t>
    <phoneticPr fontId="2" type="noConversion"/>
  </si>
  <si>
    <t>DI</t>
    <phoneticPr fontId="2" type="noConversion"/>
  </si>
  <si>
    <t>15</t>
    <phoneticPr fontId="2" type="noConversion"/>
  </si>
  <si>
    <t>22P</t>
    <phoneticPr fontId="2" type="noConversion"/>
  </si>
  <si>
    <t>가스정지</t>
    <phoneticPr fontId="2" type="noConversion"/>
  </si>
  <si>
    <t>SAMPLE 진행 사항(02일)</t>
    <phoneticPr fontId="2" type="noConversion"/>
  </si>
  <si>
    <t>CLAMPER</t>
    <phoneticPr fontId="2" type="noConversion"/>
  </si>
  <si>
    <t>016-125-315</t>
    <phoneticPr fontId="2" type="noConversion"/>
  </si>
  <si>
    <t>SGF2030</t>
    <phoneticPr fontId="2" type="noConversion"/>
  </si>
  <si>
    <t>요청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</si>
  <si>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</si>
  <si>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</si>
  <si>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2018년 08월 03일(주간) 일일생산현황</t>
    </r>
    <r>
      <rPr>
        <b/>
        <sz val="14"/>
        <color indexed="8"/>
        <rFont val="굴림체"/>
        <family val="3"/>
        <charset val="129"/>
      </rPr>
      <t>(03일(금) 18시 현재)</t>
    </r>
    <phoneticPr fontId="2" type="noConversion"/>
  </si>
  <si>
    <t>SGF2050</t>
    <phoneticPr fontId="2" type="noConversion"/>
  </si>
  <si>
    <t>JD4901</t>
    <phoneticPr fontId="2" type="noConversion"/>
  </si>
  <si>
    <t>전일 ISSUE 사항(03일)</t>
    <phoneticPr fontId="2" type="noConversion"/>
  </si>
  <si>
    <t>4</t>
    <phoneticPr fontId="2" type="noConversion"/>
  </si>
  <si>
    <t>발주분양산</t>
    <phoneticPr fontId="2" type="noConversion"/>
  </si>
  <si>
    <t>발주분양산-&gt;코아파손정지</t>
    <phoneticPr fontId="2" type="noConversion"/>
  </si>
  <si>
    <t>당일 진행 사항(06일)</t>
    <phoneticPr fontId="2" type="noConversion"/>
  </si>
  <si>
    <t>수리후양산</t>
    <phoneticPr fontId="2" type="noConversion"/>
  </si>
  <si>
    <t>BODY</t>
    <phoneticPr fontId="2" type="noConversion"/>
  </si>
  <si>
    <t>AM0148E-K-R2</t>
    <phoneticPr fontId="2" type="noConversion"/>
  </si>
  <si>
    <t>12</t>
    <phoneticPr fontId="2" type="noConversion"/>
  </si>
  <si>
    <t>F/ADAPTER</t>
    <phoneticPr fontId="2" type="noConversion"/>
  </si>
  <si>
    <t>AMB2071A-KAA-R2</t>
    <phoneticPr fontId="2" type="noConversion"/>
  </si>
  <si>
    <t>LID-0089</t>
    <phoneticPr fontId="2" type="noConversion"/>
  </si>
  <si>
    <t>IN</t>
    <phoneticPr fontId="2" type="noConversion"/>
  </si>
  <si>
    <t>10</t>
    <phoneticPr fontId="2" type="noConversion"/>
  </si>
  <si>
    <t>SAMPLE 진행 사항(03일)</t>
    <phoneticPr fontId="2" type="noConversion"/>
  </si>
  <si>
    <t>휨</t>
    <phoneticPr fontId="2" type="noConversion"/>
  </si>
  <si>
    <t>1GATE</t>
    <phoneticPr fontId="2" type="noConversion"/>
  </si>
  <si>
    <t>발주분양산-&gt;칼퀴수리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</si>
  <si>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</si>
  <si>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</si>
  <si>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2018년 08월 06일 일일생산현황</t>
    </r>
    <r>
      <rPr>
        <b/>
        <sz val="14"/>
        <color indexed="8"/>
        <rFont val="굴림체"/>
        <family val="3"/>
        <charset val="129"/>
      </rPr>
      <t>(07일(화) 18시 현재)</t>
    </r>
    <phoneticPr fontId="2" type="noConversion"/>
  </si>
  <si>
    <t>MCS</t>
    <phoneticPr fontId="2" type="noConversion"/>
  </si>
  <si>
    <t>BODY</t>
    <phoneticPr fontId="2" type="noConversion"/>
  </si>
  <si>
    <t>AM0148E-K-R2</t>
    <phoneticPr fontId="2" type="noConversion"/>
  </si>
  <si>
    <t>7301</t>
    <phoneticPr fontId="2" type="noConversion"/>
  </si>
  <si>
    <t>INPHI</t>
    <phoneticPr fontId="2" type="noConversion"/>
  </si>
  <si>
    <t>LID</t>
    <phoneticPr fontId="2" type="noConversion"/>
  </si>
  <si>
    <t>LID-0089</t>
    <phoneticPr fontId="2" type="noConversion"/>
  </si>
  <si>
    <t>S475 N/P</t>
    <phoneticPr fontId="2" type="noConversion"/>
  </si>
  <si>
    <t>HICON</t>
    <phoneticPr fontId="2" type="noConversion"/>
  </si>
  <si>
    <t>TOP</t>
    <phoneticPr fontId="2" type="noConversion"/>
  </si>
  <si>
    <t>HB1208-10M1</t>
    <phoneticPr fontId="2" type="noConversion"/>
  </si>
  <si>
    <t>SGF2041</t>
    <phoneticPr fontId="2" type="noConversion"/>
  </si>
  <si>
    <t>전일 ISSUE 사항(06일)</t>
    <phoneticPr fontId="2" type="noConversion"/>
  </si>
  <si>
    <t>치수NG</t>
    <phoneticPr fontId="2" type="noConversion"/>
  </si>
  <si>
    <t>4</t>
    <phoneticPr fontId="2" type="noConversion"/>
  </si>
  <si>
    <t>발주분양산</t>
    <phoneticPr fontId="2" type="noConversion"/>
  </si>
  <si>
    <t>3</t>
    <phoneticPr fontId="2" type="noConversion"/>
  </si>
  <si>
    <t>KR6197-D475PA</t>
    <phoneticPr fontId="2" type="noConversion"/>
  </si>
  <si>
    <t>코아파손수리-&gt;코아파손정지</t>
    <phoneticPr fontId="2" type="noConversion"/>
  </si>
  <si>
    <t>KR6197AB841CB</t>
    <phoneticPr fontId="2" type="noConversion"/>
  </si>
  <si>
    <t>코아파손수리</t>
    <phoneticPr fontId="2" type="noConversion"/>
  </si>
  <si>
    <t>SST</t>
    <phoneticPr fontId="2" type="noConversion"/>
  </si>
  <si>
    <t>7</t>
    <phoneticPr fontId="2" type="noConversion"/>
  </si>
  <si>
    <t>STOPPER</t>
    <phoneticPr fontId="2" type="noConversion"/>
  </si>
  <si>
    <t>BASE</t>
    <phoneticPr fontId="2" type="noConversion"/>
  </si>
  <si>
    <t>8</t>
    <phoneticPr fontId="2" type="noConversion"/>
  </si>
  <si>
    <t>스테츠</t>
    <phoneticPr fontId="2" type="noConversion"/>
  </si>
  <si>
    <t>10</t>
    <phoneticPr fontId="2" type="noConversion"/>
  </si>
  <si>
    <t>AMB2071A-KAA-R2</t>
    <phoneticPr fontId="2" type="noConversion"/>
  </si>
  <si>
    <t>발주분양산-&gt;BUUR,코아파손수리</t>
    <phoneticPr fontId="2" type="noConversion"/>
  </si>
  <si>
    <t>12</t>
    <phoneticPr fontId="2" type="noConversion"/>
  </si>
  <si>
    <t>F/ADAPTER</t>
    <phoneticPr fontId="2" type="noConversion"/>
  </si>
  <si>
    <t>13</t>
    <phoneticPr fontId="2" type="noConversion"/>
  </si>
  <si>
    <t>당일 진행 사항(07일)</t>
    <phoneticPr fontId="2" type="noConversion"/>
  </si>
  <si>
    <t>KR6197-D841PA</t>
    <phoneticPr fontId="2" type="noConversion"/>
  </si>
  <si>
    <t>수리후양산</t>
    <phoneticPr fontId="2" type="noConversion"/>
  </si>
  <si>
    <t>KR6156FA841YA</t>
    <phoneticPr fontId="2" type="noConversion"/>
  </si>
  <si>
    <t>5</t>
    <phoneticPr fontId="2" type="noConversion"/>
  </si>
  <si>
    <t>SLIDER</t>
    <phoneticPr fontId="2" type="noConversion"/>
  </si>
  <si>
    <t>발주분양산</t>
    <phoneticPr fontId="2" type="noConversion"/>
  </si>
  <si>
    <t>HB1208-10M2</t>
    <phoneticPr fontId="2" type="noConversion"/>
  </si>
  <si>
    <t>BOTTOM</t>
    <phoneticPr fontId="2" type="noConversion"/>
  </si>
  <si>
    <t>SAMPLE 진행 사항(06일)</t>
    <phoneticPr fontId="2" type="noConversion"/>
  </si>
  <si>
    <t>72P</t>
    <phoneticPr fontId="2" type="noConversion"/>
  </si>
  <si>
    <t>DI</t>
    <phoneticPr fontId="2" type="noConversion"/>
  </si>
  <si>
    <t>PA46</t>
    <phoneticPr fontId="2" type="noConversion"/>
  </si>
  <si>
    <t>신작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</si>
  <si>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</si>
  <si>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</si>
  <si>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2018년 08월 07일 일일생산현황</t>
    </r>
    <r>
      <rPr>
        <b/>
        <sz val="14"/>
        <color indexed="8"/>
        <rFont val="굴림체"/>
        <family val="3"/>
        <charset val="129"/>
      </rPr>
      <t>(08일(수) 18시 현재)</t>
    </r>
    <phoneticPr fontId="2" type="noConversion"/>
  </si>
  <si>
    <t>SST</t>
    <phoneticPr fontId="2" type="noConversion"/>
  </si>
  <si>
    <t>SLIDER</t>
    <phoneticPr fontId="2" type="noConversion"/>
  </si>
  <si>
    <t>KR6156FA841YA</t>
    <phoneticPr fontId="2" type="noConversion"/>
  </si>
  <si>
    <t>KR6156-D841PA</t>
    <phoneticPr fontId="2" type="noConversion"/>
  </si>
  <si>
    <t>BOTTOM</t>
    <phoneticPr fontId="2" type="noConversion"/>
  </si>
  <si>
    <t>HR1089-1.0M2</t>
    <phoneticPr fontId="2" type="noConversion"/>
  </si>
  <si>
    <t>SF2255</t>
    <phoneticPr fontId="2" type="noConversion"/>
  </si>
  <si>
    <t>TEST</t>
    <phoneticPr fontId="2" type="noConversion"/>
  </si>
  <si>
    <t>MCS</t>
    <phoneticPr fontId="2" type="noConversion"/>
  </si>
  <si>
    <t>BODY</t>
    <phoneticPr fontId="2" type="noConversion"/>
  </si>
  <si>
    <t>AMB0114E-JAA-R3</t>
    <phoneticPr fontId="2" type="noConversion"/>
  </si>
  <si>
    <t>SF2255</t>
    <phoneticPr fontId="2" type="noConversion"/>
  </si>
  <si>
    <t>전일 ISSUE 사항(07일)</t>
    <phoneticPr fontId="2" type="noConversion"/>
  </si>
  <si>
    <t>수리후양산</t>
    <phoneticPr fontId="2" type="noConversion"/>
  </si>
  <si>
    <t>KR6156-D475PA</t>
    <phoneticPr fontId="2" type="noConversion"/>
  </si>
  <si>
    <t>BOTTOM</t>
    <phoneticPr fontId="2" type="noConversion"/>
  </si>
  <si>
    <t>14</t>
    <phoneticPr fontId="2" type="noConversion"/>
  </si>
  <si>
    <t>설비 TEST-&gt;BURR정지</t>
    <phoneticPr fontId="2" type="noConversion"/>
  </si>
  <si>
    <t>5</t>
    <phoneticPr fontId="2" type="noConversion"/>
  </si>
  <si>
    <t>당일 진행 사항(08일)</t>
    <phoneticPr fontId="2" type="noConversion"/>
  </si>
  <si>
    <t>KR6197-06KA</t>
    <phoneticPr fontId="2" type="noConversion"/>
  </si>
  <si>
    <t>SST</t>
    <phoneticPr fontId="2" type="noConversion"/>
  </si>
  <si>
    <t>SHAFT</t>
    <phoneticPr fontId="2" type="noConversion"/>
  </si>
  <si>
    <t>6</t>
    <phoneticPr fontId="2" type="noConversion"/>
  </si>
  <si>
    <t>ACTUATOR</t>
    <phoneticPr fontId="2" type="noConversion"/>
  </si>
  <si>
    <t>AMB1904D-KAA-R2</t>
    <phoneticPr fontId="2" type="noConversion"/>
  </si>
  <si>
    <t>14</t>
    <phoneticPr fontId="2" type="noConversion"/>
  </si>
  <si>
    <t>SAMPLE 진행 사항(07일)</t>
    <phoneticPr fontId="2" type="noConversion"/>
  </si>
  <si>
    <t>AYE</t>
    <phoneticPr fontId="2" type="noConversion"/>
  </si>
  <si>
    <t>NP595-362-011#SP</t>
    <phoneticPr fontId="2" type="noConversion"/>
  </si>
  <si>
    <t>LCP</t>
    <phoneticPr fontId="2" type="noConversion"/>
  </si>
  <si>
    <t>원재료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</si>
  <si>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</si>
  <si>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</si>
  <si>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t>신규 원재료 테스트</t>
    <phoneticPr fontId="2" type="noConversion"/>
  </si>
  <si>
    <r>
      <t>2018년 08월 08일 일일생산현황</t>
    </r>
    <r>
      <rPr>
        <b/>
        <sz val="14"/>
        <color indexed="8"/>
        <rFont val="굴림체"/>
        <family val="3"/>
        <charset val="129"/>
      </rPr>
      <t>(09일(목) 18시 현재)</t>
    </r>
    <phoneticPr fontId="2" type="noConversion"/>
  </si>
  <si>
    <t>SST</t>
    <phoneticPr fontId="2" type="noConversion"/>
  </si>
  <si>
    <t>LATCH</t>
    <phoneticPr fontId="2" type="noConversion"/>
  </si>
  <si>
    <t>K-JR01928-E01AWA</t>
    <phoneticPr fontId="2" type="noConversion"/>
  </si>
  <si>
    <t>SGF2030</t>
    <phoneticPr fontId="2" type="noConversion"/>
  </si>
  <si>
    <t>DOWN</t>
    <phoneticPr fontId="2" type="noConversion"/>
  </si>
  <si>
    <t>KR6426AS152CA</t>
    <phoneticPr fontId="2" type="noConversion"/>
  </si>
  <si>
    <t>LCP</t>
    <phoneticPr fontId="2" type="noConversion"/>
  </si>
  <si>
    <t>SHAFT</t>
    <phoneticPr fontId="2" type="noConversion"/>
  </si>
  <si>
    <t>KR6197-06KA</t>
    <phoneticPr fontId="2" type="noConversion"/>
  </si>
  <si>
    <t>JCL3030</t>
    <phoneticPr fontId="2" type="noConversion"/>
  </si>
  <si>
    <t>MCS</t>
    <phoneticPr fontId="2" type="noConversion"/>
  </si>
  <si>
    <t>ACTUATOR</t>
    <phoneticPr fontId="2" type="noConversion"/>
  </si>
  <si>
    <t>AMB1904D-KAA-R2</t>
    <phoneticPr fontId="2" type="noConversion"/>
  </si>
  <si>
    <t>SGF2050 N/P</t>
    <phoneticPr fontId="2" type="noConversion"/>
  </si>
  <si>
    <t>전일 ISSUE 사항(08일)</t>
    <phoneticPr fontId="2" type="noConversion"/>
  </si>
  <si>
    <t>3</t>
    <phoneticPr fontId="2" type="noConversion"/>
  </si>
  <si>
    <t>발주분양산</t>
    <phoneticPr fontId="2" type="noConversion"/>
  </si>
  <si>
    <t>4</t>
    <phoneticPr fontId="2" type="noConversion"/>
  </si>
  <si>
    <t>치수확인후양산</t>
    <phoneticPr fontId="2" type="noConversion"/>
  </si>
  <si>
    <t>5</t>
    <phoneticPr fontId="2" type="noConversion"/>
  </si>
  <si>
    <t>KR6197-06KA</t>
    <phoneticPr fontId="2" type="noConversion"/>
  </si>
  <si>
    <t>6</t>
    <phoneticPr fontId="2" type="noConversion"/>
  </si>
  <si>
    <t>14</t>
    <phoneticPr fontId="2" type="noConversion"/>
  </si>
  <si>
    <t>BODY</t>
    <phoneticPr fontId="2" type="noConversion"/>
  </si>
  <si>
    <t>AMB0114E-JAA-R3</t>
    <phoneticPr fontId="2" type="noConversion"/>
  </si>
  <si>
    <t>BURR 4회정지</t>
    <phoneticPr fontId="2" type="noConversion"/>
  </si>
  <si>
    <t>8</t>
    <phoneticPr fontId="2" type="noConversion"/>
  </si>
  <si>
    <t>BASE</t>
    <phoneticPr fontId="2" type="noConversion"/>
  </si>
  <si>
    <t>KR6197AB841CB</t>
    <phoneticPr fontId="2" type="noConversion"/>
  </si>
  <si>
    <t>세척후양산</t>
    <phoneticPr fontId="2" type="noConversion"/>
  </si>
  <si>
    <t>당일 진행 사항(09일)</t>
    <phoneticPr fontId="2" type="noConversion"/>
  </si>
  <si>
    <t>6</t>
    <phoneticPr fontId="2" type="noConversion"/>
  </si>
  <si>
    <t>수리후양산</t>
    <phoneticPr fontId="2" type="noConversion"/>
  </si>
  <si>
    <t>발주분양산-&gt;코아파손정지</t>
    <phoneticPr fontId="2" type="noConversion"/>
  </si>
  <si>
    <t>KR6197-D475PA</t>
    <phoneticPr fontId="2" type="noConversion"/>
  </si>
  <si>
    <t>7</t>
    <phoneticPr fontId="2" type="noConversion"/>
  </si>
  <si>
    <t>STOPPER</t>
    <phoneticPr fontId="2" type="noConversion"/>
  </si>
  <si>
    <t>AMB0114E-JAA-R3</t>
    <phoneticPr fontId="2" type="noConversion"/>
  </si>
  <si>
    <t>14</t>
    <phoneticPr fontId="2" type="noConversion"/>
  </si>
  <si>
    <t>K-JR01928-G01AWA</t>
    <phoneticPr fontId="2" type="noConversion"/>
  </si>
  <si>
    <t>K-JR01928-C01AWA</t>
    <phoneticPr fontId="2" type="noConversion"/>
  </si>
  <si>
    <t>K-JR01928-B01AZB</t>
    <phoneticPr fontId="2" type="noConversion"/>
  </si>
  <si>
    <t>ADAPTER</t>
    <phoneticPr fontId="2" type="noConversion"/>
  </si>
  <si>
    <t>COVER</t>
    <phoneticPr fontId="2" type="noConversion"/>
  </si>
  <si>
    <t>13</t>
    <phoneticPr fontId="2" type="noConversion"/>
  </si>
  <si>
    <t>3</t>
    <phoneticPr fontId="2" type="noConversion"/>
  </si>
  <si>
    <t>AM0831A-K</t>
    <phoneticPr fontId="2" type="noConversion"/>
  </si>
  <si>
    <t>9</t>
    <phoneticPr fontId="2" type="noConversion"/>
  </si>
  <si>
    <t>BASE</t>
    <phoneticPr fontId="2" type="noConversion"/>
  </si>
  <si>
    <t>AMB1901M-JAA-R1</t>
    <phoneticPr fontId="2" type="noConversion"/>
  </si>
  <si>
    <t>수리후양산</t>
    <phoneticPr fontId="2" type="noConversion"/>
  </si>
  <si>
    <t>4</t>
    <phoneticPr fontId="2" type="noConversion"/>
  </si>
  <si>
    <t>SAMPLE 진행 사항(08일)</t>
    <phoneticPr fontId="2" type="noConversion"/>
  </si>
  <si>
    <t>DI</t>
    <phoneticPr fontId="2" type="noConversion"/>
  </si>
  <si>
    <t>72P</t>
    <phoneticPr fontId="2" type="noConversion"/>
  </si>
  <si>
    <t>PA46</t>
    <phoneticPr fontId="2" type="noConversion"/>
  </si>
  <si>
    <t>수정</t>
    <phoneticPr fontId="2" type="noConversion"/>
  </si>
  <si>
    <t>COVER</t>
    <phoneticPr fontId="2" type="noConversion"/>
  </si>
  <si>
    <t>AMB0347A-KAA-R1</t>
    <phoneticPr fontId="2" type="noConversion"/>
  </si>
  <si>
    <t>JD4901</t>
    <phoneticPr fontId="2" type="noConversion"/>
  </si>
  <si>
    <t>AMB09D7A-KAA-R1</t>
    <phoneticPr fontId="2" type="noConversion"/>
  </si>
  <si>
    <t>UNDER</t>
    <phoneticPr fontId="2" type="noConversion"/>
  </si>
  <si>
    <t>AMB0233A-KAA-R1</t>
    <phoneticPr fontId="2" type="noConversion"/>
  </si>
  <si>
    <t>SGF2050</t>
    <phoneticPr fontId="2" type="noConversion"/>
  </si>
  <si>
    <t>AMB0165A-KAA-R1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</si>
  <si>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</si>
  <si>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</si>
  <si>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2018년 08월 09일 일일생산현황</t>
    </r>
    <r>
      <rPr>
        <b/>
        <sz val="14"/>
        <color indexed="8"/>
        <rFont val="굴림체"/>
        <family val="3"/>
        <charset val="129"/>
      </rPr>
      <t>(10일(금) 08시 현재)</t>
    </r>
    <phoneticPr fontId="2" type="noConversion"/>
  </si>
  <si>
    <t>COVER</t>
    <phoneticPr fontId="2" type="noConversion"/>
  </si>
  <si>
    <t>K-JR01928-C01AWA</t>
    <phoneticPr fontId="2" type="noConversion"/>
  </si>
  <si>
    <t>MCS</t>
    <phoneticPr fontId="2" type="noConversion"/>
  </si>
  <si>
    <t>ACTUATOR</t>
    <phoneticPr fontId="2" type="noConversion"/>
  </si>
  <si>
    <t>AMB1901M-JAA-R1</t>
    <phoneticPr fontId="2" type="noConversion"/>
  </si>
  <si>
    <t>SGF2050</t>
    <phoneticPr fontId="2" type="noConversion"/>
  </si>
  <si>
    <t>OKINS</t>
    <phoneticPr fontId="2" type="noConversion"/>
  </si>
  <si>
    <t>BASE</t>
    <phoneticPr fontId="2" type="noConversion"/>
  </si>
  <si>
    <t>204F51M-B047E</t>
    <phoneticPr fontId="2" type="noConversion"/>
  </si>
  <si>
    <t>PA9T</t>
    <phoneticPr fontId="2" type="noConversion"/>
  </si>
  <si>
    <t>AM0831A-K</t>
    <phoneticPr fontId="2" type="noConversion"/>
  </si>
  <si>
    <t>7301</t>
    <phoneticPr fontId="2" type="noConversion"/>
  </si>
  <si>
    <t>SST</t>
    <phoneticPr fontId="2" type="noConversion"/>
  </si>
  <si>
    <t>ADAPTER</t>
    <phoneticPr fontId="2" type="noConversion"/>
  </si>
  <si>
    <t>KR6156-GBA162AA</t>
    <phoneticPr fontId="2" type="noConversion"/>
  </si>
  <si>
    <t>K-JR01928-G01AWA</t>
    <phoneticPr fontId="2" type="noConversion"/>
  </si>
  <si>
    <t>SGF2030</t>
    <phoneticPr fontId="2" type="noConversion"/>
  </si>
  <si>
    <t>K-JR01928-B01AZB</t>
    <phoneticPr fontId="2" type="noConversion"/>
  </si>
  <si>
    <t>SGP2020R</t>
    <phoneticPr fontId="2" type="noConversion"/>
  </si>
  <si>
    <t>M2</t>
    <phoneticPr fontId="2" type="noConversion"/>
  </si>
  <si>
    <t>AMS08155A-KAA-R1</t>
    <phoneticPr fontId="2" type="noConversion"/>
  </si>
  <si>
    <t>전일 ISSUE 사항(09일)</t>
    <phoneticPr fontId="2" type="noConversion"/>
  </si>
  <si>
    <t>불량대치분</t>
    <phoneticPr fontId="2" type="noConversion"/>
  </si>
  <si>
    <t>수리후양산-&gt;코아파손정지</t>
    <phoneticPr fontId="2" type="noConversion"/>
  </si>
  <si>
    <t>BURR 정지</t>
    <phoneticPr fontId="2" type="noConversion"/>
  </si>
  <si>
    <t>뜯김정지(사고)</t>
    <phoneticPr fontId="2" type="noConversion"/>
  </si>
  <si>
    <t>KR6197-D475PA</t>
    <phoneticPr fontId="2" type="noConversion"/>
  </si>
  <si>
    <t>7</t>
    <phoneticPr fontId="2" type="noConversion"/>
  </si>
  <si>
    <t>STOPPER</t>
    <phoneticPr fontId="2" type="noConversion"/>
  </si>
  <si>
    <t>BURR 2회정지</t>
    <phoneticPr fontId="2" type="noConversion"/>
  </si>
  <si>
    <t>7</t>
    <phoneticPr fontId="2" type="noConversion"/>
  </si>
  <si>
    <t>9</t>
    <phoneticPr fontId="2" type="noConversion"/>
  </si>
  <si>
    <t>12</t>
    <phoneticPr fontId="2" type="noConversion"/>
  </si>
  <si>
    <t>13</t>
    <phoneticPr fontId="2" type="noConversion"/>
  </si>
  <si>
    <t>당일 진행 사항(10일)</t>
    <phoneticPr fontId="2" type="noConversion"/>
  </si>
  <si>
    <t>3</t>
    <phoneticPr fontId="2" type="noConversion"/>
  </si>
  <si>
    <t>KR6414-C414TA</t>
    <phoneticPr fontId="2" type="noConversion"/>
  </si>
  <si>
    <t>발주분양산</t>
    <phoneticPr fontId="2" type="noConversion"/>
  </si>
  <si>
    <t>4</t>
    <phoneticPr fontId="2" type="noConversion"/>
  </si>
  <si>
    <t>SLIDER</t>
    <phoneticPr fontId="2" type="noConversion"/>
  </si>
  <si>
    <t>KR6414-A167YA</t>
    <phoneticPr fontId="2" type="noConversion"/>
  </si>
  <si>
    <t>8</t>
    <phoneticPr fontId="2" type="noConversion"/>
  </si>
  <si>
    <t>KR6197AB841CB</t>
    <phoneticPr fontId="2" type="noConversion"/>
  </si>
  <si>
    <t>수리후양산</t>
    <phoneticPr fontId="2" type="noConversion"/>
  </si>
  <si>
    <t>7</t>
    <phoneticPr fontId="2" type="noConversion"/>
  </si>
  <si>
    <t>AMM0827A-KAA-R2</t>
    <phoneticPr fontId="2" type="noConversion"/>
  </si>
  <si>
    <t>KR6202-06KA</t>
    <phoneticPr fontId="2" type="noConversion"/>
  </si>
  <si>
    <t>5</t>
    <phoneticPr fontId="2" type="noConversion"/>
  </si>
  <si>
    <t>SHAFT</t>
    <phoneticPr fontId="2" type="noConversion"/>
  </si>
  <si>
    <t>SAMPLE 진행 사항(09일)</t>
    <phoneticPr fontId="2" type="noConversion"/>
  </si>
  <si>
    <t>LATCH PLATE</t>
    <phoneticPr fontId="2" type="noConversion"/>
  </si>
  <si>
    <t>AMB09D8A-KAA-R1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</si>
  <si>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</si>
  <si>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</si>
  <si>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2018년 08월 10일 일일생산현황</t>
    </r>
    <r>
      <rPr>
        <b/>
        <sz val="14"/>
        <color indexed="8"/>
        <rFont val="굴림체"/>
        <family val="3"/>
        <charset val="129"/>
      </rPr>
      <t>(11일(토) 08시 현재)</t>
    </r>
    <phoneticPr fontId="2" type="noConversion"/>
  </si>
  <si>
    <t>KR6414-C414TA</t>
    <phoneticPr fontId="2" type="noConversion"/>
  </si>
  <si>
    <t>JD4901</t>
    <phoneticPr fontId="2" type="noConversion"/>
  </si>
  <si>
    <t>SST</t>
    <phoneticPr fontId="2" type="noConversion"/>
  </si>
  <si>
    <t>SLIDER</t>
    <phoneticPr fontId="2" type="noConversion"/>
  </si>
  <si>
    <t>KR6414-A167YA</t>
    <phoneticPr fontId="2" type="noConversion"/>
  </si>
  <si>
    <t>KR6202-06KA</t>
    <phoneticPr fontId="2" type="noConversion"/>
  </si>
  <si>
    <t>STOPPER</t>
    <phoneticPr fontId="2" type="noConversion"/>
  </si>
  <si>
    <t>KR6197-D475PA</t>
    <phoneticPr fontId="2" type="noConversion"/>
  </si>
  <si>
    <t>AMM0827A-KAA-R2</t>
    <phoneticPr fontId="2" type="noConversion"/>
  </si>
  <si>
    <t>B LUE</t>
    <phoneticPr fontId="2" type="noConversion"/>
  </si>
  <si>
    <t>KR6156-GBD115AA</t>
    <phoneticPr fontId="2" type="noConversion"/>
  </si>
  <si>
    <t>메카텍</t>
    <phoneticPr fontId="2" type="noConversion"/>
  </si>
  <si>
    <t>UNDER</t>
    <phoneticPr fontId="2" type="noConversion"/>
  </si>
  <si>
    <t>34P</t>
    <phoneticPr fontId="2" type="noConversion"/>
  </si>
  <si>
    <t>SF2255 I/V</t>
    <phoneticPr fontId="2" type="noConversion"/>
  </si>
  <si>
    <t>HICON</t>
    <phoneticPr fontId="2" type="noConversion"/>
  </si>
  <si>
    <t>BOTTOM</t>
    <phoneticPr fontId="2" type="noConversion"/>
  </si>
  <si>
    <t>HB1208-10M2</t>
    <phoneticPr fontId="2" type="noConversion"/>
  </si>
  <si>
    <t>SGF2041</t>
    <phoneticPr fontId="2" type="noConversion"/>
  </si>
  <si>
    <t>전일 ISSUE 사항(10일)</t>
    <phoneticPr fontId="2" type="noConversion"/>
  </si>
  <si>
    <t>발주분양산</t>
    <phoneticPr fontId="2" type="noConversion"/>
  </si>
  <si>
    <t>5</t>
    <phoneticPr fontId="2" type="noConversion"/>
  </si>
  <si>
    <t>SHAFT</t>
    <phoneticPr fontId="2" type="noConversion"/>
  </si>
  <si>
    <t>KR6202-06KA</t>
    <phoneticPr fontId="2" type="noConversion"/>
  </si>
  <si>
    <t>발주분양산-&gt;칼퀴수리-&gt;금형안닫힘정지</t>
    <phoneticPr fontId="2" type="noConversion"/>
  </si>
  <si>
    <t>수리후양산-&gt;BURR수리-&gt;코아파손정지</t>
    <phoneticPr fontId="2" type="noConversion"/>
  </si>
  <si>
    <t>7</t>
    <phoneticPr fontId="2" type="noConversion"/>
  </si>
  <si>
    <t>메카텍</t>
    <phoneticPr fontId="2" type="noConversion"/>
  </si>
  <si>
    <t>당일 진행 사항(13일)</t>
    <phoneticPr fontId="2" type="noConversion"/>
  </si>
  <si>
    <t>LATCH</t>
    <phoneticPr fontId="2" type="noConversion"/>
  </si>
  <si>
    <t>HB2588-10D-8C</t>
    <phoneticPr fontId="2" type="noConversion"/>
  </si>
  <si>
    <t>KR6414-D414PA</t>
    <phoneticPr fontId="2" type="noConversion"/>
  </si>
  <si>
    <t>AMB0114B-JAA-R6</t>
    <phoneticPr fontId="2" type="noConversion"/>
  </si>
  <si>
    <t>설비테스트</t>
    <phoneticPr fontId="2" type="noConversion"/>
  </si>
  <si>
    <t>수리후양산</t>
    <phoneticPr fontId="2" type="noConversion"/>
  </si>
  <si>
    <t>12</t>
    <phoneticPr fontId="2" type="noConversion"/>
  </si>
  <si>
    <t>44P</t>
    <phoneticPr fontId="2" type="noConversion"/>
  </si>
  <si>
    <t>13</t>
    <phoneticPr fontId="2" type="noConversion"/>
  </si>
  <si>
    <t>ST/HOLDER</t>
    <phoneticPr fontId="2" type="noConversion"/>
  </si>
  <si>
    <t>K-JR01860-D/H</t>
    <phoneticPr fontId="2" type="noConversion"/>
  </si>
  <si>
    <t>72P</t>
    <phoneticPr fontId="2" type="noConversion"/>
  </si>
  <si>
    <t>DI</t>
    <phoneticPr fontId="2" type="noConversion"/>
  </si>
  <si>
    <t>15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</si>
  <si>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</si>
  <si>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</si>
  <si>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</si>
  <si>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2018년 08월 13일 일일생산현황</t>
    </r>
    <r>
      <rPr>
        <b/>
        <sz val="14"/>
        <color indexed="8"/>
        <rFont val="굴림체"/>
        <family val="3"/>
        <charset val="129"/>
      </rPr>
      <t>(14일(화) 08시 현재)</t>
    </r>
    <phoneticPr fontId="2" type="noConversion"/>
  </si>
  <si>
    <t>HICON</t>
    <phoneticPr fontId="2" type="noConversion"/>
  </si>
  <si>
    <t>LATCH</t>
    <phoneticPr fontId="2" type="noConversion"/>
  </si>
  <si>
    <t>HB2588-10D-8C</t>
    <phoneticPr fontId="2" type="noConversion"/>
  </si>
  <si>
    <t>SGF2041</t>
    <phoneticPr fontId="2" type="noConversion"/>
  </si>
  <si>
    <t>STOPPER</t>
    <phoneticPr fontId="2" type="noConversion"/>
  </si>
  <si>
    <t>KR6414-D414PA</t>
    <phoneticPr fontId="2" type="noConversion"/>
  </si>
  <si>
    <t>SF2255</t>
    <phoneticPr fontId="2" type="noConversion"/>
  </si>
  <si>
    <t>44P</t>
    <phoneticPr fontId="2" type="noConversion"/>
  </si>
  <si>
    <t>SST</t>
    <phoneticPr fontId="2" type="noConversion"/>
  </si>
  <si>
    <t>STOPPER/HOLDER</t>
    <phoneticPr fontId="2" type="noConversion"/>
  </si>
  <si>
    <t>K-JR01860-D/H01AZB</t>
    <phoneticPr fontId="2" type="noConversion"/>
  </si>
  <si>
    <t>SGP2020R</t>
    <phoneticPr fontId="2" type="noConversion"/>
  </si>
  <si>
    <t>AMB0114B-JAA-R6</t>
    <phoneticPr fontId="2" type="noConversion"/>
  </si>
  <si>
    <t>전일 ISSUE 사항(13일)</t>
    <phoneticPr fontId="2" type="noConversion"/>
  </si>
  <si>
    <t>HICON</t>
    <phoneticPr fontId="2" type="noConversion"/>
  </si>
  <si>
    <t>발주분양산-&gt;BURR수리</t>
    <phoneticPr fontId="2" type="noConversion"/>
  </si>
  <si>
    <t>수리후양산 2회</t>
    <phoneticPr fontId="2" type="noConversion"/>
  </si>
  <si>
    <t>8</t>
    <phoneticPr fontId="2" type="noConversion"/>
  </si>
  <si>
    <t>BASE</t>
    <phoneticPr fontId="2" type="noConversion"/>
  </si>
  <si>
    <t>KR6197AB841CB</t>
    <phoneticPr fontId="2" type="noConversion"/>
  </si>
  <si>
    <t>수리후양산</t>
    <phoneticPr fontId="2" type="noConversion"/>
  </si>
  <si>
    <t>13</t>
    <phoneticPr fontId="2" type="noConversion"/>
  </si>
  <si>
    <t>ST/HOL</t>
    <phoneticPr fontId="2" type="noConversion"/>
  </si>
  <si>
    <t>JR01860-D/H</t>
    <phoneticPr fontId="2" type="noConversion"/>
  </si>
  <si>
    <t>MCS</t>
    <phoneticPr fontId="2" type="noConversion"/>
  </si>
  <si>
    <t>14</t>
    <phoneticPr fontId="2" type="noConversion"/>
  </si>
  <si>
    <t>BODY</t>
    <phoneticPr fontId="2" type="noConversion"/>
  </si>
  <si>
    <t>테스트양산-&gt;BURR-&gt;오조립수리</t>
    <phoneticPr fontId="2" type="noConversion"/>
  </si>
  <si>
    <t>DI</t>
    <phoneticPr fontId="2" type="noConversion"/>
  </si>
  <si>
    <t>15</t>
    <phoneticPr fontId="2" type="noConversion"/>
  </si>
  <si>
    <t>22P</t>
    <phoneticPr fontId="2" type="noConversion"/>
  </si>
  <si>
    <t>발주분양산-&gt;오조립</t>
    <phoneticPr fontId="2" type="noConversion"/>
  </si>
  <si>
    <t>당일 진행 사항(14일)</t>
    <phoneticPr fontId="2" type="noConversion"/>
  </si>
  <si>
    <t>KR6422-B589CA</t>
    <phoneticPr fontId="2" type="noConversion"/>
  </si>
  <si>
    <t>세척후양산</t>
    <phoneticPr fontId="2" type="noConversion"/>
  </si>
  <si>
    <t>SAMPLE 진행 사항(13일)</t>
    <phoneticPr fontId="2" type="noConversion"/>
  </si>
  <si>
    <t>ADAPTER</t>
    <phoneticPr fontId="2" type="noConversion"/>
  </si>
  <si>
    <t>KR6414-GA414QA</t>
    <phoneticPr fontId="2" type="noConversion"/>
  </si>
  <si>
    <t>SF2255 I/V</t>
    <phoneticPr fontId="2" type="noConversion"/>
  </si>
  <si>
    <t>수정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</si>
  <si>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</si>
  <si>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</si>
  <si>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2018년 08월 14일 일일생산현황</t>
    </r>
    <r>
      <rPr>
        <b/>
        <sz val="14"/>
        <color indexed="8"/>
        <rFont val="굴림체"/>
        <family val="3"/>
        <charset val="129"/>
      </rPr>
      <t>(15일(수) 08시 현재)</t>
    </r>
    <phoneticPr fontId="2" type="noConversion"/>
  </si>
  <si>
    <t>BASE</t>
    <phoneticPr fontId="2" type="noConversion"/>
  </si>
  <si>
    <t>KR6422-B589CA</t>
    <phoneticPr fontId="2" type="noConversion"/>
  </si>
  <si>
    <t>SGF2033</t>
    <phoneticPr fontId="2" type="noConversion"/>
  </si>
  <si>
    <t>전일 ISSUE 사항(14일)</t>
    <phoneticPr fontId="2" type="noConversion"/>
  </si>
  <si>
    <t>SST</t>
    <phoneticPr fontId="2" type="noConversion"/>
  </si>
  <si>
    <t>4</t>
    <phoneticPr fontId="2" type="noConversion"/>
  </si>
  <si>
    <t>KR6422-B589XA</t>
    <phoneticPr fontId="2" type="noConversion"/>
  </si>
  <si>
    <t>7</t>
    <phoneticPr fontId="2" type="noConversion"/>
  </si>
  <si>
    <t>KR6197-D475PA</t>
    <phoneticPr fontId="2" type="noConversion"/>
  </si>
  <si>
    <t>수리후양산-&gt;코아파손정지</t>
    <phoneticPr fontId="2" type="noConversion"/>
  </si>
  <si>
    <t>세척후양산-&gt;가스정지</t>
    <phoneticPr fontId="2" type="noConversion"/>
  </si>
  <si>
    <t>세척후양산</t>
    <phoneticPr fontId="2" type="noConversion"/>
  </si>
  <si>
    <t>당일 진행 사항(15일)</t>
    <phoneticPr fontId="2" type="noConversion"/>
  </si>
  <si>
    <t>SAMPLE 진행 사항(14일)</t>
    <phoneticPr fontId="2" type="noConversion"/>
  </si>
  <si>
    <t>현명</t>
    <phoneticPr fontId="2" type="noConversion"/>
  </si>
  <si>
    <t>TOP/BOTTOM</t>
    <phoneticPr fontId="2" type="noConversion"/>
  </si>
  <si>
    <t>신작</t>
    <phoneticPr fontId="2" type="noConversion"/>
  </si>
  <si>
    <t>메카텍</t>
    <phoneticPr fontId="2" type="noConversion"/>
  </si>
  <si>
    <t>11.85 34P TOP/BOTTOM</t>
    <phoneticPr fontId="2" type="noConversion"/>
  </si>
  <si>
    <t>수정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</si>
  <si>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</si>
  <si>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</si>
  <si>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2018년 08월 15일 일일생산현황</t>
    </r>
    <r>
      <rPr>
        <b/>
        <sz val="14"/>
        <color indexed="8"/>
        <rFont val="굴림체"/>
        <family val="3"/>
        <charset val="129"/>
      </rPr>
      <t>(16일(목) 08시 현재)</t>
    </r>
    <phoneticPr fontId="2" type="noConversion"/>
  </si>
  <si>
    <t>ODT</t>
    <phoneticPr fontId="2" type="noConversion"/>
  </si>
  <si>
    <t>HOLDER</t>
    <phoneticPr fontId="2" type="noConversion"/>
  </si>
  <si>
    <t>SW-003206</t>
    <phoneticPr fontId="2" type="noConversion"/>
  </si>
  <si>
    <t>PC B/K</t>
    <phoneticPr fontId="2" type="noConversion"/>
  </si>
  <si>
    <t>전일 ISSUE 사항(15일)</t>
    <phoneticPr fontId="2" type="noConversion"/>
  </si>
  <si>
    <t>수리후양산-&gt;코아파손수리</t>
    <phoneticPr fontId="2" type="noConversion"/>
  </si>
  <si>
    <t>SST</t>
    <phoneticPr fontId="2" type="noConversion"/>
  </si>
  <si>
    <t>8</t>
    <phoneticPr fontId="2" type="noConversion"/>
  </si>
  <si>
    <t>BASE</t>
    <phoneticPr fontId="2" type="noConversion"/>
  </si>
  <si>
    <t>KR6197AB841CB</t>
    <phoneticPr fontId="2" type="noConversion"/>
  </si>
  <si>
    <t>하측뜯김</t>
    <phoneticPr fontId="2" type="noConversion"/>
  </si>
  <si>
    <t>당일 진행 사항(16일)</t>
    <phoneticPr fontId="2" type="noConversion"/>
  </si>
  <si>
    <t>8</t>
    <phoneticPr fontId="2" type="noConversion"/>
  </si>
  <si>
    <t>MCS</t>
    <phoneticPr fontId="2" type="noConversion"/>
  </si>
  <si>
    <t>13</t>
    <phoneticPr fontId="2" type="noConversion"/>
  </si>
  <si>
    <t>M2 BASE</t>
    <phoneticPr fontId="2" type="noConversion"/>
  </si>
  <si>
    <t>AMS08155A-KAA-R1</t>
    <phoneticPr fontId="2" type="noConversion"/>
  </si>
  <si>
    <t>발주분양산</t>
    <phoneticPr fontId="2" type="noConversion"/>
  </si>
  <si>
    <t>SAMPLE 진행 사항(15일)</t>
    <phoneticPr fontId="2" type="noConversion"/>
  </si>
  <si>
    <t>ADAPTER</t>
    <phoneticPr fontId="2" type="noConversion"/>
  </si>
  <si>
    <t>KR6414-GA414XX</t>
    <phoneticPr fontId="2" type="noConversion"/>
  </si>
  <si>
    <t>SF2255 I/V</t>
    <phoneticPr fontId="2" type="noConversion"/>
  </si>
  <si>
    <t>수정</t>
    <phoneticPr fontId="2" type="noConversion"/>
  </si>
  <si>
    <t>SGF2050</t>
    <phoneticPr fontId="2" type="noConversion"/>
  </si>
  <si>
    <t>SLIDER</t>
    <phoneticPr fontId="2" type="noConversion"/>
  </si>
  <si>
    <t>KR6414-A291XX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</si>
  <si>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</si>
  <si>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</si>
  <si>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2018년 08월 16일 일일생산현황</t>
    </r>
    <r>
      <rPr>
        <b/>
        <sz val="14"/>
        <color indexed="8"/>
        <rFont val="굴림체"/>
        <family val="3"/>
        <charset val="129"/>
      </rPr>
      <t>(17일(금) 08시 현재)</t>
    </r>
    <phoneticPr fontId="2" type="noConversion"/>
  </si>
  <si>
    <t>790 FLAPPER</t>
    <phoneticPr fontId="2" type="noConversion"/>
  </si>
  <si>
    <t>016-125-313</t>
    <phoneticPr fontId="2" type="noConversion"/>
  </si>
  <si>
    <t>SGF2030</t>
    <phoneticPr fontId="2" type="noConversion"/>
  </si>
  <si>
    <t>MCS</t>
    <phoneticPr fontId="2" type="noConversion"/>
  </si>
  <si>
    <t>M2 CONN</t>
    <phoneticPr fontId="2" type="noConversion"/>
  </si>
  <si>
    <t>AMS08155A-KAA-R1</t>
    <phoneticPr fontId="2" type="noConversion"/>
  </si>
  <si>
    <t>SF2255</t>
    <phoneticPr fontId="2" type="noConversion"/>
  </si>
  <si>
    <t>전일 ISSUE 사항(16일)</t>
    <phoneticPr fontId="2" type="noConversion"/>
  </si>
  <si>
    <t>수리후양산</t>
    <phoneticPr fontId="2" type="noConversion"/>
  </si>
  <si>
    <t>SST</t>
    <phoneticPr fontId="2" type="noConversion"/>
  </si>
  <si>
    <t>4</t>
    <phoneticPr fontId="2" type="noConversion"/>
  </si>
  <si>
    <t>790</t>
    <phoneticPr fontId="2" type="noConversion"/>
  </si>
  <si>
    <t>016-125-313</t>
    <phoneticPr fontId="2" type="noConversion"/>
  </si>
  <si>
    <t>발주분양산</t>
    <phoneticPr fontId="2" type="noConversion"/>
  </si>
  <si>
    <t>13</t>
    <phoneticPr fontId="2" type="noConversion"/>
  </si>
  <si>
    <t>M2 CONN</t>
    <phoneticPr fontId="2" type="noConversion"/>
  </si>
  <si>
    <t>발주분양산-&gt;코아파손정지</t>
    <phoneticPr fontId="2" type="noConversion"/>
  </si>
  <si>
    <t>당일 진행 사항(17일)</t>
    <phoneticPr fontId="2" type="noConversion"/>
  </si>
  <si>
    <t>SAMPLE 진행 사항(16일)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</si>
  <si>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</si>
  <si>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</si>
  <si>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2018년 08월 17일 일일생산현황</t>
    </r>
    <r>
      <rPr>
        <b/>
        <sz val="14"/>
        <color indexed="8"/>
        <rFont val="굴림체"/>
        <family val="3"/>
        <charset val="129"/>
      </rPr>
      <t>(18일(토) 08시 현재)</t>
    </r>
    <phoneticPr fontId="2" type="noConversion"/>
  </si>
  <si>
    <t>SST</t>
    <phoneticPr fontId="2" type="noConversion"/>
  </si>
  <si>
    <t>ADAPTER</t>
    <phoneticPr fontId="2" type="noConversion"/>
  </si>
  <si>
    <t>KR6414-GA414QB</t>
    <phoneticPr fontId="2" type="noConversion"/>
  </si>
  <si>
    <t>SF2255 I/V</t>
    <phoneticPr fontId="2" type="noConversion"/>
  </si>
  <si>
    <t>전일 ISSUE 사항(17일)</t>
    <phoneticPr fontId="2" type="noConversion"/>
  </si>
  <si>
    <t>수리후양산-&gt;코아파손정지</t>
    <phoneticPr fontId="2" type="noConversion"/>
  </si>
  <si>
    <t>승인후양산</t>
    <phoneticPr fontId="2" type="noConversion"/>
  </si>
  <si>
    <t>수리후양산</t>
    <phoneticPr fontId="2" type="noConversion"/>
  </si>
  <si>
    <t>당일 진행 사항(20일)</t>
    <phoneticPr fontId="2" type="noConversion"/>
  </si>
  <si>
    <t>BASE</t>
    <phoneticPr fontId="2" type="noConversion"/>
  </si>
  <si>
    <t>KR6197AB841CB</t>
    <phoneticPr fontId="2" type="noConversion"/>
  </si>
  <si>
    <t>MCS</t>
    <phoneticPr fontId="2" type="noConversion"/>
  </si>
  <si>
    <t>9</t>
    <phoneticPr fontId="2" type="noConversion"/>
  </si>
  <si>
    <t>AAM0818C-KAB-R3</t>
    <phoneticPr fontId="2" type="noConversion"/>
  </si>
  <si>
    <t>발주분양산</t>
    <phoneticPr fontId="2" type="noConversion"/>
  </si>
  <si>
    <t>HB1208-10M3</t>
    <phoneticPr fontId="2" type="noConversion"/>
  </si>
  <si>
    <t>HICON</t>
    <phoneticPr fontId="2" type="noConversion"/>
  </si>
  <si>
    <t>13</t>
    <phoneticPr fontId="2" type="noConversion"/>
  </si>
  <si>
    <t>FLOAT</t>
    <phoneticPr fontId="2" type="noConversion"/>
  </si>
  <si>
    <t>72P</t>
    <phoneticPr fontId="2" type="noConversion"/>
  </si>
  <si>
    <t>DI</t>
    <phoneticPr fontId="2" type="noConversion"/>
  </si>
  <si>
    <t>15</t>
    <phoneticPr fontId="2" type="noConversion"/>
  </si>
  <si>
    <t>SAMPLE 진행 사항(17일)</t>
    <phoneticPr fontId="2" type="noConversion"/>
  </si>
  <si>
    <t>SGF2050/LCP</t>
    <phoneticPr fontId="2" type="noConversion"/>
  </si>
  <si>
    <t>BODY</t>
    <phoneticPr fontId="2" type="noConversion"/>
  </si>
  <si>
    <t>AM0135A-K</t>
    <phoneticPr fontId="2" type="noConversion"/>
  </si>
  <si>
    <t>요청</t>
    <phoneticPr fontId="2" type="noConversion"/>
  </si>
  <si>
    <t>수정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</si>
  <si>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</si>
  <si>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</si>
  <si>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2018년 08월 20일 일일생산현황</t>
    </r>
    <r>
      <rPr>
        <b/>
        <sz val="14"/>
        <color indexed="8"/>
        <rFont val="굴림체"/>
        <family val="3"/>
        <charset val="129"/>
      </rPr>
      <t>(21일(화) 08시 현재)</t>
    </r>
    <phoneticPr fontId="2" type="noConversion"/>
  </si>
  <si>
    <t>MCS</t>
    <phoneticPr fontId="2" type="noConversion"/>
  </si>
  <si>
    <t>F/ADAPTER</t>
    <phoneticPr fontId="2" type="noConversion"/>
  </si>
  <si>
    <t>AMB2071B-KAA-R2</t>
    <phoneticPr fontId="2" type="noConversion"/>
  </si>
  <si>
    <t>AAM0818C-KAB-R3</t>
    <phoneticPr fontId="2" type="noConversion"/>
  </si>
  <si>
    <t>PA9T</t>
    <phoneticPr fontId="2" type="noConversion"/>
  </si>
  <si>
    <t>HICON</t>
    <phoneticPr fontId="2" type="noConversion"/>
  </si>
  <si>
    <t>FLOAT</t>
    <phoneticPr fontId="2" type="noConversion"/>
  </si>
  <si>
    <t>HB1208-10M3</t>
    <phoneticPr fontId="2" type="noConversion"/>
  </si>
  <si>
    <t>72P</t>
    <phoneticPr fontId="2" type="noConversion"/>
  </si>
  <si>
    <t>전일 ISSUE 사항(20일)</t>
    <phoneticPr fontId="2" type="noConversion"/>
  </si>
  <si>
    <t>당일 진행 사항(21일)</t>
    <phoneticPr fontId="2" type="noConversion"/>
  </si>
  <si>
    <t>F/A</t>
    <phoneticPr fontId="2" type="noConversion"/>
  </si>
  <si>
    <t>수리후양산</t>
    <phoneticPr fontId="2" type="noConversion"/>
  </si>
  <si>
    <t>발주분양산-&gt;오조립-&gt;BURR수리</t>
    <phoneticPr fontId="2" type="noConversion"/>
  </si>
  <si>
    <t>SST</t>
    <phoneticPr fontId="2" type="noConversion"/>
  </si>
  <si>
    <t>7</t>
    <phoneticPr fontId="2" type="noConversion"/>
  </si>
  <si>
    <t>STOPPER</t>
    <phoneticPr fontId="2" type="noConversion"/>
  </si>
  <si>
    <t>KR6197-D475PA</t>
    <phoneticPr fontId="2" type="noConversion"/>
  </si>
  <si>
    <t>수리후양산-&gt;코아파손4회정지</t>
    <phoneticPr fontId="2" type="noConversion"/>
  </si>
  <si>
    <t>발주분양산</t>
    <phoneticPr fontId="2" type="noConversion"/>
  </si>
  <si>
    <t>9</t>
    <phoneticPr fontId="2" type="noConversion"/>
  </si>
  <si>
    <t>BASE</t>
    <phoneticPr fontId="2" type="noConversion"/>
  </si>
  <si>
    <t>HB1208-10M3</t>
    <phoneticPr fontId="2" type="noConversion"/>
  </si>
  <si>
    <t>발주분양산-&gt;코아파손수리</t>
    <phoneticPr fontId="2" type="noConversion"/>
  </si>
  <si>
    <t>13</t>
    <phoneticPr fontId="2" type="noConversion"/>
  </si>
  <si>
    <t>DI</t>
    <phoneticPr fontId="2" type="noConversion"/>
  </si>
  <si>
    <t>15</t>
    <phoneticPr fontId="2" type="noConversion"/>
  </si>
  <si>
    <t>OKINS</t>
    <phoneticPr fontId="2" type="noConversion"/>
  </si>
  <si>
    <t>BD1-BS005A-1</t>
    <phoneticPr fontId="2" type="noConversion"/>
  </si>
  <si>
    <t>ODT</t>
    <phoneticPr fontId="2" type="noConversion"/>
  </si>
  <si>
    <t>CASE</t>
    <phoneticPr fontId="2" type="noConversion"/>
  </si>
  <si>
    <t>14</t>
    <phoneticPr fontId="2" type="noConversion"/>
  </si>
  <si>
    <t>ADAPTER</t>
    <phoneticPr fontId="2" type="noConversion"/>
  </si>
  <si>
    <t>KR6156AGZ221QC</t>
    <phoneticPr fontId="2" type="noConversion"/>
  </si>
  <si>
    <t>테스트용양산</t>
    <phoneticPr fontId="2" type="noConversion"/>
  </si>
  <si>
    <t>SAMPLE 진행 사항(20일)</t>
    <phoneticPr fontId="2" type="noConversion"/>
  </si>
  <si>
    <t>KR6426-B152WA</t>
    <phoneticPr fontId="2" type="noConversion"/>
  </si>
  <si>
    <t>SGF2030</t>
    <phoneticPr fontId="2" type="noConversion"/>
  </si>
  <si>
    <t>코아파손3회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</si>
  <si>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</si>
  <si>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</si>
  <si>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2018년 08월 21일 일일생산현황</t>
    </r>
    <r>
      <rPr>
        <b/>
        <sz val="14"/>
        <color indexed="8"/>
        <rFont val="굴림체"/>
        <family val="3"/>
        <charset val="129"/>
      </rPr>
      <t>(22일(수) 08시 현재)</t>
    </r>
    <phoneticPr fontId="2" type="noConversion"/>
  </si>
  <si>
    <t>TOP</t>
    <phoneticPr fontId="2" type="noConversion"/>
  </si>
  <si>
    <t>KR6426AT152CA</t>
    <phoneticPr fontId="2" type="noConversion"/>
  </si>
  <si>
    <t>SGF2033</t>
    <phoneticPr fontId="2" type="noConversion"/>
  </si>
  <si>
    <t>SST</t>
    <phoneticPr fontId="2" type="noConversion"/>
  </si>
  <si>
    <t>LEAD IN</t>
    <phoneticPr fontId="2" type="noConversion"/>
  </si>
  <si>
    <t>KR6426-GA152HA</t>
    <phoneticPr fontId="2" type="noConversion"/>
  </si>
  <si>
    <t>SGP2030R N/P</t>
    <phoneticPr fontId="2" type="noConversion"/>
  </si>
  <si>
    <t>ODT</t>
    <phoneticPr fontId="2" type="noConversion"/>
  </si>
  <si>
    <t>CASE</t>
    <phoneticPr fontId="2" type="noConversion"/>
  </si>
  <si>
    <t>SW-003082</t>
    <phoneticPr fontId="2" type="noConversion"/>
  </si>
  <si>
    <t>PBT</t>
    <phoneticPr fontId="2" type="noConversion"/>
  </si>
  <si>
    <t>ADAPTER</t>
    <phoneticPr fontId="2" type="noConversion"/>
  </si>
  <si>
    <t>KR6156AGZ221QC</t>
    <phoneticPr fontId="2" type="noConversion"/>
  </si>
  <si>
    <t>SF2255 I/V</t>
    <phoneticPr fontId="2" type="noConversion"/>
  </si>
  <si>
    <t>전일 ISSUE 사항(21일)</t>
    <phoneticPr fontId="2" type="noConversion"/>
  </si>
  <si>
    <t>발주분양산</t>
    <phoneticPr fontId="2" type="noConversion"/>
  </si>
  <si>
    <t>수리후양산-&gt;코아파손수리</t>
    <phoneticPr fontId="2" type="noConversion"/>
  </si>
  <si>
    <t>OKINS</t>
    <phoneticPr fontId="2" type="noConversion"/>
  </si>
  <si>
    <t>BD1-BS005A-1</t>
    <phoneticPr fontId="2" type="noConversion"/>
  </si>
  <si>
    <t>발주분양산-&gt;뜯김수리-&gt;설비이상정지</t>
    <phoneticPr fontId="2" type="noConversion"/>
  </si>
  <si>
    <t>ODT</t>
    <phoneticPr fontId="2" type="noConversion"/>
  </si>
  <si>
    <t>KR6156AGZ221QC</t>
    <phoneticPr fontId="2" type="noConversion"/>
  </si>
  <si>
    <t>테스트양산-&gt;BURR정지</t>
    <phoneticPr fontId="2" type="noConversion"/>
  </si>
  <si>
    <t>당일 진행 사항(22일)</t>
    <phoneticPr fontId="2" type="noConversion"/>
  </si>
  <si>
    <t>BASE</t>
    <phoneticPr fontId="2" type="noConversion"/>
  </si>
  <si>
    <t>KR6426-B152WA</t>
    <phoneticPr fontId="2" type="noConversion"/>
  </si>
  <si>
    <t>수리후양산</t>
    <phoneticPr fontId="2" type="noConversion"/>
  </si>
  <si>
    <t>NP504-295-091#SP</t>
    <phoneticPr fontId="2" type="noConversion"/>
  </si>
  <si>
    <t>AYE</t>
    <phoneticPr fontId="2" type="noConversion"/>
  </si>
  <si>
    <t>5</t>
    <phoneticPr fontId="2" type="noConversion"/>
  </si>
  <si>
    <t>NP504-295-091#LB</t>
    <phoneticPr fontId="2" type="noConversion"/>
  </si>
  <si>
    <t>AYE</t>
    <phoneticPr fontId="2" type="noConversion"/>
  </si>
  <si>
    <t>10</t>
    <phoneticPr fontId="2" type="noConversion"/>
  </si>
  <si>
    <t>11</t>
    <phoneticPr fontId="2" type="noConversion"/>
  </si>
  <si>
    <t>LATCH PLATE</t>
    <phoneticPr fontId="2" type="noConversion"/>
  </si>
  <si>
    <t>KR6426-L01WA</t>
    <phoneticPr fontId="2" type="noConversion"/>
  </si>
  <si>
    <t>N2588-HB-02A</t>
    <phoneticPr fontId="2" type="noConversion"/>
  </si>
  <si>
    <t>HICON</t>
    <phoneticPr fontId="2" type="noConversion"/>
  </si>
  <si>
    <t>13</t>
    <phoneticPr fontId="2" type="noConversion"/>
  </si>
  <si>
    <t>SAMPLE 진행 사항(21일)</t>
    <phoneticPr fontId="2" type="noConversion"/>
  </si>
  <si>
    <t>SGF2033</t>
    <phoneticPr fontId="2" type="noConversion"/>
  </si>
  <si>
    <t>LATCH/ROLLER</t>
    <phoneticPr fontId="2" type="noConversion"/>
  </si>
  <si>
    <t>KR6303-E05XX/ER01XX</t>
    <phoneticPr fontId="2" type="noConversion"/>
  </si>
  <si>
    <t>JD4901</t>
    <phoneticPr fontId="2" type="noConversion"/>
  </si>
  <si>
    <t>신작</t>
    <phoneticPr fontId="2" type="noConversion"/>
  </si>
  <si>
    <t>에젝타이상2회진행</t>
    <phoneticPr fontId="2" type="noConversion"/>
  </si>
  <si>
    <t>SLIDER</t>
    <phoneticPr fontId="2" type="noConversion"/>
  </si>
  <si>
    <t>KR6414-A291XX</t>
    <phoneticPr fontId="2" type="noConversion"/>
  </si>
  <si>
    <t>SGF2050</t>
    <phoneticPr fontId="2" type="noConversion"/>
  </si>
  <si>
    <t>수정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</si>
  <si>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</si>
  <si>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</si>
  <si>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2018년 08월 22일 일일생산현황</t>
    </r>
    <r>
      <rPr>
        <b/>
        <sz val="14"/>
        <color indexed="8"/>
        <rFont val="굴림체"/>
        <family val="3"/>
        <charset val="129"/>
      </rPr>
      <t>(23일(목) 08시 현재)</t>
    </r>
    <phoneticPr fontId="2" type="noConversion"/>
  </si>
  <si>
    <t>KR6426-F152WA</t>
    <phoneticPr fontId="2" type="noConversion"/>
  </si>
  <si>
    <t>SEPARATOR</t>
    <phoneticPr fontId="2" type="noConversion"/>
  </si>
  <si>
    <t>KR6421-A156AWA</t>
    <phoneticPr fontId="2" type="noConversion"/>
  </si>
  <si>
    <t>SGF2030 N/P</t>
    <phoneticPr fontId="2" type="noConversion"/>
  </si>
  <si>
    <t>Hinge block</t>
    <phoneticPr fontId="2" type="noConversion"/>
  </si>
  <si>
    <t>KR6421-M01ABA</t>
    <phoneticPr fontId="2" type="noConversion"/>
  </si>
  <si>
    <t>전일 ISSUE 사항(22일)</t>
    <phoneticPr fontId="2" type="noConversion"/>
  </si>
  <si>
    <t>KR6426-F152WA</t>
    <phoneticPr fontId="2" type="noConversion"/>
  </si>
  <si>
    <t>4</t>
    <phoneticPr fontId="2" type="noConversion"/>
  </si>
  <si>
    <t>LEAD GUIDE</t>
    <phoneticPr fontId="2" type="noConversion"/>
  </si>
  <si>
    <t>KR6426-A152WA</t>
    <phoneticPr fontId="2" type="noConversion"/>
  </si>
  <si>
    <t>FLOAT</t>
    <phoneticPr fontId="2" type="noConversion"/>
  </si>
  <si>
    <t>NP504-295-091#SP</t>
    <phoneticPr fontId="2" type="noConversion"/>
  </si>
  <si>
    <t>NP504-295-091#LB</t>
    <phoneticPr fontId="2" type="noConversion"/>
  </si>
  <si>
    <t>AYE</t>
    <phoneticPr fontId="2" type="noConversion"/>
  </si>
  <si>
    <t>5</t>
    <phoneticPr fontId="2" type="noConversion"/>
  </si>
  <si>
    <t>10</t>
    <phoneticPr fontId="2" type="noConversion"/>
  </si>
  <si>
    <t>KR6426-L01WA</t>
    <phoneticPr fontId="2" type="noConversion"/>
  </si>
  <si>
    <t>11</t>
    <phoneticPr fontId="2" type="noConversion"/>
  </si>
  <si>
    <t>LATCH PLATE</t>
    <phoneticPr fontId="2" type="noConversion"/>
  </si>
  <si>
    <t>LEAD IN</t>
    <phoneticPr fontId="2" type="noConversion"/>
  </si>
  <si>
    <t>KR6421-M01ABA</t>
    <phoneticPr fontId="2" type="noConversion"/>
  </si>
  <si>
    <t>12</t>
    <phoneticPr fontId="2" type="noConversion"/>
  </si>
  <si>
    <t>KR6421-A156AWA</t>
    <phoneticPr fontId="2" type="noConversion"/>
  </si>
  <si>
    <t>당일 진행 사항(23일)</t>
    <phoneticPr fontId="2" type="noConversion"/>
  </si>
  <si>
    <t>KR6421-B156AZB</t>
    <phoneticPr fontId="2" type="noConversion"/>
  </si>
  <si>
    <t>KR6426AS152CA</t>
    <phoneticPr fontId="2" type="noConversion"/>
  </si>
  <si>
    <t>7</t>
    <phoneticPr fontId="2" type="noConversion"/>
  </si>
  <si>
    <t>STOPPER</t>
    <phoneticPr fontId="2" type="noConversion"/>
  </si>
  <si>
    <t>KR6197-D475PA</t>
    <phoneticPr fontId="2" type="noConversion"/>
  </si>
  <si>
    <t>8</t>
    <phoneticPr fontId="2" type="noConversion"/>
  </si>
  <si>
    <t>KR6421-D156AZA</t>
    <phoneticPr fontId="2" type="noConversion"/>
  </si>
  <si>
    <t>KR6421-F1073AWA</t>
    <phoneticPr fontId="2" type="noConversion"/>
  </si>
  <si>
    <t>HB1208-10M3</t>
    <phoneticPr fontId="2" type="noConversion"/>
  </si>
  <si>
    <t>HICON</t>
    <phoneticPr fontId="2" type="noConversion"/>
  </si>
  <si>
    <t>13</t>
    <phoneticPr fontId="2" type="noConversion"/>
  </si>
  <si>
    <t>SAMPLE 진행 사항(22일)</t>
    <phoneticPr fontId="2" type="noConversion"/>
  </si>
  <si>
    <t>KR6426-A152WA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</si>
  <si>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</si>
  <si>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</si>
  <si>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2018년 08월 23일 일일생산현황</t>
    </r>
    <r>
      <rPr>
        <b/>
        <sz val="14"/>
        <color indexed="8"/>
        <rFont val="굴림체"/>
        <family val="3"/>
        <charset val="129"/>
      </rPr>
      <t>(24일(금) 08시 현재)</t>
    </r>
    <phoneticPr fontId="2" type="noConversion"/>
  </si>
  <si>
    <t>92-178V-AD949D</t>
    <phoneticPr fontId="2" type="noConversion"/>
  </si>
  <si>
    <t>전일 ISSUE 사항(23일)</t>
    <phoneticPr fontId="2" type="noConversion"/>
  </si>
  <si>
    <t>발주분양산-&gt;하측박힘</t>
    <phoneticPr fontId="2" type="noConversion"/>
  </si>
  <si>
    <t>발주분양산-&gt;뜯김3회수리</t>
    <phoneticPr fontId="2" type="noConversion"/>
  </si>
  <si>
    <t>당일 진행 사항(24일)</t>
    <phoneticPr fontId="2" type="noConversion"/>
  </si>
  <si>
    <t>KR6421-H156AZA</t>
    <phoneticPr fontId="2" type="noConversion"/>
  </si>
  <si>
    <t>AMB0401A-KAA-R1</t>
    <phoneticPr fontId="2" type="noConversion"/>
  </si>
  <si>
    <t>SAMPLE 진행 사항(23일)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</si>
  <si>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</si>
  <si>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</si>
  <si>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2018년 08월 24일 일일생산현황</t>
    </r>
    <r>
      <rPr>
        <b/>
        <sz val="14"/>
        <color indexed="8"/>
        <rFont val="굴림체"/>
        <family val="3"/>
        <charset val="129"/>
      </rPr>
      <t>(25일(토) 08시 현재)</t>
    </r>
    <phoneticPr fontId="2" type="noConversion"/>
  </si>
  <si>
    <t>재고</t>
    <phoneticPr fontId="2" type="noConversion"/>
  </si>
  <si>
    <t>전일 ISSUE 사항(24일)</t>
    <phoneticPr fontId="2" type="noConversion"/>
  </si>
  <si>
    <t>발주분양산-&gt;뜯김2회수리</t>
    <phoneticPr fontId="2" type="noConversion"/>
  </si>
  <si>
    <t>수리후양산-&gt;1C파손</t>
    <phoneticPr fontId="2" type="noConversion"/>
  </si>
  <si>
    <t>당일 진행 사항(25일)</t>
    <phoneticPr fontId="2" type="noConversion"/>
  </si>
  <si>
    <t>SAMPLE 진행 사항(24일)</t>
    <phoneticPr fontId="2" type="noConversion"/>
  </si>
  <si>
    <t>BLOCK</t>
    <phoneticPr fontId="2" type="noConversion"/>
  </si>
  <si>
    <t>AMB07R5A-KAA-R1</t>
    <phoneticPr fontId="2" type="noConversion"/>
  </si>
  <si>
    <t>288C84A-B101C</t>
    <phoneticPr fontId="2" type="noConversion"/>
  </si>
  <si>
    <t>BLUE</t>
    <phoneticPr fontId="2" type="noConversion"/>
  </si>
  <si>
    <t>설비고장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</si>
  <si>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</si>
  <si>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</si>
  <si>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t>사출안됨</t>
    <phoneticPr fontId="2" type="noConversion"/>
  </si>
  <si>
    <t>스크류 베어링 마모</t>
    <phoneticPr fontId="2" type="noConversion"/>
  </si>
  <si>
    <t>엥겔</t>
    <phoneticPr fontId="2" type="noConversion"/>
  </si>
  <si>
    <t>견적진행</t>
    <phoneticPr fontId="2" type="noConversion"/>
  </si>
  <si>
    <r>
      <t>2018년 08월 25일(주간) 일일생산현황</t>
    </r>
    <r>
      <rPr>
        <b/>
        <sz val="14"/>
        <color indexed="8"/>
        <rFont val="굴림체"/>
        <family val="3"/>
        <charset val="129"/>
      </rPr>
      <t>(27일(월) 08시 현재)</t>
    </r>
    <phoneticPr fontId="2" type="noConversion"/>
  </si>
  <si>
    <t>전일 ISSUE 사항(25일)</t>
    <phoneticPr fontId="2" type="noConversion"/>
  </si>
  <si>
    <t>당일 진행 사항(27일)</t>
    <phoneticPr fontId="2" type="noConversion"/>
  </si>
  <si>
    <t>HSB05-M004B1(증)</t>
    <phoneticPr fontId="2" type="noConversion"/>
  </si>
  <si>
    <t>HSB05-M005B1(증)</t>
    <phoneticPr fontId="2" type="noConversion"/>
  </si>
  <si>
    <t>HSB05-M001B1(증)</t>
    <phoneticPr fontId="2" type="noConversion"/>
  </si>
  <si>
    <t>HSB05-M002B1-09BI</t>
    <phoneticPr fontId="2" type="noConversion"/>
  </si>
  <si>
    <t>SAMPLE 진행 사항(25일)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</si>
  <si>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</si>
  <si>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</si>
  <si>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2018년 08월 27일 일일생산현황</t>
    </r>
    <r>
      <rPr>
        <b/>
        <sz val="14"/>
        <color indexed="8"/>
        <rFont val="굴림체"/>
        <family val="3"/>
        <charset val="129"/>
      </rPr>
      <t>(28일(화) 08시 현재)</t>
    </r>
    <phoneticPr fontId="2" type="noConversion"/>
  </si>
  <si>
    <t>HSB05-M002B1-09BI(증)</t>
    <phoneticPr fontId="2" type="noConversion"/>
  </si>
  <si>
    <t>SGF2041 N/P</t>
    <phoneticPr fontId="2" type="noConversion"/>
  </si>
  <si>
    <t>HSF05-M04B1</t>
    <phoneticPr fontId="2" type="noConversion"/>
  </si>
  <si>
    <t>전일 ISSUE 사항(27일)</t>
    <phoneticPr fontId="2" type="noConversion"/>
  </si>
  <si>
    <t>HSB05-M004B1</t>
    <phoneticPr fontId="2" type="noConversion"/>
  </si>
  <si>
    <t>HSB05-M005B1</t>
    <phoneticPr fontId="2" type="noConversion"/>
  </si>
  <si>
    <t>HSB05-M001B1</t>
    <phoneticPr fontId="2" type="noConversion"/>
  </si>
  <si>
    <t>세척후양산-&gt;1C파손양산</t>
    <phoneticPr fontId="2" type="noConversion"/>
  </si>
  <si>
    <t>KR6421-H156CA</t>
    <phoneticPr fontId="2" type="noConversion"/>
  </si>
  <si>
    <t>대치분양산-&gt;BURR정지</t>
    <phoneticPr fontId="2" type="noConversion"/>
  </si>
  <si>
    <t>당일 진행 사항(28일)</t>
    <phoneticPr fontId="2" type="noConversion"/>
  </si>
  <si>
    <t>SAMPLE 진행 사항(27일)</t>
    <phoneticPr fontId="2" type="noConversion"/>
  </si>
  <si>
    <t>HSB05-M002B1-09BI(증작)</t>
    <phoneticPr fontId="2" type="noConversion"/>
  </si>
  <si>
    <t>검토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</si>
  <si>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</si>
  <si>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</si>
  <si>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2018년 08월 28일 일일생산현황</t>
    </r>
    <r>
      <rPr>
        <b/>
        <sz val="14"/>
        <color indexed="8"/>
        <rFont val="굴림체"/>
        <family val="3"/>
        <charset val="129"/>
      </rPr>
      <t>(29일(수) 08시 현재)</t>
    </r>
    <phoneticPr fontId="2" type="noConversion"/>
  </si>
  <si>
    <t>테라</t>
    <phoneticPr fontId="2" type="noConversion"/>
  </si>
  <si>
    <t>LEVER</t>
    <phoneticPr fontId="2" type="noConversion"/>
  </si>
  <si>
    <t>LV006</t>
    <phoneticPr fontId="2" type="noConversion"/>
  </si>
  <si>
    <t>전일 ISSUE 사항(28일)</t>
    <phoneticPr fontId="2" type="noConversion"/>
  </si>
  <si>
    <t>불량대치분양산</t>
    <phoneticPr fontId="2" type="noConversion"/>
  </si>
  <si>
    <t>오조립수리후양산</t>
    <phoneticPr fontId="2" type="noConversion"/>
  </si>
  <si>
    <t>당일 진행 사항(29일)</t>
    <phoneticPr fontId="2" type="noConversion"/>
  </si>
  <si>
    <t>CB001</t>
    <phoneticPr fontId="2" type="noConversion"/>
  </si>
  <si>
    <t>DETECTOR(홀더)</t>
    <phoneticPr fontId="2" type="noConversion"/>
  </si>
  <si>
    <t>TMSP</t>
    <phoneticPr fontId="2" type="noConversion"/>
  </si>
  <si>
    <t>HSF05-M01B1</t>
    <phoneticPr fontId="2" type="noConversion"/>
  </si>
  <si>
    <t>SAMPLE 진행 사항(28일)</t>
    <phoneticPr fontId="2" type="noConversion"/>
  </si>
  <si>
    <t>KR6422AA496YA</t>
    <phoneticPr fontId="2" type="noConversion"/>
  </si>
  <si>
    <t>NP504-556-126#LB-1</t>
    <phoneticPr fontId="2" type="noConversion"/>
  </si>
  <si>
    <t>KR6422-GB496QA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</si>
  <si>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</si>
  <si>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</si>
  <si>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2018년 08월 29일 일일생산현황</t>
    </r>
    <r>
      <rPr>
        <b/>
        <sz val="14"/>
        <color indexed="8"/>
        <rFont val="굴림체"/>
        <family val="3"/>
        <charset val="129"/>
      </rPr>
      <t>(30일(목) 08시 현재)</t>
    </r>
    <phoneticPr fontId="2" type="noConversion"/>
  </si>
  <si>
    <t>KR6414-A291YA</t>
    <phoneticPr fontId="2" type="noConversion"/>
  </si>
  <si>
    <t>DETECTOR</t>
    <phoneticPr fontId="2" type="noConversion"/>
  </si>
  <si>
    <t>AMB0160A-KAA-R1</t>
    <phoneticPr fontId="2" type="noConversion"/>
  </si>
  <si>
    <t>전일 ISSUE 사항(29일)</t>
    <phoneticPr fontId="2" type="noConversion"/>
  </si>
  <si>
    <t>미성형정지</t>
    <phoneticPr fontId="2" type="noConversion"/>
  </si>
  <si>
    <t>하측박힘수리-&gt;하측박힘정지</t>
    <phoneticPr fontId="2" type="noConversion"/>
  </si>
  <si>
    <t>당일 진행 사항(30일)</t>
    <phoneticPr fontId="2" type="noConversion"/>
  </si>
  <si>
    <t>SAMPLE 진행 사항(29일)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</si>
  <si>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</si>
  <si>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</si>
  <si>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2018년 08월 30일 일일생산현황</t>
    </r>
    <r>
      <rPr>
        <b/>
        <sz val="14"/>
        <color indexed="8"/>
        <rFont val="굴림체"/>
        <family val="3"/>
        <charset val="129"/>
      </rPr>
      <t>(31일(금) 08시 현재)</t>
    </r>
    <phoneticPr fontId="2" type="noConversion"/>
  </si>
  <si>
    <t>HINGE</t>
    <phoneticPr fontId="2" type="noConversion"/>
  </si>
  <si>
    <t>전일 ISSUE 사항(30일)</t>
    <phoneticPr fontId="2" type="noConversion"/>
  </si>
  <si>
    <t>수정후양산</t>
    <phoneticPr fontId="2" type="noConversion"/>
  </si>
  <si>
    <t>세척후양산-&gt;코아파손정지</t>
    <phoneticPr fontId="2" type="noConversion"/>
  </si>
  <si>
    <t>당일 진행 사항(31일)</t>
    <phoneticPr fontId="2" type="noConversion"/>
  </si>
  <si>
    <t>미성형재양산</t>
    <phoneticPr fontId="2" type="noConversion"/>
  </si>
  <si>
    <t>KR6422-A556YA</t>
    <phoneticPr fontId="2" type="noConversion"/>
  </si>
  <si>
    <t>SAMPLE 진행 사항(30일)</t>
    <phoneticPr fontId="2" type="noConversion"/>
  </si>
  <si>
    <t>AMB07J1B-KAA-R1</t>
    <phoneticPr fontId="2" type="noConversion"/>
  </si>
  <si>
    <t>옵션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</si>
  <si>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</si>
  <si>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</si>
  <si>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2018년 08월 31일 일일생산현황</t>
    </r>
    <r>
      <rPr>
        <b/>
        <sz val="14"/>
        <color indexed="8"/>
        <rFont val="굴림체"/>
        <family val="3"/>
        <charset val="129"/>
      </rPr>
      <t>(01일(토) 08시 현재)</t>
    </r>
    <phoneticPr fontId="2" type="noConversion"/>
  </si>
  <si>
    <t>AMB1922A-KAA-R1</t>
    <phoneticPr fontId="2" type="noConversion"/>
  </si>
  <si>
    <t>전일 ISSUE 사항(31일)</t>
    <phoneticPr fontId="2" type="noConversion"/>
  </si>
  <si>
    <t>밀핀파손정지</t>
    <phoneticPr fontId="2" type="noConversion"/>
  </si>
  <si>
    <t>미성형확인양산</t>
    <phoneticPr fontId="2" type="noConversion"/>
  </si>
  <si>
    <t>발주분양산-&gt;코아파손2회정지</t>
    <phoneticPr fontId="2" type="noConversion"/>
  </si>
  <si>
    <t>당일 진행 사항(01일)</t>
    <phoneticPr fontId="2" type="noConversion"/>
  </si>
  <si>
    <t>SAMPLE 진행 사항(31일)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</si>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</sst>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1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49" fontId="13" fillId="0" borderId="20" xfId="2" applyNumberFormat="1" applyFont="1" applyBorder="1" applyAlignment="1">
      <alignment horizontal="left" vertical="center" shrinkToFit="1"/>
    </xf>
    <xf numFmtId="49" fontId="13" fillId="0" borderId="30" xfId="2" applyNumberFormat="1" applyFont="1" applyBorder="1" applyAlignment="1">
      <alignment horizontal="left" vertical="center" shrinkToFit="1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1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08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08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0.30238747729929399</c:v>
                </c:pt>
                <c:pt idx="3">
                  <c:v>0.2811244185616838</c:v>
                </c:pt>
                <c:pt idx="4">
                  <c:v>0.39372479011599232</c:v>
                </c:pt>
                <c:pt idx="5">
                  <c:v>0.28612185312559818</c:v>
                </c:pt>
                <c:pt idx="6">
                  <c:v>0.54875665038815014</c:v>
                </c:pt>
                <c:pt idx="7">
                  <c:v>0.52655072023539951</c:v>
                </c:pt>
                <c:pt idx="8">
                  <c:v>3.2258064516129031E-2</c:v>
                </c:pt>
                <c:pt idx="9">
                  <c:v>8.4672573722829853E-2</c:v>
                </c:pt>
                <c:pt idx="10">
                  <c:v>0.13972130736514102</c:v>
                </c:pt>
                <c:pt idx="11">
                  <c:v>0.10311970533299283</c:v>
                </c:pt>
                <c:pt idx="12">
                  <c:v>0.51839347438743755</c:v>
                </c:pt>
                <c:pt idx="13">
                  <c:v>0.19078576393571495</c:v>
                </c:pt>
                <c:pt idx="14">
                  <c:v>0.46368319007206649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'01'!$D$6:$D$22</c:f>
              <c:strCache>
                <c:ptCount val="16"/>
                <c:pt idx="2">
                  <c:v>SLIDER</c:v>
                </c:pt>
                <c:pt idx="3">
                  <c:v>SPACER</c:v>
                </c:pt>
                <c:pt idx="4">
                  <c:v>790 F</c:v>
                </c:pt>
                <c:pt idx="5">
                  <c:v>LEAD GUIDE</c:v>
                </c:pt>
                <c:pt idx="6">
                  <c:v>ADAPTER</c:v>
                </c:pt>
                <c:pt idx="7">
                  <c:v>F/ADAPTER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'01'!$L$6:$L$22</c:f>
              <c:numCache>
                <c:formatCode>_(* #,##0_);_(* \(#,##0\);_(* "-"_);_(@_)</c:formatCode>
                <c:ptCount val="17"/>
                <c:pt idx="2">
                  <c:v>5281</c:v>
                </c:pt>
                <c:pt idx="3">
                  <c:v>772</c:v>
                </c:pt>
                <c:pt idx="4">
                  <c:v>4015</c:v>
                </c:pt>
                <c:pt idx="5">
                  <c:v>5452</c:v>
                </c:pt>
                <c:pt idx="6">
                  <c:v>1720</c:v>
                </c:pt>
                <c:pt idx="7">
                  <c:v>397</c:v>
                </c:pt>
                <c:pt idx="8">
                  <c:v>5357</c:v>
                </c:pt>
                <c:pt idx="9">
                  <c:v>3636</c:v>
                </c:pt>
                <c:pt idx="14">
                  <c:v>3145</c:v>
                </c:pt>
                <c:pt idx="16">
                  <c:v>51820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3-4EBF-B0A2-7D5D1F2BD393}"/>
            </c:ext>
          </c:extLst>
        </c:ser>
        <c:ser>
          <c:idx val="1"/>
          <c:order val="1"/>
          <c:tx>
            <c:v>계획</c:v>
          </c:tx>
          <c:cat>
            <c:strRef>
              <c:f>'01'!$D$6:$D$22</c:f>
              <c:strCache>
                <c:ptCount val="16"/>
                <c:pt idx="2">
                  <c:v>SLIDER</c:v>
                </c:pt>
                <c:pt idx="3">
                  <c:v>SPACER</c:v>
                </c:pt>
                <c:pt idx="4">
                  <c:v>790 F</c:v>
                </c:pt>
                <c:pt idx="5">
                  <c:v>LEAD GUIDE</c:v>
                </c:pt>
                <c:pt idx="6">
                  <c:v>ADAPTER</c:v>
                </c:pt>
                <c:pt idx="7">
                  <c:v>F/ADAPTER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'01'!$J$6:$J$22</c:f>
              <c:numCache>
                <c:formatCode>_(* #,##0_);_(* \(#,##0\);_(* "-"_);_(@_)</c:formatCode>
                <c:ptCount val="17"/>
                <c:pt idx="0">
                  <c:v>36840</c:v>
                </c:pt>
                <c:pt idx="1">
                  <c:v>800</c:v>
                </c:pt>
                <c:pt idx="2">
                  <c:v>5281</c:v>
                </c:pt>
                <c:pt idx="3">
                  <c:v>772</c:v>
                </c:pt>
                <c:pt idx="4">
                  <c:v>4015</c:v>
                </c:pt>
                <c:pt idx="5">
                  <c:v>5452</c:v>
                </c:pt>
                <c:pt idx="6">
                  <c:v>1720</c:v>
                </c:pt>
                <c:pt idx="7">
                  <c:v>400</c:v>
                </c:pt>
                <c:pt idx="8">
                  <c:v>5360</c:v>
                </c:pt>
                <c:pt idx="9">
                  <c:v>3640</c:v>
                </c:pt>
                <c:pt idx="10">
                  <c:v>280</c:v>
                </c:pt>
                <c:pt idx="11">
                  <c:v>1430</c:v>
                </c:pt>
                <c:pt idx="12">
                  <c:v>4150</c:v>
                </c:pt>
                <c:pt idx="13">
                  <c:v>3960</c:v>
                </c:pt>
                <c:pt idx="14">
                  <c:v>3150</c:v>
                </c:pt>
                <c:pt idx="15">
                  <c:v>5440</c:v>
                </c:pt>
                <c:pt idx="16">
                  <c:v>51820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D3-4EBF-B0A2-7D5D1F2BD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872448"/>
        <c:axId val="350705856"/>
      </c:lineChart>
      <c:catAx>
        <c:axId val="16087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0705856"/>
        <c:crosses val="autoZero"/>
        <c:auto val="1"/>
        <c:lblAlgn val="ctr"/>
        <c:lblOffset val="100"/>
        <c:noMultiLvlLbl val="0"/>
      </c:catAx>
      <c:valAx>
        <c:axId val="3507058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60872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21%</c:v>
                </c:pt>
                <c:pt idx="4">
                  <c:v>67%</c:v>
                </c:pt>
                <c:pt idx="5">
                  <c:v>100%</c:v>
                </c:pt>
                <c:pt idx="6">
                  <c:v>21%</c:v>
                </c:pt>
                <c:pt idx="7">
                  <c:v>17%</c:v>
                </c:pt>
                <c:pt idx="8">
                  <c:v>100%</c:v>
                </c:pt>
                <c:pt idx="9">
                  <c:v>83%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79%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2">
                  <c:v>SLIDER</c:v>
                </c:pt>
                <c:pt idx="3">
                  <c:v>SPACER</c:v>
                </c:pt>
                <c:pt idx="4">
                  <c:v>790 F</c:v>
                </c:pt>
                <c:pt idx="5">
                  <c:v>LEAD GUIDE</c:v>
                </c:pt>
                <c:pt idx="6">
                  <c:v>ADAPTER</c:v>
                </c:pt>
                <c:pt idx="7">
                  <c:v>F/ADAPTER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'01'!$AD$6:$AD$22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0.20833333333333334</c:v>
                </c:pt>
                <c:pt idx="4">
                  <c:v>0.66666666666666663</c:v>
                </c:pt>
                <c:pt idx="5">
                  <c:v>1</c:v>
                </c:pt>
                <c:pt idx="6">
                  <c:v>0.20833333333333334</c:v>
                </c:pt>
                <c:pt idx="7">
                  <c:v>0.16541666666666666</c:v>
                </c:pt>
                <c:pt idx="8">
                  <c:v>0.99944029850746263</c:v>
                </c:pt>
                <c:pt idx="9">
                  <c:v>0.83241758241758246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0.79041005291005284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6-4D2C-B400-B040C1875F8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36-4D2C-B400-B040C1875F8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2">
                  <c:v>SLIDER</c:v>
                </c:pt>
                <c:pt idx="3">
                  <c:v>SPACER</c:v>
                </c:pt>
                <c:pt idx="4">
                  <c:v>790 F</c:v>
                </c:pt>
                <c:pt idx="5">
                  <c:v>LEAD GUIDE</c:v>
                </c:pt>
                <c:pt idx="6">
                  <c:v>ADAPTER</c:v>
                </c:pt>
                <c:pt idx="7">
                  <c:v>F/ADAPTER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'01'!$AE$6:$AE$22</c:f>
              <c:numCache>
                <c:formatCode>0%</c:formatCode>
                <c:ptCount val="17"/>
                <c:pt idx="0">
                  <c:v>0.4580678622556732</c:v>
                </c:pt>
                <c:pt idx="1">
                  <c:v>0.4580678622556732</c:v>
                </c:pt>
                <c:pt idx="2">
                  <c:v>0.4580678622556732</c:v>
                </c:pt>
                <c:pt idx="3">
                  <c:v>0.4580678622556732</c:v>
                </c:pt>
                <c:pt idx="4">
                  <c:v>0.4580678622556732</c:v>
                </c:pt>
                <c:pt idx="5">
                  <c:v>0.4580678622556732</c:v>
                </c:pt>
                <c:pt idx="6">
                  <c:v>0.4580678622556732</c:v>
                </c:pt>
                <c:pt idx="7">
                  <c:v>0.4580678622556732</c:v>
                </c:pt>
                <c:pt idx="8">
                  <c:v>0.4580678622556732</c:v>
                </c:pt>
                <c:pt idx="9">
                  <c:v>0.4580678622556732</c:v>
                </c:pt>
                <c:pt idx="10">
                  <c:v>0.4580678622556732</c:v>
                </c:pt>
                <c:pt idx="11">
                  <c:v>0.4580678622556732</c:v>
                </c:pt>
                <c:pt idx="12">
                  <c:v>0.4580678622556732</c:v>
                </c:pt>
                <c:pt idx="13">
                  <c:v>0.4580678622556732</c:v>
                </c:pt>
                <c:pt idx="14">
                  <c:v>0.4580678622556732</c:v>
                </c:pt>
                <c:pt idx="15">
                  <c:v>0.4580678622556732</c:v>
                </c:pt>
                <c:pt idx="16">
                  <c:v>0.4580678622556732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36-4D2C-B400-B040C1875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873984"/>
        <c:axId val="379143872"/>
      </c:lineChart>
      <c:catAx>
        <c:axId val="16087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9143872"/>
        <c:crosses val="autoZero"/>
        <c:auto val="1"/>
        <c:lblAlgn val="ctr"/>
        <c:lblOffset val="100"/>
        <c:noMultiLvlLbl val="0"/>
      </c:catAx>
      <c:valAx>
        <c:axId val="3791438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60873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'01'!$D$6:$D$22</c:f>
              <c:strCache>
                <c:ptCount val="16"/>
                <c:pt idx="2">
                  <c:v>SLIDER</c:v>
                </c:pt>
                <c:pt idx="3">
                  <c:v>SPACER</c:v>
                </c:pt>
                <c:pt idx="4">
                  <c:v>790 F</c:v>
                </c:pt>
                <c:pt idx="5">
                  <c:v>LEAD GUIDE</c:v>
                </c:pt>
                <c:pt idx="6">
                  <c:v>ADAPTER</c:v>
                </c:pt>
                <c:pt idx="7">
                  <c:v>F/ADAPTER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'01'!$L$6:$L$22</c:f>
              <c:numCache>
                <c:formatCode>_(* #,##0_);_(* \(#,##0\);_(* "-"_);_(@_)</c:formatCode>
                <c:ptCount val="17"/>
                <c:pt idx="2">
                  <c:v>5281</c:v>
                </c:pt>
                <c:pt idx="3">
                  <c:v>772</c:v>
                </c:pt>
                <c:pt idx="4">
                  <c:v>4015</c:v>
                </c:pt>
                <c:pt idx="5">
                  <c:v>5452</c:v>
                </c:pt>
                <c:pt idx="6">
                  <c:v>1720</c:v>
                </c:pt>
                <c:pt idx="7">
                  <c:v>397</c:v>
                </c:pt>
                <c:pt idx="8">
                  <c:v>5357</c:v>
                </c:pt>
                <c:pt idx="9">
                  <c:v>3636</c:v>
                </c:pt>
                <c:pt idx="14">
                  <c:v>3145</c:v>
                </c:pt>
                <c:pt idx="16">
                  <c:v>51820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2-4E5E-8FA6-23BFD8976EB5}"/>
            </c:ext>
          </c:extLst>
        </c:ser>
        <c:ser>
          <c:idx val="1"/>
          <c:order val="1"/>
          <c:tx>
            <c:v>계획</c:v>
          </c:tx>
          <c:cat>
            <c:strRef>
              <c:f>'01'!$D$6:$D$22</c:f>
              <c:strCache>
                <c:ptCount val="16"/>
                <c:pt idx="2">
                  <c:v>SLIDER</c:v>
                </c:pt>
                <c:pt idx="3">
                  <c:v>SPACER</c:v>
                </c:pt>
                <c:pt idx="4">
                  <c:v>790 F</c:v>
                </c:pt>
                <c:pt idx="5">
                  <c:v>LEAD GUIDE</c:v>
                </c:pt>
                <c:pt idx="6">
                  <c:v>ADAPTER</c:v>
                </c:pt>
                <c:pt idx="7">
                  <c:v>F/ADAPTER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'01'!$J$6:$J$22</c:f>
              <c:numCache>
                <c:formatCode>_(* #,##0_);_(* \(#,##0\);_(* "-"_);_(@_)</c:formatCode>
                <c:ptCount val="17"/>
                <c:pt idx="0">
                  <c:v>36840</c:v>
                </c:pt>
                <c:pt idx="1">
                  <c:v>800</c:v>
                </c:pt>
                <c:pt idx="2">
                  <c:v>5281</c:v>
                </c:pt>
                <c:pt idx="3">
                  <c:v>772</c:v>
                </c:pt>
                <c:pt idx="4">
                  <c:v>4015</c:v>
                </c:pt>
                <c:pt idx="5">
                  <c:v>5452</c:v>
                </c:pt>
                <c:pt idx="6">
                  <c:v>1720</c:v>
                </c:pt>
                <c:pt idx="7">
                  <c:v>400</c:v>
                </c:pt>
                <c:pt idx="8">
                  <c:v>5360</c:v>
                </c:pt>
                <c:pt idx="9">
                  <c:v>3640</c:v>
                </c:pt>
                <c:pt idx="10">
                  <c:v>280</c:v>
                </c:pt>
                <c:pt idx="11">
                  <c:v>1430</c:v>
                </c:pt>
                <c:pt idx="12">
                  <c:v>4150</c:v>
                </c:pt>
                <c:pt idx="13">
                  <c:v>3960</c:v>
                </c:pt>
                <c:pt idx="14">
                  <c:v>3150</c:v>
                </c:pt>
                <c:pt idx="15">
                  <c:v>5440</c:v>
                </c:pt>
                <c:pt idx="16">
                  <c:v>51820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42-4E5E-8FA6-23BFD8976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050624"/>
        <c:axId val="379147328"/>
      </c:lineChart>
      <c:catAx>
        <c:axId val="161050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9147328"/>
        <c:crosses val="autoZero"/>
        <c:auto val="1"/>
        <c:lblAlgn val="ctr"/>
        <c:lblOffset val="100"/>
        <c:noMultiLvlLbl val="0"/>
      </c:catAx>
      <c:valAx>
        <c:axId val="37914732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61050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21%</c:v>
                </c:pt>
                <c:pt idx="4">
                  <c:v>67%</c:v>
                </c:pt>
                <c:pt idx="5">
                  <c:v>100%</c:v>
                </c:pt>
                <c:pt idx="6">
                  <c:v>21%</c:v>
                </c:pt>
                <c:pt idx="7">
                  <c:v>17%</c:v>
                </c:pt>
                <c:pt idx="8">
                  <c:v>100%</c:v>
                </c:pt>
                <c:pt idx="9">
                  <c:v>83%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79%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2">
                  <c:v>SLIDER</c:v>
                </c:pt>
                <c:pt idx="3">
                  <c:v>SPACER</c:v>
                </c:pt>
                <c:pt idx="4">
                  <c:v>790 F</c:v>
                </c:pt>
                <c:pt idx="5">
                  <c:v>LEAD GUIDE</c:v>
                </c:pt>
                <c:pt idx="6">
                  <c:v>ADAPTER</c:v>
                </c:pt>
                <c:pt idx="7">
                  <c:v>F/ADAPTER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'01'!$AD$6:$AD$22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0.20833333333333334</c:v>
                </c:pt>
                <c:pt idx="4">
                  <c:v>0.66666666666666663</c:v>
                </c:pt>
                <c:pt idx="5">
                  <c:v>1</c:v>
                </c:pt>
                <c:pt idx="6">
                  <c:v>0.20833333333333334</c:v>
                </c:pt>
                <c:pt idx="7">
                  <c:v>0.16541666666666666</c:v>
                </c:pt>
                <c:pt idx="8">
                  <c:v>0.99944029850746263</c:v>
                </c:pt>
                <c:pt idx="9">
                  <c:v>0.83241758241758246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0.79041005291005284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2-4F30-926E-72A306397F8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B2-4F30-926E-72A306397F8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2">
                  <c:v>SLIDER</c:v>
                </c:pt>
                <c:pt idx="3">
                  <c:v>SPACER</c:v>
                </c:pt>
                <c:pt idx="4">
                  <c:v>790 F</c:v>
                </c:pt>
                <c:pt idx="5">
                  <c:v>LEAD GUIDE</c:v>
                </c:pt>
                <c:pt idx="6">
                  <c:v>ADAPTER</c:v>
                </c:pt>
                <c:pt idx="7">
                  <c:v>F/ADAPTER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'01'!$AE$6:$AE$22</c:f>
              <c:numCache>
                <c:formatCode>0%</c:formatCode>
                <c:ptCount val="17"/>
                <c:pt idx="0">
                  <c:v>0.4580678622556732</c:v>
                </c:pt>
                <c:pt idx="1">
                  <c:v>0.4580678622556732</c:v>
                </c:pt>
                <c:pt idx="2">
                  <c:v>0.4580678622556732</c:v>
                </c:pt>
                <c:pt idx="3">
                  <c:v>0.4580678622556732</c:v>
                </c:pt>
                <c:pt idx="4">
                  <c:v>0.4580678622556732</c:v>
                </c:pt>
                <c:pt idx="5">
                  <c:v>0.4580678622556732</c:v>
                </c:pt>
                <c:pt idx="6">
                  <c:v>0.4580678622556732</c:v>
                </c:pt>
                <c:pt idx="7">
                  <c:v>0.4580678622556732</c:v>
                </c:pt>
                <c:pt idx="8">
                  <c:v>0.4580678622556732</c:v>
                </c:pt>
                <c:pt idx="9">
                  <c:v>0.4580678622556732</c:v>
                </c:pt>
                <c:pt idx="10">
                  <c:v>0.4580678622556732</c:v>
                </c:pt>
                <c:pt idx="11">
                  <c:v>0.4580678622556732</c:v>
                </c:pt>
                <c:pt idx="12">
                  <c:v>0.4580678622556732</c:v>
                </c:pt>
                <c:pt idx="13">
                  <c:v>0.4580678622556732</c:v>
                </c:pt>
                <c:pt idx="14">
                  <c:v>0.4580678622556732</c:v>
                </c:pt>
                <c:pt idx="15">
                  <c:v>0.4580678622556732</c:v>
                </c:pt>
                <c:pt idx="16">
                  <c:v>0.4580678622556732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B2-4F30-926E-72A306397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051648"/>
        <c:axId val="379642432"/>
      </c:lineChart>
      <c:catAx>
        <c:axId val="16105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9642432"/>
        <c:crosses val="autoZero"/>
        <c:auto val="1"/>
        <c:lblAlgn val="ctr"/>
        <c:lblOffset val="100"/>
        <c:noMultiLvlLbl val="0"/>
      </c:catAx>
      <c:valAx>
        <c:axId val="3796424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61051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E1C-4A9F-8F2E-1009D4A044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1C-4A9F-8F2E-1009D4A04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052672"/>
        <c:axId val="37964473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1C-4A9F-8F2E-1009D4A0447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1C-4A9F-8F2E-1009D4A04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052672"/>
        <c:axId val="379644736"/>
      </c:lineChart>
      <c:catAx>
        <c:axId val="161052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9644736"/>
        <c:crosses val="autoZero"/>
        <c:auto val="1"/>
        <c:lblAlgn val="ctr"/>
        <c:lblOffset val="100"/>
        <c:noMultiLvlLbl val="0"/>
      </c:catAx>
      <c:valAx>
        <c:axId val="3796447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105267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'02'!$D$6:$D$23</c:f>
              <c:strCache>
                <c:ptCount val="17"/>
                <c:pt idx="2">
                  <c:v>SLIDER</c:v>
                </c:pt>
                <c:pt idx="3">
                  <c:v>ROLLER</c:v>
                </c:pt>
                <c:pt idx="4">
                  <c:v>790 F</c:v>
                </c:pt>
                <c:pt idx="5">
                  <c:v>LEAD GUIDE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'02'!$L$6:$L$23</c:f>
              <c:numCache>
                <c:formatCode>_(* #,##0_);_(* \(#,##0\);_(* "-"_);_(@_)</c:formatCode>
                <c:ptCount val="18"/>
                <c:pt idx="2">
                  <c:v>2508</c:v>
                </c:pt>
                <c:pt idx="3">
                  <c:v>5316</c:v>
                </c:pt>
                <c:pt idx="4">
                  <c:v>946</c:v>
                </c:pt>
                <c:pt idx="5">
                  <c:v>334</c:v>
                </c:pt>
                <c:pt idx="6">
                  <c:v>4678</c:v>
                </c:pt>
                <c:pt idx="8">
                  <c:v>5330</c:v>
                </c:pt>
                <c:pt idx="9">
                  <c:v>3996</c:v>
                </c:pt>
                <c:pt idx="14">
                  <c:v>2805</c:v>
                </c:pt>
                <c:pt idx="15">
                  <c:v>386</c:v>
                </c:pt>
                <c:pt idx="16">
                  <c:v>2802</c:v>
                </c:pt>
                <c:pt idx="17">
                  <c:v>33188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4-476A-812F-52F8DDF83857}"/>
            </c:ext>
          </c:extLst>
        </c:ser>
        <c:ser>
          <c:idx val="1"/>
          <c:order val="1"/>
          <c:tx>
            <c:v>계획</c:v>
          </c:tx>
          <c:cat>
            <c:strRef>
              <c:f>'02'!$D$6:$D$23</c:f>
              <c:strCache>
                <c:ptCount val="17"/>
                <c:pt idx="2">
                  <c:v>SLIDER</c:v>
                </c:pt>
                <c:pt idx="3">
                  <c:v>ROLLER</c:v>
                </c:pt>
                <c:pt idx="4">
                  <c:v>790 F</c:v>
                </c:pt>
                <c:pt idx="5">
                  <c:v>LEAD GUIDE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'02'!$J$6:$J$23</c:f>
              <c:numCache>
                <c:formatCode>_(* #,##0_);_(* \(#,##0\);_(* "-"_);_(@_)</c:formatCode>
                <c:ptCount val="18"/>
                <c:pt idx="0">
                  <c:v>36840</c:v>
                </c:pt>
                <c:pt idx="1">
                  <c:v>800</c:v>
                </c:pt>
                <c:pt idx="2">
                  <c:v>2510</c:v>
                </c:pt>
                <c:pt idx="3">
                  <c:v>5320</c:v>
                </c:pt>
                <c:pt idx="4">
                  <c:v>4015</c:v>
                </c:pt>
                <c:pt idx="5">
                  <c:v>334</c:v>
                </c:pt>
                <c:pt idx="6">
                  <c:v>4680</c:v>
                </c:pt>
                <c:pt idx="7">
                  <c:v>1720</c:v>
                </c:pt>
                <c:pt idx="8">
                  <c:v>5330</c:v>
                </c:pt>
                <c:pt idx="9">
                  <c:v>4000</c:v>
                </c:pt>
                <c:pt idx="10">
                  <c:v>280</c:v>
                </c:pt>
                <c:pt idx="11">
                  <c:v>1430</c:v>
                </c:pt>
                <c:pt idx="12">
                  <c:v>4150</c:v>
                </c:pt>
                <c:pt idx="13">
                  <c:v>3960</c:v>
                </c:pt>
                <c:pt idx="14">
                  <c:v>2810</c:v>
                </c:pt>
                <c:pt idx="15">
                  <c:v>386</c:v>
                </c:pt>
                <c:pt idx="16">
                  <c:v>2810</c:v>
                </c:pt>
                <c:pt idx="17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F4-476A-812F-52F8DDF83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243648"/>
        <c:axId val="379647616"/>
      </c:lineChart>
      <c:catAx>
        <c:axId val="16124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9647616"/>
        <c:crosses val="autoZero"/>
        <c:auto val="1"/>
        <c:lblAlgn val="ctr"/>
        <c:lblOffset val="100"/>
        <c:noMultiLvlLbl val="0"/>
      </c:catAx>
      <c:valAx>
        <c:axId val="3796476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61243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33%</c:v>
                </c:pt>
                <c:pt idx="4">
                  <c:v>5%</c:v>
                </c:pt>
                <c:pt idx="5">
                  <c:v>13%</c:v>
                </c:pt>
                <c:pt idx="6">
                  <c:v>87%</c:v>
                </c:pt>
                <c:pt idx="7">
                  <c:v>0%</c:v>
                </c:pt>
                <c:pt idx="8">
                  <c:v>100%</c:v>
                </c:pt>
                <c:pt idx="9">
                  <c:v>83%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58%</c:v>
                </c:pt>
                <c:pt idx="15">
                  <c:v>13%</c:v>
                </c:pt>
                <c:pt idx="16">
                  <c:v>58%</c:v>
                </c:pt>
                <c:pt idx="17">
                  <c:v>67%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'02'!$D$6:$D$23</c:f>
              <c:strCache>
                <c:ptCount val="17"/>
                <c:pt idx="2">
                  <c:v>SLIDER</c:v>
                </c:pt>
                <c:pt idx="3">
                  <c:v>ROLLER</c:v>
                </c:pt>
                <c:pt idx="4">
                  <c:v>790 F</c:v>
                </c:pt>
                <c:pt idx="5">
                  <c:v>LEAD GUIDE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'02'!$AD$6:$AD$23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0.58286852589641436</c:v>
                </c:pt>
                <c:pt idx="3">
                  <c:v>0.33308270676691726</c:v>
                </c:pt>
                <c:pt idx="4">
                  <c:v>4.9086757990867584E-2</c:v>
                </c:pt>
                <c:pt idx="5">
                  <c:v>0.125</c:v>
                </c:pt>
                <c:pt idx="6">
                  <c:v>0.87462606837606838</c:v>
                </c:pt>
                <c:pt idx="7">
                  <c:v>0</c:v>
                </c:pt>
                <c:pt idx="8">
                  <c:v>1</c:v>
                </c:pt>
                <c:pt idx="9">
                  <c:v>0.83250000000000002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0.58229537366548045</c:v>
                </c:pt>
                <c:pt idx="15">
                  <c:v>0.125</c:v>
                </c:pt>
                <c:pt idx="16">
                  <c:v>0.58167259786476877</c:v>
                </c:pt>
                <c:pt idx="17">
                  <c:v>0.66662649392387263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7-4731-BAA4-FAD81D0CC99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47-4731-BAA4-FAD81D0CC99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'02'!$D$6:$D$23</c:f>
              <c:strCache>
                <c:ptCount val="17"/>
                <c:pt idx="2">
                  <c:v>SLIDER</c:v>
                </c:pt>
                <c:pt idx="3">
                  <c:v>ROLLER</c:v>
                </c:pt>
                <c:pt idx="4">
                  <c:v>790 F</c:v>
                </c:pt>
                <c:pt idx="5">
                  <c:v>LEAD GUIDE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'02'!$AE$6:$AE$23</c:f>
              <c:numCache>
                <c:formatCode>0%</c:formatCode>
                <c:ptCount val="18"/>
                <c:pt idx="0">
                  <c:v>0.38351723496562595</c:v>
                </c:pt>
                <c:pt idx="1">
                  <c:v>0.38351723496562595</c:v>
                </c:pt>
                <c:pt idx="2">
                  <c:v>0.38351723496562595</c:v>
                </c:pt>
                <c:pt idx="3">
                  <c:v>0.38351723496562595</c:v>
                </c:pt>
                <c:pt idx="4">
                  <c:v>0.38351723496562595</c:v>
                </c:pt>
                <c:pt idx="5">
                  <c:v>0.38351723496562595</c:v>
                </c:pt>
                <c:pt idx="6">
                  <c:v>0.38351723496562595</c:v>
                </c:pt>
                <c:pt idx="7">
                  <c:v>0.38351723496562595</c:v>
                </c:pt>
                <c:pt idx="8">
                  <c:v>0.38351723496562595</c:v>
                </c:pt>
                <c:pt idx="9">
                  <c:v>0.38351723496562595</c:v>
                </c:pt>
                <c:pt idx="10">
                  <c:v>0.38351723496562595</c:v>
                </c:pt>
                <c:pt idx="11">
                  <c:v>0.38351723496562595</c:v>
                </c:pt>
                <c:pt idx="12">
                  <c:v>0.38351723496562595</c:v>
                </c:pt>
                <c:pt idx="13">
                  <c:v>0.38351723496562595</c:v>
                </c:pt>
                <c:pt idx="14">
                  <c:v>0.38351723496562595</c:v>
                </c:pt>
                <c:pt idx="15">
                  <c:v>0.38351723496562595</c:v>
                </c:pt>
                <c:pt idx="16">
                  <c:v>0.38351723496562595</c:v>
                </c:pt>
                <c:pt idx="17">
                  <c:v>0.38351723496562595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47-4731-BAA4-FAD81D0CC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245696"/>
        <c:axId val="379649344"/>
      </c:lineChart>
      <c:catAx>
        <c:axId val="16124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9649344"/>
        <c:crosses val="autoZero"/>
        <c:auto val="1"/>
        <c:lblAlgn val="ctr"/>
        <c:lblOffset val="100"/>
        <c:noMultiLvlLbl val="0"/>
      </c:catAx>
      <c:valAx>
        <c:axId val="3796493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61245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'02'!$D$6:$D$23</c:f>
              <c:strCache>
                <c:ptCount val="17"/>
                <c:pt idx="2">
                  <c:v>SLIDER</c:v>
                </c:pt>
                <c:pt idx="3">
                  <c:v>ROLLER</c:v>
                </c:pt>
                <c:pt idx="4">
                  <c:v>790 F</c:v>
                </c:pt>
                <c:pt idx="5">
                  <c:v>LEAD GUIDE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'02'!$L$6:$L$23</c:f>
              <c:numCache>
                <c:formatCode>_(* #,##0_);_(* \(#,##0\);_(* "-"_);_(@_)</c:formatCode>
                <c:ptCount val="18"/>
                <c:pt idx="2">
                  <c:v>2508</c:v>
                </c:pt>
                <c:pt idx="3">
                  <c:v>5316</c:v>
                </c:pt>
                <c:pt idx="4">
                  <c:v>946</c:v>
                </c:pt>
                <c:pt idx="5">
                  <c:v>334</c:v>
                </c:pt>
                <c:pt idx="6">
                  <c:v>4678</c:v>
                </c:pt>
                <c:pt idx="8">
                  <c:v>5330</c:v>
                </c:pt>
                <c:pt idx="9">
                  <c:v>3996</c:v>
                </c:pt>
                <c:pt idx="14">
                  <c:v>2805</c:v>
                </c:pt>
                <c:pt idx="15">
                  <c:v>386</c:v>
                </c:pt>
                <c:pt idx="16">
                  <c:v>2802</c:v>
                </c:pt>
                <c:pt idx="17">
                  <c:v>33188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4-44CA-B387-DC0DF9289DE2}"/>
            </c:ext>
          </c:extLst>
        </c:ser>
        <c:ser>
          <c:idx val="1"/>
          <c:order val="1"/>
          <c:tx>
            <c:v>계획</c:v>
          </c:tx>
          <c:cat>
            <c:strRef>
              <c:f>'02'!$D$6:$D$23</c:f>
              <c:strCache>
                <c:ptCount val="17"/>
                <c:pt idx="2">
                  <c:v>SLIDER</c:v>
                </c:pt>
                <c:pt idx="3">
                  <c:v>ROLLER</c:v>
                </c:pt>
                <c:pt idx="4">
                  <c:v>790 F</c:v>
                </c:pt>
                <c:pt idx="5">
                  <c:v>LEAD GUIDE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'02'!$J$6:$J$23</c:f>
              <c:numCache>
                <c:formatCode>_(* #,##0_);_(* \(#,##0\);_(* "-"_);_(@_)</c:formatCode>
                <c:ptCount val="18"/>
                <c:pt idx="0">
                  <c:v>36840</c:v>
                </c:pt>
                <c:pt idx="1">
                  <c:v>800</c:v>
                </c:pt>
                <c:pt idx="2">
                  <c:v>2510</c:v>
                </c:pt>
                <c:pt idx="3">
                  <c:v>5320</c:v>
                </c:pt>
                <c:pt idx="4">
                  <c:v>4015</c:v>
                </c:pt>
                <c:pt idx="5">
                  <c:v>334</c:v>
                </c:pt>
                <c:pt idx="6">
                  <c:v>4680</c:v>
                </c:pt>
                <c:pt idx="7">
                  <c:v>1720</c:v>
                </c:pt>
                <c:pt idx="8">
                  <c:v>5330</c:v>
                </c:pt>
                <c:pt idx="9">
                  <c:v>4000</c:v>
                </c:pt>
                <c:pt idx="10">
                  <c:v>280</c:v>
                </c:pt>
                <c:pt idx="11">
                  <c:v>1430</c:v>
                </c:pt>
                <c:pt idx="12">
                  <c:v>4150</c:v>
                </c:pt>
                <c:pt idx="13">
                  <c:v>3960</c:v>
                </c:pt>
                <c:pt idx="14">
                  <c:v>2810</c:v>
                </c:pt>
                <c:pt idx="15">
                  <c:v>386</c:v>
                </c:pt>
                <c:pt idx="16">
                  <c:v>2810</c:v>
                </c:pt>
                <c:pt idx="17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C4-44CA-B387-DC0DF928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246208"/>
        <c:axId val="42059456"/>
      </c:lineChart>
      <c:catAx>
        <c:axId val="161246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059456"/>
        <c:crosses val="autoZero"/>
        <c:auto val="1"/>
        <c:lblAlgn val="ctr"/>
        <c:lblOffset val="100"/>
        <c:noMultiLvlLbl val="0"/>
      </c:catAx>
      <c:valAx>
        <c:axId val="420594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61246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33%</c:v>
                </c:pt>
                <c:pt idx="4">
                  <c:v>5%</c:v>
                </c:pt>
                <c:pt idx="5">
                  <c:v>13%</c:v>
                </c:pt>
                <c:pt idx="6">
                  <c:v>87%</c:v>
                </c:pt>
                <c:pt idx="7">
                  <c:v>0%</c:v>
                </c:pt>
                <c:pt idx="8">
                  <c:v>100%</c:v>
                </c:pt>
                <c:pt idx="9">
                  <c:v>83%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58%</c:v>
                </c:pt>
                <c:pt idx="15">
                  <c:v>13%</c:v>
                </c:pt>
                <c:pt idx="16">
                  <c:v>58%</c:v>
                </c:pt>
                <c:pt idx="17">
                  <c:v>67%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'02'!$D$6:$D$23</c:f>
              <c:strCache>
                <c:ptCount val="17"/>
                <c:pt idx="2">
                  <c:v>SLIDER</c:v>
                </c:pt>
                <c:pt idx="3">
                  <c:v>ROLLER</c:v>
                </c:pt>
                <c:pt idx="4">
                  <c:v>790 F</c:v>
                </c:pt>
                <c:pt idx="5">
                  <c:v>LEAD GUIDE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'02'!$AD$6:$AD$23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0.58286852589641436</c:v>
                </c:pt>
                <c:pt idx="3">
                  <c:v>0.33308270676691726</c:v>
                </c:pt>
                <c:pt idx="4">
                  <c:v>4.9086757990867584E-2</c:v>
                </c:pt>
                <c:pt idx="5">
                  <c:v>0.125</c:v>
                </c:pt>
                <c:pt idx="6">
                  <c:v>0.87462606837606838</c:v>
                </c:pt>
                <c:pt idx="7">
                  <c:v>0</c:v>
                </c:pt>
                <c:pt idx="8">
                  <c:v>1</c:v>
                </c:pt>
                <c:pt idx="9">
                  <c:v>0.83250000000000002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0.58229537366548045</c:v>
                </c:pt>
                <c:pt idx="15">
                  <c:v>0.125</c:v>
                </c:pt>
                <c:pt idx="16">
                  <c:v>0.58167259786476877</c:v>
                </c:pt>
                <c:pt idx="17">
                  <c:v>0.66662649392387263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2-414A-8EBA-F25E89F5E08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32-414A-8EBA-F25E89F5E0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'02'!$D$6:$D$23</c:f>
              <c:strCache>
                <c:ptCount val="17"/>
                <c:pt idx="2">
                  <c:v>SLIDER</c:v>
                </c:pt>
                <c:pt idx="3">
                  <c:v>ROLLER</c:v>
                </c:pt>
                <c:pt idx="4">
                  <c:v>790 F</c:v>
                </c:pt>
                <c:pt idx="5">
                  <c:v>LEAD GUIDE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F/ADAPTER</c:v>
                </c:pt>
                <c:pt idx="14">
                  <c:v>BASE</c:v>
                </c:pt>
                <c:pt idx="15">
                  <c:v>LEAD GUIDE</c:v>
                </c:pt>
                <c:pt idx="16">
                  <c:v>BASE</c:v>
                </c:pt>
              </c:strCache>
            </c:strRef>
          </c:cat>
          <c:val>
            <c:numRef>
              <c:f>'02'!$AE$6:$AE$23</c:f>
              <c:numCache>
                <c:formatCode>0%</c:formatCode>
                <c:ptCount val="18"/>
                <c:pt idx="0">
                  <c:v>0.38351723496562595</c:v>
                </c:pt>
                <c:pt idx="1">
                  <c:v>0.38351723496562595</c:v>
                </c:pt>
                <c:pt idx="2">
                  <c:v>0.38351723496562595</c:v>
                </c:pt>
                <c:pt idx="3">
                  <c:v>0.38351723496562595</c:v>
                </c:pt>
                <c:pt idx="4">
                  <c:v>0.38351723496562595</c:v>
                </c:pt>
                <c:pt idx="5">
                  <c:v>0.38351723496562595</c:v>
                </c:pt>
                <c:pt idx="6">
                  <c:v>0.38351723496562595</c:v>
                </c:pt>
                <c:pt idx="7">
                  <c:v>0.38351723496562595</c:v>
                </c:pt>
                <c:pt idx="8">
                  <c:v>0.38351723496562595</c:v>
                </c:pt>
                <c:pt idx="9">
                  <c:v>0.38351723496562595</c:v>
                </c:pt>
                <c:pt idx="10">
                  <c:v>0.38351723496562595</c:v>
                </c:pt>
                <c:pt idx="11">
                  <c:v>0.38351723496562595</c:v>
                </c:pt>
                <c:pt idx="12">
                  <c:v>0.38351723496562595</c:v>
                </c:pt>
                <c:pt idx="13">
                  <c:v>0.38351723496562595</c:v>
                </c:pt>
                <c:pt idx="14">
                  <c:v>0.38351723496562595</c:v>
                </c:pt>
                <c:pt idx="15">
                  <c:v>0.38351723496562595</c:v>
                </c:pt>
                <c:pt idx="16">
                  <c:v>0.38351723496562595</c:v>
                </c:pt>
                <c:pt idx="17">
                  <c:v>0.38351723496562595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32-414A-8EBA-F25E89F5E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513472"/>
        <c:axId val="42061184"/>
      </c:lineChart>
      <c:catAx>
        <c:axId val="16151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2061184"/>
        <c:crosses val="autoZero"/>
        <c:auto val="1"/>
        <c:lblAlgn val="ctr"/>
        <c:lblOffset val="100"/>
        <c:noMultiLvlLbl val="0"/>
      </c:catAx>
      <c:valAx>
        <c:axId val="420611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61513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0FF-4F5E-AB69-B6B3037E56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F-4F5E-AB69-B6B3037E5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513984"/>
        <c:axId val="4206348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FF-4F5E-AB69-B6B3037E562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FF-4F5E-AB69-B6B3037E5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513984"/>
        <c:axId val="42063488"/>
      </c:lineChart>
      <c:catAx>
        <c:axId val="161513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063488"/>
        <c:crosses val="autoZero"/>
        <c:auto val="1"/>
        <c:lblAlgn val="ctr"/>
        <c:lblOffset val="100"/>
        <c:noMultiLvlLbl val="0"/>
      </c:catAx>
      <c:valAx>
        <c:axId val="420634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151398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4"/>
                <c:pt idx="2">
                  <c:v>SLIDER</c:v>
                </c:pt>
                <c:pt idx="3">
                  <c:v>SLIDER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3">
                  <c:v>2169</c:v>
                </c:pt>
                <c:pt idx="4">
                  <c:v>1402</c:v>
                </c:pt>
                <c:pt idx="6">
                  <c:v>2494</c:v>
                </c:pt>
                <c:pt idx="7">
                  <c:v>2571</c:v>
                </c:pt>
                <c:pt idx="12">
                  <c:v>583</c:v>
                </c:pt>
                <c:pt idx="13">
                  <c:v>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C-4FDD-9428-6CEEEEE740AE}"/>
            </c:ext>
          </c:extLst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4"/>
                <c:pt idx="2">
                  <c:v>SLIDER</c:v>
                </c:pt>
                <c:pt idx="3">
                  <c:v>SLIDER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2510</c:v>
                </c:pt>
                <c:pt idx="3">
                  <c:v>2170</c:v>
                </c:pt>
                <c:pt idx="4">
                  <c:v>1402</c:v>
                </c:pt>
                <c:pt idx="5">
                  <c:v>1720</c:v>
                </c:pt>
                <c:pt idx="6">
                  <c:v>2494</c:v>
                </c:pt>
                <c:pt idx="7">
                  <c:v>2571</c:v>
                </c:pt>
                <c:pt idx="8">
                  <c:v>280</c:v>
                </c:pt>
                <c:pt idx="9">
                  <c:v>1430</c:v>
                </c:pt>
                <c:pt idx="10">
                  <c:v>4150</c:v>
                </c:pt>
                <c:pt idx="11">
                  <c:v>3960</c:v>
                </c:pt>
                <c:pt idx="12">
                  <c:v>583</c:v>
                </c:pt>
                <c:pt idx="13">
                  <c:v>2222</c:v>
                </c:pt>
                <c:pt idx="14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7C-4FDD-9428-6CEEEEE74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545408"/>
        <c:axId val="377946688"/>
      </c:lineChart>
      <c:catAx>
        <c:axId val="22254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7946688"/>
        <c:crosses val="autoZero"/>
        <c:auto val="1"/>
        <c:lblAlgn val="ctr"/>
        <c:lblOffset val="100"/>
        <c:noMultiLvlLbl val="0"/>
      </c:catAx>
      <c:valAx>
        <c:axId val="3779466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22545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29%</c:v>
                </c:pt>
                <c:pt idx="5">
                  <c:v>0%</c:v>
                </c:pt>
                <c:pt idx="6">
                  <c:v>42%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42%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2">
                  <c:v>SLIDER</c:v>
                </c:pt>
                <c:pt idx="3">
                  <c:v>SLIDER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0.41647465437788023</c:v>
                </c:pt>
                <c:pt idx="4">
                  <c:v>0.29166666666666669</c:v>
                </c:pt>
                <c:pt idx="5">
                  <c:v>0</c:v>
                </c:pt>
                <c:pt idx="6">
                  <c:v>0.41666666666666669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0.41666666666666669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4-4771-8350-C682C15C389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4F4-4771-8350-C682C15C389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2">
                  <c:v>SLIDER</c:v>
                </c:pt>
                <c:pt idx="3">
                  <c:v>SLIDER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0.14165386584741427</c:v>
                </c:pt>
                <c:pt idx="1">
                  <c:v>0.14165386584741427</c:v>
                </c:pt>
                <c:pt idx="2">
                  <c:v>0.14165386584741427</c:v>
                </c:pt>
                <c:pt idx="3">
                  <c:v>0.14165386584741427</c:v>
                </c:pt>
                <c:pt idx="4">
                  <c:v>0.14165386584741427</c:v>
                </c:pt>
                <c:pt idx="5">
                  <c:v>0.14165386584741427</c:v>
                </c:pt>
                <c:pt idx="6">
                  <c:v>0.14165386584741427</c:v>
                </c:pt>
                <c:pt idx="7">
                  <c:v>0.14165386584741427</c:v>
                </c:pt>
                <c:pt idx="8">
                  <c:v>0.14165386584741427</c:v>
                </c:pt>
                <c:pt idx="9">
                  <c:v>0.14165386584741427</c:v>
                </c:pt>
                <c:pt idx="10">
                  <c:v>0.14165386584741427</c:v>
                </c:pt>
                <c:pt idx="11">
                  <c:v>0.14165386584741427</c:v>
                </c:pt>
                <c:pt idx="12">
                  <c:v>0.14165386584741427</c:v>
                </c:pt>
                <c:pt idx="13">
                  <c:v>0.14165386584741427</c:v>
                </c:pt>
                <c:pt idx="14">
                  <c:v>0.14165386584741427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F4-4771-8350-C682C15C3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546432"/>
        <c:axId val="377948416"/>
      </c:lineChart>
      <c:catAx>
        <c:axId val="22254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7948416"/>
        <c:crosses val="autoZero"/>
        <c:auto val="1"/>
        <c:lblAlgn val="ctr"/>
        <c:lblOffset val="100"/>
        <c:noMultiLvlLbl val="0"/>
      </c:catAx>
      <c:valAx>
        <c:axId val="3779484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22546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4"/>
                <c:pt idx="2">
                  <c:v>SLIDER</c:v>
                </c:pt>
                <c:pt idx="3">
                  <c:v>SLIDER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3">
                  <c:v>2169</c:v>
                </c:pt>
                <c:pt idx="4">
                  <c:v>1402</c:v>
                </c:pt>
                <c:pt idx="6">
                  <c:v>2494</c:v>
                </c:pt>
                <c:pt idx="7">
                  <c:v>2571</c:v>
                </c:pt>
                <c:pt idx="12">
                  <c:v>583</c:v>
                </c:pt>
                <c:pt idx="13">
                  <c:v>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6-42AB-A700-8B31815203B6}"/>
            </c:ext>
          </c:extLst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4"/>
                <c:pt idx="2">
                  <c:v>SLIDER</c:v>
                </c:pt>
                <c:pt idx="3">
                  <c:v>SLIDER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2510</c:v>
                </c:pt>
                <c:pt idx="3">
                  <c:v>2170</c:v>
                </c:pt>
                <c:pt idx="4">
                  <c:v>1402</c:v>
                </c:pt>
                <c:pt idx="5">
                  <c:v>1720</c:v>
                </c:pt>
                <c:pt idx="6">
                  <c:v>2494</c:v>
                </c:pt>
                <c:pt idx="7">
                  <c:v>2571</c:v>
                </c:pt>
                <c:pt idx="8">
                  <c:v>280</c:v>
                </c:pt>
                <c:pt idx="9">
                  <c:v>1430</c:v>
                </c:pt>
                <c:pt idx="10">
                  <c:v>4150</c:v>
                </c:pt>
                <c:pt idx="11">
                  <c:v>3960</c:v>
                </c:pt>
                <c:pt idx="12">
                  <c:v>583</c:v>
                </c:pt>
                <c:pt idx="13">
                  <c:v>2222</c:v>
                </c:pt>
                <c:pt idx="14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66-42AB-A700-8B318152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726016"/>
        <c:axId val="377950720"/>
      </c:lineChart>
      <c:catAx>
        <c:axId val="24072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7950720"/>
        <c:crosses val="autoZero"/>
        <c:auto val="1"/>
        <c:lblAlgn val="ctr"/>
        <c:lblOffset val="100"/>
        <c:noMultiLvlLbl val="0"/>
      </c:catAx>
      <c:valAx>
        <c:axId val="3779507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0726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29%</c:v>
                </c:pt>
                <c:pt idx="5">
                  <c:v>0%</c:v>
                </c:pt>
                <c:pt idx="6">
                  <c:v>42%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42%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2">
                  <c:v>SLIDER</c:v>
                </c:pt>
                <c:pt idx="3">
                  <c:v>SLIDER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0.41647465437788023</c:v>
                </c:pt>
                <c:pt idx="4">
                  <c:v>0.29166666666666669</c:v>
                </c:pt>
                <c:pt idx="5">
                  <c:v>0</c:v>
                </c:pt>
                <c:pt idx="6">
                  <c:v>0.41666666666666669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0.41666666666666669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0-4B85-9677-DED5BFAB04B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C0-4B85-9677-DED5BFAB04B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2">
                  <c:v>SLIDER</c:v>
                </c:pt>
                <c:pt idx="3">
                  <c:v>SLIDER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BODY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0.14165386584741427</c:v>
                </c:pt>
                <c:pt idx="1">
                  <c:v>0.14165386584741427</c:v>
                </c:pt>
                <c:pt idx="2">
                  <c:v>0.14165386584741427</c:v>
                </c:pt>
                <c:pt idx="3">
                  <c:v>0.14165386584741427</c:v>
                </c:pt>
                <c:pt idx="4">
                  <c:v>0.14165386584741427</c:v>
                </c:pt>
                <c:pt idx="5">
                  <c:v>0.14165386584741427</c:v>
                </c:pt>
                <c:pt idx="6">
                  <c:v>0.14165386584741427</c:v>
                </c:pt>
                <c:pt idx="7">
                  <c:v>0.14165386584741427</c:v>
                </c:pt>
                <c:pt idx="8">
                  <c:v>0.14165386584741427</c:v>
                </c:pt>
                <c:pt idx="9">
                  <c:v>0.14165386584741427</c:v>
                </c:pt>
                <c:pt idx="10">
                  <c:v>0.14165386584741427</c:v>
                </c:pt>
                <c:pt idx="11">
                  <c:v>0.14165386584741427</c:v>
                </c:pt>
                <c:pt idx="12">
                  <c:v>0.14165386584741427</c:v>
                </c:pt>
                <c:pt idx="13">
                  <c:v>0.14165386584741427</c:v>
                </c:pt>
                <c:pt idx="14">
                  <c:v>0.14165386584741427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C0-4B85-9677-DED5BFAB0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727552"/>
        <c:axId val="377952448"/>
      </c:lineChart>
      <c:catAx>
        <c:axId val="24072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7952448"/>
        <c:crosses val="autoZero"/>
        <c:auto val="1"/>
        <c:lblAlgn val="ctr"/>
        <c:lblOffset val="100"/>
        <c:noMultiLvlLbl val="0"/>
      </c:catAx>
      <c:valAx>
        <c:axId val="3779524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4072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006-432B-B182-7CFAB91925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06-432B-B182-7CFAB9192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728064"/>
        <c:axId val="37841363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06-432B-B182-7CFAB91925A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06-432B-B182-7CFAB9192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728064"/>
        <c:axId val="378413632"/>
      </c:lineChart>
      <c:catAx>
        <c:axId val="240728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8413632"/>
        <c:crosses val="autoZero"/>
        <c:auto val="1"/>
        <c:lblAlgn val="ctr"/>
        <c:lblOffset val="100"/>
        <c:noMultiLvlLbl val="0"/>
      </c:catAx>
      <c:valAx>
        <c:axId val="3784136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07280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TOP</c:v>
                </c:pt>
                <c:pt idx="13">
                  <c:v>BASE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2">
                  <c:v>4379</c:v>
                </c:pt>
                <c:pt idx="6">
                  <c:v>1169</c:v>
                </c:pt>
                <c:pt idx="7">
                  <c:v>4490</c:v>
                </c:pt>
                <c:pt idx="9">
                  <c:v>23296</c:v>
                </c:pt>
                <c:pt idx="11">
                  <c:v>4298</c:v>
                </c:pt>
                <c:pt idx="12">
                  <c:v>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2-4FD4-9599-E611D0D7956D}"/>
            </c:ext>
          </c:extLst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TOP</c:v>
                </c:pt>
                <c:pt idx="13">
                  <c:v>BASE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4380</c:v>
                </c:pt>
                <c:pt idx="3">
                  <c:v>2170</c:v>
                </c:pt>
                <c:pt idx="4">
                  <c:v>1402</c:v>
                </c:pt>
                <c:pt idx="5">
                  <c:v>1720</c:v>
                </c:pt>
                <c:pt idx="6">
                  <c:v>1170</c:v>
                </c:pt>
                <c:pt idx="7">
                  <c:v>4490</c:v>
                </c:pt>
                <c:pt idx="8">
                  <c:v>280</c:v>
                </c:pt>
                <c:pt idx="9">
                  <c:v>23300</c:v>
                </c:pt>
                <c:pt idx="10">
                  <c:v>4150</c:v>
                </c:pt>
                <c:pt idx="11">
                  <c:v>4300</c:v>
                </c:pt>
                <c:pt idx="12">
                  <c:v>1115</c:v>
                </c:pt>
                <c:pt idx="13">
                  <c:v>2222</c:v>
                </c:pt>
                <c:pt idx="14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E2-4FD4-9599-E611D0D7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323008"/>
        <c:axId val="378416512"/>
      </c:lineChart>
      <c:catAx>
        <c:axId val="28132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8416512"/>
        <c:crosses val="autoZero"/>
        <c:auto val="1"/>
        <c:lblAlgn val="ctr"/>
        <c:lblOffset val="100"/>
        <c:noMultiLvlLbl val="0"/>
      </c:catAx>
      <c:valAx>
        <c:axId val="3784165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1323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87%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33%</c:v>
                </c:pt>
                <c:pt idx="7">
                  <c:v>92%</c:v>
                </c:pt>
                <c:pt idx="8">
                  <c:v>0%</c:v>
                </c:pt>
                <c:pt idx="9">
                  <c:v>87%</c:v>
                </c:pt>
                <c:pt idx="10">
                  <c:v>0%</c:v>
                </c:pt>
                <c:pt idx="11">
                  <c:v>83%</c:v>
                </c:pt>
                <c:pt idx="12">
                  <c:v>58%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TOP</c:v>
                </c:pt>
                <c:pt idx="13">
                  <c:v>BASE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0.8748002283105023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0.33304843304843301</c:v>
                </c:pt>
                <c:pt idx="7">
                  <c:v>0.91666666666666663</c:v>
                </c:pt>
                <c:pt idx="8">
                  <c:v>0</c:v>
                </c:pt>
                <c:pt idx="9">
                  <c:v>0.87484978540772529</c:v>
                </c:pt>
                <c:pt idx="10">
                  <c:v>0</c:v>
                </c:pt>
                <c:pt idx="11">
                  <c:v>0.83294573643410863</c:v>
                </c:pt>
                <c:pt idx="12">
                  <c:v>0.58333333333333337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6C-49DD-816E-8F9B045B6A6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6C-49DD-816E-8F9B045B6A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TOP</c:v>
                </c:pt>
                <c:pt idx="13">
                  <c:v>BASE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0.29437627888005125</c:v>
                </c:pt>
                <c:pt idx="1">
                  <c:v>0.29437627888005125</c:v>
                </c:pt>
                <c:pt idx="2">
                  <c:v>0.29437627888005125</c:v>
                </c:pt>
                <c:pt idx="3">
                  <c:v>0.29437627888005125</c:v>
                </c:pt>
                <c:pt idx="4">
                  <c:v>0.29437627888005125</c:v>
                </c:pt>
                <c:pt idx="5">
                  <c:v>0.29437627888005125</c:v>
                </c:pt>
                <c:pt idx="6">
                  <c:v>0.29437627888005125</c:v>
                </c:pt>
                <c:pt idx="7">
                  <c:v>0.29437627888005125</c:v>
                </c:pt>
                <c:pt idx="8">
                  <c:v>0.29437627888005125</c:v>
                </c:pt>
                <c:pt idx="9">
                  <c:v>0.29437627888005125</c:v>
                </c:pt>
                <c:pt idx="10">
                  <c:v>0.29437627888005125</c:v>
                </c:pt>
                <c:pt idx="11">
                  <c:v>0.29437627888005125</c:v>
                </c:pt>
                <c:pt idx="12">
                  <c:v>0.29437627888005125</c:v>
                </c:pt>
                <c:pt idx="13">
                  <c:v>0.29437627888005125</c:v>
                </c:pt>
                <c:pt idx="14">
                  <c:v>0.29437627888005125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6C-49DD-816E-8F9B045B6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325056"/>
        <c:axId val="378418240"/>
      </c:lineChart>
      <c:catAx>
        <c:axId val="28132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8418240"/>
        <c:crosses val="autoZero"/>
        <c:auto val="1"/>
        <c:lblAlgn val="ctr"/>
        <c:lblOffset val="100"/>
        <c:noMultiLvlLbl val="0"/>
      </c:catAx>
      <c:valAx>
        <c:axId val="3784182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132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TOP</c:v>
                </c:pt>
                <c:pt idx="13">
                  <c:v>BASE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2">
                  <c:v>4379</c:v>
                </c:pt>
                <c:pt idx="6">
                  <c:v>1169</c:v>
                </c:pt>
                <c:pt idx="7">
                  <c:v>4490</c:v>
                </c:pt>
                <c:pt idx="9">
                  <c:v>23296</c:v>
                </c:pt>
                <c:pt idx="11">
                  <c:v>4298</c:v>
                </c:pt>
                <c:pt idx="12">
                  <c:v>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F-4425-94BD-7F96B9B21B3B}"/>
            </c:ext>
          </c:extLst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TOP</c:v>
                </c:pt>
                <c:pt idx="13">
                  <c:v>BASE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4380</c:v>
                </c:pt>
                <c:pt idx="3">
                  <c:v>2170</c:v>
                </c:pt>
                <c:pt idx="4">
                  <c:v>1402</c:v>
                </c:pt>
                <c:pt idx="5">
                  <c:v>1720</c:v>
                </c:pt>
                <c:pt idx="6">
                  <c:v>1170</c:v>
                </c:pt>
                <c:pt idx="7">
                  <c:v>4490</c:v>
                </c:pt>
                <c:pt idx="8">
                  <c:v>280</c:v>
                </c:pt>
                <c:pt idx="9">
                  <c:v>23300</c:v>
                </c:pt>
                <c:pt idx="10">
                  <c:v>4150</c:v>
                </c:pt>
                <c:pt idx="11">
                  <c:v>4300</c:v>
                </c:pt>
                <c:pt idx="12">
                  <c:v>1115</c:v>
                </c:pt>
                <c:pt idx="13">
                  <c:v>2222</c:v>
                </c:pt>
                <c:pt idx="14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F-4425-94BD-7F96B9B21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911360"/>
        <c:axId val="378420544"/>
      </c:lineChart>
      <c:catAx>
        <c:axId val="2889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8420544"/>
        <c:crosses val="autoZero"/>
        <c:auto val="1"/>
        <c:lblAlgn val="ctr"/>
        <c:lblOffset val="100"/>
        <c:noMultiLvlLbl val="0"/>
      </c:catAx>
      <c:valAx>
        <c:axId val="3784205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8911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87%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33%</c:v>
                </c:pt>
                <c:pt idx="7">
                  <c:v>92%</c:v>
                </c:pt>
                <c:pt idx="8">
                  <c:v>0%</c:v>
                </c:pt>
                <c:pt idx="9">
                  <c:v>87%</c:v>
                </c:pt>
                <c:pt idx="10">
                  <c:v>0%</c:v>
                </c:pt>
                <c:pt idx="11">
                  <c:v>83%</c:v>
                </c:pt>
                <c:pt idx="12">
                  <c:v>58%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TOP</c:v>
                </c:pt>
                <c:pt idx="13">
                  <c:v>BASE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0.8748002283105023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0.33304843304843301</c:v>
                </c:pt>
                <c:pt idx="7">
                  <c:v>0.91666666666666663</c:v>
                </c:pt>
                <c:pt idx="8">
                  <c:v>0</c:v>
                </c:pt>
                <c:pt idx="9">
                  <c:v>0.87484978540772529</c:v>
                </c:pt>
                <c:pt idx="10">
                  <c:v>0</c:v>
                </c:pt>
                <c:pt idx="11">
                  <c:v>0.83294573643410863</c:v>
                </c:pt>
                <c:pt idx="12">
                  <c:v>0.58333333333333337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3-4E48-9098-F90A2132004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13-4E48-9098-F90A213200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ACTUATOR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TOP</c:v>
                </c:pt>
                <c:pt idx="13">
                  <c:v>BASE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0.29437627888005125</c:v>
                </c:pt>
                <c:pt idx="1">
                  <c:v>0.29437627888005125</c:v>
                </c:pt>
                <c:pt idx="2">
                  <c:v>0.29437627888005125</c:v>
                </c:pt>
                <c:pt idx="3">
                  <c:v>0.29437627888005125</c:v>
                </c:pt>
                <c:pt idx="4">
                  <c:v>0.29437627888005125</c:v>
                </c:pt>
                <c:pt idx="5">
                  <c:v>0.29437627888005125</c:v>
                </c:pt>
                <c:pt idx="6">
                  <c:v>0.29437627888005125</c:v>
                </c:pt>
                <c:pt idx="7">
                  <c:v>0.29437627888005125</c:v>
                </c:pt>
                <c:pt idx="8">
                  <c:v>0.29437627888005125</c:v>
                </c:pt>
                <c:pt idx="9">
                  <c:v>0.29437627888005125</c:v>
                </c:pt>
                <c:pt idx="10">
                  <c:v>0.29437627888005125</c:v>
                </c:pt>
                <c:pt idx="11">
                  <c:v>0.29437627888005125</c:v>
                </c:pt>
                <c:pt idx="12">
                  <c:v>0.29437627888005125</c:v>
                </c:pt>
                <c:pt idx="13">
                  <c:v>0.29437627888005125</c:v>
                </c:pt>
                <c:pt idx="14">
                  <c:v>0.29437627888005125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13-4E48-9098-F90A21320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912896"/>
        <c:axId val="379110528"/>
      </c:lineChart>
      <c:catAx>
        <c:axId val="28891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9110528"/>
        <c:crosses val="autoZero"/>
        <c:auto val="1"/>
        <c:lblAlgn val="ctr"/>
        <c:lblOffset val="100"/>
        <c:noMultiLvlLbl val="0"/>
      </c:catAx>
      <c:valAx>
        <c:axId val="3791105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8912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8F7-43BC-9C58-14C6B2D7CF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F7-43BC-9C58-14C6B2D7C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913408"/>
        <c:axId val="37911283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F7-43BC-9C58-14C6B2D7CF9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F7-43BC-9C58-14C6B2D7C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913408"/>
        <c:axId val="379112832"/>
      </c:lineChart>
      <c:catAx>
        <c:axId val="288913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9112832"/>
        <c:crosses val="autoZero"/>
        <c:auto val="1"/>
        <c:lblAlgn val="ctr"/>
        <c:lblOffset val="100"/>
        <c:noMultiLvlLbl val="0"/>
      </c:catAx>
      <c:valAx>
        <c:axId val="3791128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8891340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2">
                  <c:v>3370</c:v>
                </c:pt>
                <c:pt idx="3">
                  <c:v>1939</c:v>
                </c:pt>
                <c:pt idx="4">
                  <c:v>2328</c:v>
                </c:pt>
                <c:pt idx="6">
                  <c:v>9462</c:v>
                </c:pt>
                <c:pt idx="7">
                  <c:v>5655</c:v>
                </c:pt>
                <c:pt idx="9">
                  <c:v>32361</c:v>
                </c:pt>
                <c:pt idx="11">
                  <c:v>3808</c:v>
                </c:pt>
                <c:pt idx="12">
                  <c:v>1137</c:v>
                </c:pt>
                <c:pt idx="13">
                  <c:v>1028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D-4258-94E9-EA10F8ACAF7F}"/>
            </c:ext>
          </c:extLst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3370</c:v>
                </c:pt>
                <c:pt idx="3">
                  <c:v>1940</c:v>
                </c:pt>
                <c:pt idx="4">
                  <c:v>2330</c:v>
                </c:pt>
                <c:pt idx="5">
                  <c:v>1720</c:v>
                </c:pt>
                <c:pt idx="6">
                  <c:v>9470</c:v>
                </c:pt>
                <c:pt idx="7">
                  <c:v>5660</c:v>
                </c:pt>
                <c:pt idx="8">
                  <c:v>280</c:v>
                </c:pt>
                <c:pt idx="9">
                  <c:v>32361</c:v>
                </c:pt>
                <c:pt idx="10">
                  <c:v>4150</c:v>
                </c:pt>
                <c:pt idx="11">
                  <c:v>3810</c:v>
                </c:pt>
                <c:pt idx="12">
                  <c:v>1140</c:v>
                </c:pt>
                <c:pt idx="13">
                  <c:v>1030</c:v>
                </c:pt>
                <c:pt idx="14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D-4258-94E9-EA10F8ACA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355776"/>
        <c:axId val="379115712"/>
      </c:lineChart>
      <c:catAx>
        <c:axId val="28935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9115712"/>
        <c:crosses val="autoZero"/>
        <c:auto val="1"/>
        <c:lblAlgn val="ctr"/>
        <c:lblOffset val="100"/>
        <c:noMultiLvlLbl val="0"/>
      </c:catAx>
      <c:valAx>
        <c:axId val="3791157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9355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50%</c:v>
                </c:pt>
                <c:pt idx="4">
                  <c:v>67%</c:v>
                </c:pt>
                <c:pt idx="5">
                  <c:v>0%</c:v>
                </c:pt>
                <c:pt idx="6">
                  <c:v>96%</c:v>
                </c:pt>
                <c:pt idx="7">
                  <c:v>100%</c:v>
                </c:pt>
                <c:pt idx="8">
                  <c:v>0%</c:v>
                </c:pt>
                <c:pt idx="9">
                  <c:v>88%</c:v>
                </c:pt>
                <c:pt idx="10">
                  <c:v>0%</c:v>
                </c:pt>
                <c:pt idx="11">
                  <c:v>75%</c:v>
                </c:pt>
                <c:pt idx="12">
                  <c:v>46%</c:v>
                </c:pt>
                <c:pt idx="13">
                  <c:v>33%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0.49974226804123711</c:v>
                </c:pt>
                <c:pt idx="4">
                  <c:v>0.66609442060085833</c:v>
                </c:pt>
                <c:pt idx="5">
                  <c:v>0</c:v>
                </c:pt>
                <c:pt idx="6">
                  <c:v>0.95752375923970434</c:v>
                </c:pt>
                <c:pt idx="7">
                  <c:v>0.99911660777385158</c:v>
                </c:pt>
                <c:pt idx="8">
                  <c:v>0</c:v>
                </c:pt>
                <c:pt idx="9">
                  <c:v>0.875</c:v>
                </c:pt>
                <c:pt idx="10">
                  <c:v>0</c:v>
                </c:pt>
                <c:pt idx="11">
                  <c:v>0.74960629921259847</c:v>
                </c:pt>
                <c:pt idx="12">
                  <c:v>0.45712719298245613</c:v>
                </c:pt>
                <c:pt idx="13">
                  <c:v>0.33268608414239481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87-48FB-8FF6-FCA14CAE0AB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87-48FB-8FF6-FCA14CAE0A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0.42190421991065119</c:v>
                </c:pt>
                <c:pt idx="1">
                  <c:v>0.42190421991065119</c:v>
                </c:pt>
                <c:pt idx="2">
                  <c:v>0.42190421991065119</c:v>
                </c:pt>
                <c:pt idx="3">
                  <c:v>0.42190421991065119</c:v>
                </c:pt>
                <c:pt idx="4">
                  <c:v>0.42190421991065119</c:v>
                </c:pt>
                <c:pt idx="5">
                  <c:v>0.42190421991065119</c:v>
                </c:pt>
                <c:pt idx="6">
                  <c:v>0.42190421991065119</c:v>
                </c:pt>
                <c:pt idx="7">
                  <c:v>0.42190421991065119</c:v>
                </c:pt>
                <c:pt idx="8">
                  <c:v>0.42190421991065119</c:v>
                </c:pt>
                <c:pt idx="9">
                  <c:v>0.42190421991065119</c:v>
                </c:pt>
                <c:pt idx="10">
                  <c:v>0.42190421991065119</c:v>
                </c:pt>
                <c:pt idx="11">
                  <c:v>0.42190421991065119</c:v>
                </c:pt>
                <c:pt idx="12">
                  <c:v>0.42190421991065119</c:v>
                </c:pt>
                <c:pt idx="13">
                  <c:v>0.42190421991065119</c:v>
                </c:pt>
                <c:pt idx="14">
                  <c:v>0.42190421991065119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87-48FB-8FF6-FCA14CAE0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357312"/>
        <c:axId val="379846656"/>
      </c:lineChart>
      <c:catAx>
        <c:axId val="28935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9846656"/>
        <c:crosses val="autoZero"/>
        <c:auto val="1"/>
        <c:lblAlgn val="ctr"/>
        <c:lblOffset val="100"/>
        <c:noMultiLvlLbl val="0"/>
      </c:catAx>
      <c:valAx>
        <c:axId val="3798466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9357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2">
                  <c:v>3370</c:v>
                </c:pt>
                <c:pt idx="3">
                  <c:v>1939</c:v>
                </c:pt>
                <c:pt idx="4">
                  <c:v>2328</c:v>
                </c:pt>
                <c:pt idx="6">
                  <c:v>9462</c:v>
                </c:pt>
                <c:pt idx="7">
                  <c:v>5655</c:v>
                </c:pt>
                <c:pt idx="9">
                  <c:v>32361</c:v>
                </c:pt>
                <c:pt idx="11">
                  <c:v>3808</c:v>
                </c:pt>
                <c:pt idx="12">
                  <c:v>1137</c:v>
                </c:pt>
                <c:pt idx="13">
                  <c:v>1028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C-4481-BA6F-5E8B858D7B45}"/>
            </c:ext>
          </c:extLst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3370</c:v>
                </c:pt>
                <c:pt idx="3">
                  <c:v>1940</c:v>
                </c:pt>
                <c:pt idx="4">
                  <c:v>2330</c:v>
                </c:pt>
                <c:pt idx="5">
                  <c:v>1720</c:v>
                </c:pt>
                <c:pt idx="6">
                  <c:v>9470</c:v>
                </c:pt>
                <c:pt idx="7">
                  <c:v>5660</c:v>
                </c:pt>
                <c:pt idx="8">
                  <c:v>280</c:v>
                </c:pt>
                <c:pt idx="9">
                  <c:v>32361</c:v>
                </c:pt>
                <c:pt idx="10">
                  <c:v>4150</c:v>
                </c:pt>
                <c:pt idx="11">
                  <c:v>3810</c:v>
                </c:pt>
                <c:pt idx="12">
                  <c:v>1140</c:v>
                </c:pt>
                <c:pt idx="13">
                  <c:v>1030</c:v>
                </c:pt>
                <c:pt idx="14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1C-4481-BA6F-5E8B858D7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110912"/>
        <c:axId val="379848960"/>
      </c:lineChart>
      <c:catAx>
        <c:axId val="29111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9848960"/>
        <c:crosses val="autoZero"/>
        <c:auto val="1"/>
        <c:lblAlgn val="ctr"/>
        <c:lblOffset val="100"/>
        <c:noMultiLvlLbl val="0"/>
      </c:catAx>
      <c:valAx>
        <c:axId val="3798489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1110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50%</c:v>
                </c:pt>
                <c:pt idx="4">
                  <c:v>67%</c:v>
                </c:pt>
                <c:pt idx="5">
                  <c:v>0%</c:v>
                </c:pt>
                <c:pt idx="6">
                  <c:v>96%</c:v>
                </c:pt>
                <c:pt idx="7">
                  <c:v>100%</c:v>
                </c:pt>
                <c:pt idx="8">
                  <c:v>0%</c:v>
                </c:pt>
                <c:pt idx="9">
                  <c:v>88%</c:v>
                </c:pt>
                <c:pt idx="10">
                  <c:v>0%</c:v>
                </c:pt>
                <c:pt idx="11">
                  <c:v>75%</c:v>
                </c:pt>
                <c:pt idx="12">
                  <c:v>46%</c:v>
                </c:pt>
                <c:pt idx="13">
                  <c:v>33%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0.49974226804123711</c:v>
                </c:pt>
                <c:pt idx="4">
                  <c:v>0.66609442060085833</c:v>
                </c:pt>
                <c:pt idx="5">
                  <c:v>0</c:v>
                </c:pt>
                <c:pt idx="6">
                  <c:v>0.95752375923970434</c:v>
                </c:pt>
                <c:pt idx="7">
                  <c:v>0.99911660777385158</c:v>
                </c:pt>
                <c:pt idx="8">
                  <c:v>0</c:v>
                </c:pt>
                <c:pt idx="9">
                  <c:v>0.875</c:v>
                </c:pt>
                <c:pt idx="10">
                  <c:v>0</c:v>
                </c:pt>
                <c:pt idx="11">
                  <c:v>0.74960629921259847</c:v>
                </c:pt>
                <c:pt idx="12">
                  <c:v>0.45712719298245613</c:v>
                </c:pt>
                <c:pt idx="13">
                  <c:v>0.33268608414239481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A-41D0-BE5C-872EA9CC14B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BA-41D0-BE5C-872EA9CC14B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BODY</c:v>
                </c:pt>
                <c:pt idx="3">
                  <c:v>ACTUATOR</c:v>
                </c:pt>
                <c:pt idx="4">
                  <c:v>SLIDER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0.42190421991065119</c:v>
                </c:pt>
                <c:pt idx="1">
                  <c:v>0.42190421991065119</c:v>
                </c:pt>
                <c:pt idx="2">
                  <c:v>0.42190421991065119</c:v>
                </c:pt>
                <c:pt idx="3">
                  <c:v>0.42190421991065119</c:v>
                </c:pt>
                <c:pt idx="4">
                  <c:v>0.42190421991065119</c:v>
                </c:pt>
                <c:pt idx="5">
                  <c:v>0.42190421991065119</c:v>
                </c:pt>
                <c:pt idx="6">
                  <c:v>0.42190421991065119</c:v>
                </c:pt>
                <c:pt idx="7">
                  <c:v>0.42190421991065119</c:v>
                </c:pt>
                <c:pt idx="8">
                  <c:v>0.42190421991065119</c:v>
                </c:pt>
                <c:pt idx="9">
                  <c:v>0.42190421991065119</c:v>
                </c:pt>
                <c:pt idx="10">
                  <c:v>0.42190421991065119</c:v>
                </c:pt>
                <c:pt idx="11">
                  <c:v>0.42190421991065119</c:v>
                </c:pt>
                <c:pt idx="12">
                  <c:v>0.42190421991065119</c:v>
                </c:pt>
                <c:pt idx="13">
                  <c:v>0.42190421991065119</c:v>
                </c:pt>
                <c:pt idx="14">
                  <c:v>0.42190421991065119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BA-41D0-BE5C-872EA9CC1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111936"/>
        <c:axId val="379850688"/>
      </c:lineChart>
      <c:catAx>
        <c:axId val="2911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9850688"/>
        <c:crosses val="autoZero"/>
        <c:auto val="1"/>
        <c:lblAlgn val="ctr"/>
        <c:lblOffset val="100"/>
        <c:noMultiLvlLbl val="0"/>
      </c:catAx>
      <c:valAx>
        <c:axId val="3798506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111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8C3-435D-81AB-51C18CA9C5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C3-435D-81AB-51C18CA9C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913920"/>
        <c:axId val="3798529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C3-435D-81AB-51C18CA9C5A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C3-435D-81AB-51C18CA9C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913920"/>
        <c:axId val="379852992"/>
      </c:lineChart>
      <c:catAx>
        <c:axId val="288913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9852992"/>
        <c:crosses val="autoZero"/>
        <c:auto val="1"/>
        <c:lblAlgn val="ctr"/>
        <c:lblOffset val="100"/>
        <c:noMultiLvlLbl val="0"/>
      </c:catAx>
      <c:valAx>
        <c:axId val="3798529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889139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640</c:v>
                </c:pt>
                <c:pt idx="3">
                  <c:v>716</c:v>
                </c:pt>
                <c:pt idx="4">
                  <c:v>196416</c:v>
                </c:pt>
                <c:pt idx="5">
                  <c:v>3461</c:v>
                </c:pt>
                <c:pt idx="6">
                  <c:v>11158</c:v>
                </c:pt>
                <c:pt idx="7">
                  <c:v>3294</c:v>
                </c:pt>
                <c:pt idx="13">
                  <c:v>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86-4DAC-83E6-2A0DBD7BFF9A}"/>
            </c:ext>
          </c:extLst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640</c:v>
                </c:pt>
                <c:pt idx="3">
                  <c:v>716</c:v>
                </c:pt>
                <c:pt idx="4">
                  <c:v>196416</c:v>
                </c:pt>
                <c:pt idx="5">
                  <c:v>3461</c:v>
                </c:pt>
                <c:pt idx="6">
                  <c:v>11158</c:v>
                </c:pt>
                <c:pt idx="7">
                  <c:v>3300</c:v>
                </c:pt>
                <c:pt idx="8">
                  <c:v>280</c:v>
                </c:pt>
                <c:pt idx="9">
                  <c:v>32361</c:v>
                </c:pt>
                <c:pt idx="10">
                  <c:v>4150</c:v>
                </c:pt>
                <c:pt idx="11">
                  <c:v>3810</c:v>
                </c:pt>
                <c:pt idx="12">
                  <c:v>1140</c:v>
                </c:pt>
                <c:pt idx="13">
                  <c:v>366</c:v>
                </c:pt>
                <c:pt idx="14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86-4DAC-83E6-2A0DBD7BF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270080"/>
        <c:axId val="380871808"/>
      </c:lineChart>
      <c:catAx>
        <c:axId val="3002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0871808"/>
        <c:crosses val="autoZero"/>
        <c:auto val="1"/>
        <c:lblAlgn val="ctr"/>
        <c:lblOffset val="100"/>
        <c:noMultiLvlLbl val="0"/>
      </c:catAx>
      <c:valAx>
        <c:axId val="3808718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0270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17%</c:v>
                </c:pt>
                <c:pt idx="4">
                  <c:v>100%</c:v>
                </c:pt>
                <c:pt idx="5">
                  <c:v>83%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17%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1</c:v>
                </c:pt>
                <c:pt idx="5">
                  <c:v>0.83333333333333337</c:v>
                </c:pt>
                <c:pt idx="6">
                  <c:v>1</c:v>
                </c:pt>
                <c:pt idx="7">
                  <c:v>0.74863636363636366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0.16666666666666666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7-4AE2-8EA5-B1A5B95FD6B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77-4AE2-8EA5-B1A5B95FD6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0.27213131313131311</c:v>
                </c:pt>
                <c:pt idx="1">
                  <c:v>0.27213131313131311</c:v>
                </c:pt>
                <c:pt idx="2">
                  <c:v>0.27213131313131311</c:v>
                </c:pt>
                <c:pt idx="3">
                  <c:v>0.27213131313131311</c:v>
                </c:pt>
                <c:pt idx="4">
                  <c:v>0.27213131313131311</c:v>
                </c:pt>
                <c:pt idx="5">
                  <c:v>0.27213131313131311</c:v>
                </c:pt>
                <c:pt idx="6">
                  <c:v>0.27213131313131311</c:v>
                </c:pt>
                <c:pt idx="7">
                  <c:v>0.27213131313131311</c:v>
                </c:pt>
                <c:pt idx="8">
                  <c:v>0.27213131313131311</c:v>
                </c:pt>
                <c:pt idx="9">
                  <c:v>0.27213131313131311</c:v>
                </c:pt>
                <c:pt idx="10">
                  <c:v>0.27213131313131311</c:v>
                </c:pt>
                <c:pt idx="11">
                  <c:v>0.27213131313131311</c:v>
                </c:pt>
                <c:pt idx="12">
                  <c:v>0.27213131313131311</c:v>
                </c:pt>
                <c:pt idx="13">
                  <c:v>0.27213131313131311</c:v>
                </c:pt>
                <c:pt idx="14">
                  <c:v>0.27213131313131311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77-4AE2-8EA5-B1A5B95FD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272128"/>
        <c:axId val="380873536"/>
      </c:lineChart>
      <c:catAx>
        <c:axId val="30027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0873536"/>
        <c:crosses val="autoZero"/>
        <c:auto val="1"/>
        <c:lblAlgn val="ctr"/>
        <c:lblOffset val="100"/>
        <c:noMultiLvlLbl val="0"/>
      </c:catAx>
      <c:valAx>
        <c:axId val="3808735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0272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640</c:v>
                </c:pt>
                <c:pt idx="3">
                  <c:v>716</c:v>
                </c:pt>
                <c:pt idx="4">
                  <c:v>196416</c:v>
                </c:pt>
                <c:pt idx="5">
                  <c:v>3461</c:v>
                </c:pt>
                <c:pt idx="6">
                  <c:v>11158</c:v>
                </c:pt>
                <c:pt idx="7">
                  <c:v>3294</c:v>
                </c:pt>
                <c:pt idx="13">
                  <c:v>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C-4C68-99CB-EE8D5877B3D6}"/>
            </c:ext>
          </c:extLst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640</c:v>
                </c:pt>
                <c:pt idx="3">
                  <c:v>716</c:v>
                </c:pt>
                <c:pt idx="4">
                  <c:v>196416</c:v>
                </c:pt>
                <c:pt idx="5">
                  <c:v>3461</c:v>
                </c:pt>
                <c:pt idx="6">
                  <c:v>11158</c:v>
                </c:pt>
                <c:pt idx="7">
                  <c:v>3300</c:v>
                </c:pt>
                <c:pt idx="8">
                  <c:v>280</c:v>
                </c:pt>
                <c:pt idx="9">
                  <c:v>32361</c:v>
                </c:pt>
                <c:pt idx="10">
                  <c:v>4150</c:v>
                </c:pt>
                <c:pt idx="11">
                  <c:v>3810</c:v>
                </c:pt>
                <c:pt idx="12">
                  <c:v>1140</c:v>
                </c:pt>
                <c:pt idx="13">
                  <c:v>366</c:v>
                </c:pt>
                <c:pt idx="14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BC-4C68-99CB-EE8D5877B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272640"/>
        <c:axId val="380875840"/>
      </c:lineChart>
      <c:catAx>
        <c:axId val="30027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0875840"/>
        <c:crosses val="autoZero"/>
        <c:auto val="1"/>
        <c:lblAlgn val="ctr"/>
        <c:lblOffset val="100"/>
        <c:noMultiLvlLbl val="0"/>
      </c:catAx>
      <c:valAx>
        <c:axId val="38087584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0272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17%</c:v>
                </c:pt>
                <c:pt idx="4">
                  <c:v>100%</c:v>
                </c:pt>
                <c:pt idx="5">
                  <c:v>83%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17%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1</c:v>
                </c:pt>
                <c:pt idx="5">
                  <c:v>0.83333333333333337</c:v>
                </c:pt>
                <c:pt idx="6">
                  <c:v>1</c:v>
                </c:pt>
                <c:pt idx="7">
                  <c:v>0.74863636363636366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0.16666666666666666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7F-466E-8385-C7C24262276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A7F-466E-8385-C7C24262276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F/ADAPTER</c:v>
                </c:pt>
                <c:pt idx="12">
                  <c:v>BOTTOM</c:v>
                </c:pt>
                <c:pt idx="13">
                  <c:v>BODY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0.27213131313131311</c:v>
                </c:pt>
                <c:pt idx="1">
                  <c:v>0.27213131313131311</c:v>
                </c:pt>
                <c:pt idx="2">
                  <c:v>0.27213131313131311</c:v>
                </c:pt>
                <c:pt idx="3">
                  <c:v>0.27213131313131311</c:v>
                </c:pt>
                <c:pt idx="4">
                  <c:v>0.27213131313131311</c:v>
                </c:pt>
                <c:pt idx="5">
                  <c:v>0.27213131313131311</c:v>
                </c:pt>
                <c:pt idx="6">
                  <c:v>0.27213131313131311</c:v>
                </c:pt>
                <c:pt idx="7">
                  <c:v>0.27213131313131311</c:v>
                </c:pt>
                <c:pt idx="8">
                  <c:v>0.27213131313131311</c:v>
                </c:pt>
                <c:pt idx="9">
                  <c:v>0.27213131313131311</c:v>
                </c:pt>
                <c:pt idx="10">
                  <c:v>0.27213131313131311</c:v>
                </c:pt>
                <c:pt idx="11">
                  <c:v>0.27213131313131311</c:v>
                </c:pt>
                <c:pt idx="12">
                  <c:v>0.27213131313131311</c:v>
                </c:pt>
                <c:pt idx="13">
                  <c:v>0.27213131313131311</c:v>
                </c:pt>
                <c:pt idx="14">
                  <c:v>0.27213131313131311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7F-466E-8385-C7C242622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437952"/>
        <c:axId val="380877568"/>
      </c:lineChart>
      <c:catAx>
        <c:axId val="34943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0877568"/>
        <c:crosses val="autoZero"/>
        <c:auto val="1"/>
        <c:lblAlgn val="ctr"/>
        <c:lblOffset val="100"/>
        <c:noMultiLvlLbl val="0"/>
      </c:catAx>
      <c:valAx>
        <c:axId val="3808775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49437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0EE-4A3F-9DA6-76F3F4E224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EE-4A3F-9DA6-76F3F4E22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9438464"/>
        <c:axId val="38101926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0EE-4A3F-9DA6-76F3F4E2248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EE-4A3F-9DA6-76F3F4E22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438464"/>
        <c:axId val="381019264"/>
      </c:lineChart>
      <c:catAx>
        <c:axId val="349438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1019264"/>
        <c:crosses val="autoZero"/>
        <c:auto val="1"/>
        <c:lblAlgn val="ctr"/>
        <c:lblOffset val="100"/>
        <c:noMultiLvlLbl val="0"/>
      </c:catAx>
      <c:valAx>
        <c:axId val="3810192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494384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'09'!$D$6:$D$22</c:f>
              <c:strCache>
                <c:ptCount val="16"/>
                <c:pt idx="2">
                  <c:v>COVER</c:v>
                </c:pt>
                <c:pt idx="3">
                  <c:v>ACTUATOR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ADAPTER</c:v>
                </c:pt>
                <c:pt idx="13">
                  <c:v>BASE</c:v>
                </c:pt>
                <c:pt idx="14">
                  <c:v>M2</c:v>
                </c:pt>
                <c:pt idx="15">
                  <c:v>BODY</c:v>
                </c:pt>
              </c:strCache>
            </c:strRef>
          </c:cat>
          <c:val>
            <c:numRef>
              <c:f>'09'!$L$6:$L$22</c:f>
              <c:numCache>
                <c:formatCode>_(* #,##0_);_(* \(#,##0\);_(* "-"_);_(@_)</c:formatCode>
                <c:ptCount val="17"/>
                <c:pt idx="2">
                  <c:v>356</c:v>
                </c:pt>
                <c:pt idx="3">
                  <c:v>1766</c:v>
                </c:pt>
                <c:pt idx="4">
                  <c:v>173120</c:v>
                </c:pt>
                <c:pt idx="5">
                  <c:v>4240</c:v>
                </c:pt>
                <c:pt idx="6">
                  <c:v>570</c:v>
                </c:pt>
                <c:pt idx="7">
                  <c:v>5421</c:v>
                </c:pt>
                <c:pt idx="8">
                  <c:v>107</c:v>
                </c:pt>
                <c:pt idx="11">
                  <c:v>319</c:v>
                </c:pt>
                <c:pt idx="12">
                  <c:v>370</c:v>
                </c:pt>
                <c:pt idx="13">
                  <c:v>323</c:v>
                </c:pt>
                <c:pt idx="14">
                  <c:v>2091</c:v>
                </c:pt>
                <c:pt idx="15">
                  <c:v>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6-4D3B-8525-CC3DC4E50817}"/>
            </c:ext>
          </c:extLst>
        </c:ser>
        <c:ser>
          <c:idx val="1"/>
          <c:order val="1"/>
          <c:tx>
            <c:v>계획</c:v>
          </c:tx>
          <c:cat>
            <c:strRef>
              <c:f>'09'!$D$6:$D$22</c:f>
              <c:strCache>
                <c:ptCount val="16"/>
                <c:pt idx="2">
                  <c:v>COVER</c:v>
                </c:pt>
                <c:pt idx="3">
                  <c:v>ACTUATOR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ADAPTER</c:v>
                </c:pt>
                <c:pt idx="13">
                  <c:v>BASE</c:v>
                </c:pt>
                <c:pt idx="14">
                  <c:v>M2</c:v>
                </c:pt>
                <c:pt idx="15">
                  <c:v>BODY</c:v>
                </c:pt>
              </c:strCache>
            </c:strRef>
          </c:cat>
          <c:val>
            <c:numRef>
              <c:f>'09'!$J$6:$J$22</c:f>
              <c:numCache>
                <c:formatCode>_(* #,##0_);_(* \(#,##0\);_(* "-"_);_(@_)</c:formatCode>
                <c:ptCount val="17"/>
                <c:pt idx="0">
                  <c:v>36840</c:v>
                </c:pt>
                <c:pt idx="1">
                  <c:v>800</c:v>
                </c:pt>
                <c:pt idx="2">
                  <c:v>356</c:v>
                </c:pt>
                <c:pt idx="3">
                  <c:v>1766</c:v>
                </c:pt>
                <c:pt idx="4">
                  <c:v>173120</c:v>
                </c:pt>
                <c:pt idx="5">
                  <c:v>4240</c:v>
                </c:pt>
                <c:pt idx="6">
                  <c:v>570</c:v>
                </c:pt>
                <c:pt idx="7">
                  <c:v>5421</c:v>
                </c:pt>
                <c:pt idx="8">
                  <c:v>107</c:v>
                </c:pt>
                <c:pt idx="9">
                  <c:v>32361</c:v>
                </c:pt>
                <c:pt idx="10">
                  <c:v>4150</c:v>
                </c:pt>
                <c:pt idx="11">
                  <c:v>319</c:v>
                </c:pt>
                <c:pt idx="12">
                  <c:v>370</c:v>
                </c:pt>
                <c:pt idx="13">
                  <c:v>323</c:v>
                </c:pt>
                <c:pt idx="14">
                  <c:v>2091</c:v>
                </c:pt>
                <c:pt idx="15">
                  <c:v>371</c:v>
                </c:pt>
                <c:pt idx="16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6-4D3B-8525-CC3DC4E50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978112"/>
        <c:axId val="381022144"/>
      </c:lineChart>
      <c:catAx>
        <c:axId val="349978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1022144"/>
        <c:crosses val="autoZero"/>
        <c:auto val="1"/>
        <c:lblAlgn val="ctr"/>
        <c:lblOffset val="100"/>
        <c:noMultiLvlLbl val="0"/>
      </c:catAx>
      <c:valAx>
        <c:axId val="3810221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49978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50%</c:v>
                </c:pt>
                <c:pt idx="4">
                  <c:v>100%</c:v>
                </c:pt>
                <c:pt idx="5">
                  <c:v>83%</c:v>
                </c:pt>
                <c:pt idx="6">
                  <c:v>25%</c:v>
                </c:pt>
                <c:pt idx="7">
                  <c:v>88%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17%</c:v>
                </c:pt>
                <c:pt idx="12">
                  <c:v>17%</c:v>
                </c:pt>
                <c:pt idx="13">
                  <c:v>17%</c:v>
                </c:pt>
                <c:pt idx="14">
                  <c:v>54%</c:v>
                </c:pt>
                <c:pt idx="15">
                  <c:v>17%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'09'!$D$6:$D$22</c:f>
              <c:strCache>
                <c:ptCount val="16"/>
                <c:pt idx="2">
                  <c:v>COVER</c:v>
                </c:pt>
                <c:pt idx="3">
                  <c:v>ACTUATOR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ADAPTER</c:v>
                </c:pt>
                <c:pt idx="13">
                  <c:v>BASE</c:v>
                </c:pt>
                <c:pt idx="14">
                  <c:v>M2</c:v>
                </c:pt>
                <c:pt idx="15">
                  <c:v>BODY</c:v>
                </c:pt>
              </c:strCache>
            </c:strRef>
          </c:cat>
          <c:val>
            <c:numRef>
              <c:f>'09'!$AD$6:$AD$22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0.5</c:v>
                </c:pt>
                <c:pt idx="4">
                  <c:v>1</c:v>
                </c:pt>
                <c:pt idx="5">
                  <c:v>0.83333333333333337</c:v>
                </c:pt>
                <c:pt idx="6">
                  <c:v>0.25</c:v>
                </c:pt>
                <c:pt idx="7">
                  <c:v>0.875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0.54166666666666663</c:v>
                </c:pt>
                <c:pt idx="15">
                  <c:v>0.16666666666666666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8B-48A8-B48E-AE874334DCE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8B-48A8-B48E-AE874334DCE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'09'!$D$6:$D$22</c:f>
              <c:strCache>
                <c:ptCount val="16"/>
                <c:pt idx="2">
                  <c:v>COVER</c:v>
                </c:pt>
                <c:pt idx="3">
                  <c:v>ACTUATOR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ADAPTER</c:v>
                </c:pt>
                <c:pt idx="13">
                  <c:v>BASE</c:v>
                </c:pt>
                <c:pt idx="14">
                  <c:v>M2</c:v>
                </c:pt>
                <c:pt idx="15">
                  <c:v>BODY</c:v>
                </c:pt>
              </c:strCache>
            </c:strRef>
          </c:cat>
          <c:val>
            <c:numRef>
              <c:f>'09'!$AE$6:$AE$22</c:f>
              <c:numCache>
                <c:formatCode>0%</c:formatCode>
                <c:ptCount val="17"/>
                <c:pt idx="0">
                  <c:v>0.33333333333333337</c:v>
                </c:pt>
                <c:pt idx="1">
                  <c:v>0.33333333333333337</c:v>
                </c:pt>
                <c:pt idx="2">
                  <c:v>0.33333333333333337</c:v>
                </c:pt>
                <c:pt idx="3">
                  <c:v>0.33333333333333337</c:v>
                </c:pt>
                <c:pt idx="4">
                  <c:v>0.33333333333333337</c:v>
                </c:pt>
                <c:pt idx="5">
                  <c:v>0.33333333333333337</c:v>
                </c:pt>
                <c:pt idx="6">
                  <c:v>0.33333333333333337</c:v>
                </c:pt>
                <c:pt idx="7">
                  <c:v>0.33333333333333337</c:v>
                </c:pt>
                <c:pt idx="8">
                  <c:v>0.33333333333333337</c:v>
                </c:pt>
                <c:pt idx="9">
                  <c:v>0.33333333333333337</c:v>
                </c:pt>
                <c:pt idx="10">
                  <c:v>0.33333333333333337</c:v>
                </c:pt>
                <c:pt idx="11">
                  <c:v>0.33333333333333337</c:v>
                </c:pt>
                <c:pt idx="12">
                  <c:v>0.33333333333333337</c:v>
                </c:pt>
                <c:pt idx="13">
                  <c:v>0.33333333333333337</c:v>
                </c:pt>
                <c:pt idx="14">
                  <c:v>0.33333333333333337</c:v>
                </c:pt>
                <c:pt idx="15">
                  <c:v>0.33333333333333337</c:v>
                </c:pt>
                <c:pt idx="16">
                  <c:v>0.33333333333333337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8B-48A8-B48E-AE874334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995520"/>
        <c:axId val="381025024"/>
      </c:lineChart>
      <c:catAx>
        <c:axId val="34999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1025024"/>
        <c:crosses val="autoZero"/>
        <c:auto val="1"/>
        <c:lblAlgn val="ctr"/>
        <c:lblOffset val="100"/>
        <c:noMultiLvlLbl val="0"/>
      </c:catAx>
      <c:valAx>
        <c:axId val="3810250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49995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'09'!$D$6:$D$22</c:f>
              <c:strCache>
                <c:ptCount val="16"/>
                <c:pt idx="2">
                  <c:v>COVER</c:v>
                </c:pt>
                <c:pt idx="3">
                  <c:v>ACTUATOR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ADAPTER</c:v>
                </c:pt>
                <c:pt idx="13">
                  <c:v>BASE</c:v>
                </c:pt>
                <c:pt idx="14">
                  <c:v>M2</c:v>
                </c:pt>
                <c:pt idx="15">
                  <c:v>BODY</c:v>
                </c:pt>
              </c:strCache>
            </c:strRef>
          </c:cat>
          <c:val>
            <c:numRef>
              <c:f>'09'!$L$6:$L$22</c:f>
              <c:numCache>
                <c:formatCode>_(* #,##0_);_(* \(#,##0\);_(* "-"_);_(@_)</c:formatCode>
                <c:ptCount val="17"/>
                <c:pt idx="2">
                  <c:v>356</c:v>
                </c:pt>
                <c:pt idx="3">
                  <c:v>1766</c:v>
                </c:pt>
                <c:pt idx="4">
                  <c:v>173120</c:v>
                </c:pt>
                <c:pt idx="5">
                  <c:v>4240</c:v>
                </c:pt>
                <c:pt idx="6">
                  <c:v>570</c:v>
                </c:pt>
                <c:pt idx="7">
                  <c:v>5421</c:v>
                </c:pt>
                <c:pt idx="8">
                  <c:v>107</c:v>
                </c:pt>
                <c:pt idx="11">
                  <c:v>319</c:v>
                </c:pt>
                <c:pt idx="12">
                  <c:v>370</c:v>
                </c:pt>
                <c:pt idx="13">
                  <c:v>323</c:v>
                </c:pt>
                <c:pt idx="14">
                  <c:v>2091</c:v>
                </c:pt>
                <c:pt idx="15">
                  <c:v>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6-4304-9651-7AE8BC8DCB73}"/>
            </c:ext>
          </c:extLst>
        </c:ser>
        <c:ser>
          <c:idx val="1"/>
          <c:order val="1"/>
          <c:tx>
            <c:v>계획</c:v>
          </c:tx>
          <c:cat>
            <c:strRef>
              <c:f>'09'!$D$6:$D$22</c:f>
              <c:strCache>
                <c:ptCount val="16"/>
                <c:pt idx="2">
                  <c:v>COVER</c:v>
                </c:pt>
                <c:pt idx="3">
                  <c:v>ACTUATOR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ADAPTER</c:v>
                </c:pt>
                <c:pt idx="13">
                  <c:v>BASE</c:v>
                </c:pt>
                <c:pt idx="14">
                  <c:v>M2</c:v>
                </c:pt>
                <c:pt idx="15">
                  <c:v>BODY</c:v>
                </c:pt>
              </c:strCache>
            </c:strRef>
          </c:cat>
          <c:val>
            <c:numRef>
              <c:f>'09'!$J$6:$J$22</c:f>
              <c:numCache>
                <c:formatCode>_(* #,##0_);_(* \(#,##0\);_(* "-"_);_(@_)</c:formatCode>
                <c:ptCount val="17"/>
                <c:pt idx="0">
                  <c:v>36840</c:v>
                </c:pt>
                <c:pt idx="1">
                  <c:v>800</c:v>
                </c:pt>
                <c:pt idx="2">
                  <c:v>356</c:v>
                </c:pt>
                <c:pt idx="3">
                  <c:v>1766</c:v>
                </c:pt>
                <c:pt idx="4">
                  <c:v>173120</c:v>
                </c:pt>
                <c:pt idx="5">
                  <c:v>4240</c:v>
                </c:pt>
                <c:pt idx="6">
                  <c:v>570</c:v>
                </c:pt>
                <c:pt idx="7">
                  <c:v>5421</c:v>
                </c:pt>
                <c:pt idx="8">
                  <c:v>107</c:v>
                </c:pt>
                <c:pt idx="9">
                  <c:v>32361</c:v>
                </c:pt>
                <c:pt idx="10">
                  <c:v>4150</c:v>
                </c:pt>
                <c:pt idx="11">
                  <c:v>319</c:v>
                </c:pt>
                <c:pt idx="12">
                  <c:v>370</c:v>
                </c:pt>
                <c:pt idx="13">
                  <c:v>323</c:v>
                </c:pt>
                <c:pt idx="14">
                  <c:v>2091</c:v>
                </c:pt>
                <c:pt idx="15">
                  <c:v>371</c:v>
                </c:pt>
                <c:pt idx="16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56-4304-9651-7AE8BC8DC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996544"/>
        <c:axId val="391808128"/>
      </c:lineChart>
      <c:catAx>
        <c:axId val="34999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1808128"/>
        <c:crosses val="autoZero"/>
        <c:auto val="1"/>
        <c:lblAlgn val="ctr"/>
        <c:lblOffset val="100"/>
        <c:noMultiLvlLbl val="0"/>
      </c:catAx>
      <c:valAx>
        <c:axId val="39180812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49996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17%</c:v>
                </c:pt>
                <c:pt idx="3">
                  <c:v>50%</c:v>
                </c:pt>
                <c:pt idx="4">
                  <c:v>100%</c:v>
                </c:pt>
                <c:pt idx="5">
                  <c:v>83%</c:v>
                </c:pt>
                <c:pt idx="6">
                  <c:v>25%</c:v>
                </c:pt>
                <c:pt idx="7">
                  <c:v>88%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17%</c:v>
                </c:pt>
                <c:pt idx="12">
                  <c:v>17%</c:v>
                </c:pt>
                <c:pt idx="13">
                  <c:v>17%</c:v>
                </c:pt>
                <c:pt idx="14">
                  <c:v>54%</c:v>
                </c:pt>
                <c:pt idx="15">
                  <c:v>17%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'09'!$D$6:$D$22</c:f>
              <c:strCache>
                <c:ptCount val="16"/>
                <c:pt idx="2">
                  <c:v>COVER</c:v>
                </c:pt>
                <c:pt idx="3">
                  <c:v>ACTUATOR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ADAPTER</c:v>
                </c:pt>
                <c:pt idx="13">
                  <c:v>BASE</c:v>
                </c:pt>
                <c:pt idx="14">
                  <c:v>M2</c:v>
                </c:pt>
                <c:pt idx="15">
                  <c:v>BODY</c:v>
                </c:pt>
              </c:strCache>
            </c:strRef>
          </c:cat>
          <c:val>
            <c:numRef>
              <c:f>'09'!$AD$6:$AD$22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0.5</c:v>
                </c:pt>
                <c:pt idx="4">
                  <c:v>1</c:v>
                </c:pt>
                <c:pt idx="5">
                  <c:v>0.83333333333333337</c:v>
                </c:pt>
                <c:pt idx="6">
                  <c:v>0.25</c:v>
                </c:pt>
                <c:pt idx="7">
                  <c:v>0.875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0.54166666666666663</c:v>
                </c:pt>
                <c:pt idx="15">
                  <c:v>0.16666666666666666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A-4883-B04E-1F390968992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4A-4883-B04E-1F390968992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'09'!$D$6:$D$22</c:f>
              <c:strCache>
                <c:ptCount val="16"/>
                <c:pt idx="2">
                  <c:v>COVER</c:v>
                </c:pt>
                <c:pt idx="3">
                  <c:v>ACTUATOR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ADAPTER</c:v>
                </c:pt>
                <c:pt idx="13">
                  <c:v>BASE</c:v>
                </c:pt>
                <c:pt idx="14">
                  <c:v>M2</c:v>
                </c:pt>
                <c:pt idx="15">
                  <c:v>BODY</c:v>
                </c:pt>
              </c:strCache>
            </c:strRef>
          </c:cat>
          <c:val>
            <c:numRef>
              <c:f>'09'!$AE$6:$AE$22</c:f>
              <c:numCache>
                <c:formatCode>0%</c:formatCode>
                <c:ptCount val="17"/>
                <c:pt idx="0">
                  <c:v>0.33333333333333337</c:v>
                </c:pt>
                <c:pt idx="1">
                  <c:v>0.33333333333333337</c:v>
                </c:pt>
                <c:pt idx="2">
                  <c:v>0.33333333333333337</c:v>
                </c:pt>
                <c:pt idx="3">
                  <c:v>0.33333333333333337</c:v>
                </c:pt>
                <c:pt idx="4">
                  <c:v>0.33333333333333337</c:v>
                </c:pt>
                <c:pt idx="5">
                  <c:v>0.33333333333333337</c:v>
                </c:pt>
                <c:pt idx="6">
                  <c:v>0.33333333333333337</c:v>
                </c:pt>
                <c:pt idx="7">
                  <c:v>0.33333333333333337</c:v>
                </c:pt>
                <c:pt idx="8">
                  <c:v>0.33333333333333337</c:v>
                </c:pt>
                <c:pt idx="9">
                  <c:v>0.33333333333333337</c:v>
                </c:pt>
                <c:pt idx="10">
                  <c:v>0.33333333333333337</c:v>
                </c:pt>
                <c:pt idx="11">
                  <c:v>0.33333333333333337</c:v>
                </c:pt>
                <c:pt idx="12">
                  <c:v>0.33333333333333337</c:v>
                </c:pt>
                <c:pt idx="13">
                  <c:v>0.33333333333333337</c:v>
                </c:pt>
                <c:pt idx="14">
                  <c:v>0.33333333333333337</c:v>
                </c:pt>
                <c:pt idx="15">
                  <c:v>0.33333333333333337</c:v>
                </c:pt>
                <c:pt idx="16">
                  <c:v>0.33333333333333337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4A-4883-B04E-1F3909689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997056"/>
        <c:axId val="391809856"/>
      </c:lineChart>
      <c:catAx>
        <c:axId val="34999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91809856"/>
        <c:crosses val="autoZero"/>
        <c:auto val="1"/>
        <c:lblAlgn val="ctr"/>
        <c:lblOffset val="100"/>
        <c:noMultiLvlLbl val="0"/>
      </c:catAx>
      <c:valAx>
        <c:axId val="3918098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49997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6A2-46EF-B9FE-9376F7BE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2-46EF-B9FE-9376F7BED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9997568"/>
        <c:axId val="39181216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A2-46EF-B9FE-9376F7BED9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A2-46EF-B9FE-9376F7BED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997568"/>
        <c:axId val="391812160"/>
      </c:lineChart>
      <c:catAx>
        <c:axId val="349997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1812160"/>
        <c:crosses val="autoZero"/>
        <c:auto val="1"/>
        <c:lblAlgn val="ctr"/>
        <c:lblOffset val="100"/>
        <c:noMultiLvlLbl val="0"/>
      </c:catAx>
      <c:valAx>
        <c:axId val="3918121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4999756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UNDER</c:v>
                </c:pt>
                <c:pt idx="13">
                  <c:v>BOTTOM</c:v>
                </c:pt>
                <c:pt idx="14">
                  <c:v>BODY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2">
                  <c:v>3942</c:v>
                </c:pt>
                <c:pt idx="3">
                  <c:v>3856</c:v>
                </c:pt>
                <c:pt idx="4">
                  <c:v>12128</c:v>
                </c:pt>
                <c:pt idx="5">
                  <c:v>1852</c:v>
                </c:pt>
                <c:pt idx="6">
                  <c:v>1359</c:v>
                </c:pt>
                <c:pt idx="8">
                  <c:v>434</c:v>
                </c:pt>
                <c:pt idx="11">
                  <c:v>378</c:v>
                </c:pt>
                <c:pt idx="12">
                  <c:v>1652</c:v>
                </c:pt>
                <c:pt idx="13">
                  <c:v>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28-4F9C-A950-24A2C3636971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UNDER</c:v>
                </c:pt>
                <c:pt idx="13">
                  <c:v>BOTTOM</c:v>
                </c:pt>
                <c:pt idx="14">
                  <c:v>BODY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36840</c:v>
                </c:pt>
                <c:pt idx="1">
                  <c:v>800</c:v>
                </c:pt>
                <c:pt idx="2">
                  <c:v>3942</c:v>
                </c:pt>
                <c:pt idx="3">
                  <c:v>3856</c:v>
                </c:pt>
                <c:pt idx="4">
                  <c:v>12128</c:v>
                </c:pt>
                <c:pt idx="5">
                  <c:v>1852</c:v>
                </c:pt>
                <c:pt idx="6">
                  <c:v>1360</c:v>
                </c:pt>
                <c:pt idx="7">
                  <c:v>5421</c:v>
                </c:pt>
                <c:pt idx="8">
                  <c:v>434</c:v>
                </c:pt>
                <c:pt idx="9">
                  <c:v>32361</c:v>
                </c:pt>
                <c:pt idx="10">
                  <c:v>4150</c:v>
                </c:pt>
                <c:pt idx="11">
                  <c:v>319</c:v>
                </c:pt>
                <c:pt idx="12">
                  <c:v>1652</c:v>
                </c:pt>
                <c:pt idx="13">
                  <c:v>1103</c:v>
                </c:pt>
                <c:pt idx="14">
                  <c:v>371</c:v>
                </c:pt>
                <c:pt idx="15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28-4F9C-A950-24A2C3636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246400"/>
        <c:axId val="233750528"/>
      </c:lineChart>
      <c:catAx>
        <c:axId val="35024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3750528"/>
        <c:crosses val="autoZero"/>
        <c:auto val="1"/>
        <c:lblAlgn val="ctr"/>
        <c:lblOffset val="100"/>
        <c:noMultiLvlLbl val="0"/>
      </c:catAx>
      <c:valAx>
        <c:axId val="23375052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50246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83%</c:v>
                </c:pt>
                <c:pt idx="4">
                  <c:v>21%</c:v>
                </c:pt>
                <c:pt idx="5">
                  <c:v>42%</c:v>
                </c:pt>
                <c:pt idx="6">
                  <c:v>25%</c:v>
                </c:pt>
                <c:pt idx="7">
                  <c:v>0%</c:v>
                </c:pt>
                <c:pt idx="8">
                  <c:v>33%</c:v>
                </c:pt>
                <c:pt idx="9">
                  <c:v>0%</c:v>
                </c:pt>
                <c:pt idx="10">
                  <c:v>0%</c:v>
                </c:pt>
                <c:pt idx="11">
                  <c:v>20%</c:v>
                </c:pt>
                <c:pt idx="12">
                  <c:v>42%</c:v>
                </c:pt>
                <c:pt idx="13">
                  <c:v>42%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UNDER</c:v>
                </c:pt>
                <c:pt idx="13">
                  <c:v>BOTTOM</c:v>
                </c:pt>
                <c:pt idx="14">
                  <c:v>BODY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0.83333333333333337</c:v>
                </c:pt>
                <c:pt idx="4">
                  <c:v>0.20833333333333334</c:v>
                </c:pt>
                <c:pt idx="5">
                  <c:v>0.41666666666666669</c:v>
                </c:pt>
                <c:pt idx="6">
                  <c:v>0.24981617647058824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0.19749216300940436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E-4D0B-AD71-CCB438E4ED6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4E-4D0B-AD71-CCB438E4ED6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UNDER</c:v>
                </c:pt>
                <c:pt idx="13">
                  <c:v>BOTTOM</c:v>
                </c:pt>
                <c:pt idx="14">
                  <c:v>BODY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0.26315388929866618</c:v>
                </c:pt>
                <c:pt idx="1">
                  <c:v>0.26315388929866618</c:v>
                </c:pt>
                <c:pt idx="2">
                  <c:v>0.26315388929866618</c:v>
                </c:pt>
                <c:pt idx="3">
                  <c:v>0.26315388929866618</c:v>
                </c:pt>
                <c:pt idx="4">
                  <c:v>0.26315388929866618</c:v>
                </c:pt>
                <c:pt idx="5">
                  <c:v>0.26315388929866618</c:v>
                </c:pt>
                <c:pt idx="6">
                  <c:v>0.26315388929866618</c:v>
                </c:pt>
                <c:pt idx="7">
                  <c:v>0.26315388929866618</c:v>
                </c:pt>
                <c:pt idx="8">
                  <c:v>0.26315388929866618</c:v>
                </c:pt>
                <c:pt idx="9">
                  <c:v>0.26315388929866618</c:v>
                </c:pt>
                <c:pt idx="10">
                  <c:v>0.26315388929866618</c:v>
                </c:pt>
                <c:pt idx="11">
                  <c:v>0.26315388929866618</c:v>
                </c:pt>
                <c:pt idx="12">
                  <c:v>0.26315388929866618</c:v>
                </c:pt>
                <c:pt idx="13">
                  <c:v>0.26315388929866618</c:v>
                </c:pt>
                <c:pt idx="14">
                  <c:v>0.26315388929866618</c:v>
                </c:pt>
                <c:pt idx="15">
                  <c:v>0.26315388929866618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4E-4D0B-AD71-CCB438E4E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248448"/>
        <c:axId val="233752256"/>
      </c:lineChart>
      <c:catAx>
        <c:axId val="35024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33752256"/>
        <c:crosses val="autoZero"/>
        <c:auto val="1"/>
        <c:lblAlgn val="ctr"/>
        <c:lblOffset val="100"/>
        <c:noMultiLvlLbl val="0"/>
      </c:catAx>
      <c:valAx>
        <c:axId val="2337522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50248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UNDER</c:v>
                </c:pt>
                <c:pt idx="13">
                  <c:v>BOTTOM</c:v>
                </c:pt>
                <c:pt idx="14">
                  <c:v>BODY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2">
                  <c:v>3942</c:v>
                </c:pt>
                <c:pt idx="3">
                  <c:v>3856</c:v>
                </c:pt>
                <c:pt idx="4">
                  <c:v>12128</c:v>
                </c:pt>
                <c:pt idx="5">
                  <c:v>1852</c:v>
                </c:pt>
                <c:pt idx="6">
                  <c:v>1359</c:v>
                </c:pt>
                <c:pt idx="8">
                  <c:v>434</c:v>
                </c:pt>
                <c:pt idx="11">
                  <c:v>378</c:v>
                </c:pt>
                <c:pt idx="12">
                  <c:v>1652</c:v>
                </c:pt>
                <c:pt idx="13">
                  <c:v>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6-437B-99C1-2E2788E3D5A1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UNDER</c:v>
                </c:pt>
                <c:pt idx="13">
                  <c:v>BOTTOM</c:v>
                </c:pt>
                <c:pt idx="14">
                  <c:v>BODY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36840</c:v>
                </c:pt>
                <c:pt idx="1">
                  <c:v>800</c:v>
                </c:pt>
                <c:pt idx="2">
                  <c:v>3942</c:v>
                </c:pt>
                <c:pt idx="3">
                  <c:v>3856</c:v>
                </c:pt>
                <c:pt idx="4">
                  <c:v>12128</c:v>
                </c:pt>
                <c:pt idx="5">
                  <c:v>1852</c:v>
                </c:pt>
                <c:pt idx="6">
                  <c:v>1360</c:v>
                </c:pt>
                <c:pt idx="7">
                  <c:v>5421</c:v>
                </c:pt>
                <c:pt idx="8">
                  <c:v>434</c:v>
                </c:pt>
                <c:pt idx="9">
                  <c:v>32361</c:v>
                </c:pt>
                <c:pt idx="10">
                  <c:v>4150</c:v>
                </c:pt>
                <c:pt idx="11">
                  <c:v>319</c:v>
                </c:pt>
                <c:pt idx="12">
                  <c:v>1652</c:v>
                </c:pt>
                <c:pt idx="13">
                  <c:v>1103</c:v>
                </c:pt>
                <c:pt idx="14">
                  <c:v>371</c:v>
                </c:pt>
                <c:pt idx="15">
                  <c:v>33190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96-437B-99C1-2E2788E3D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326784"/>
        <c:axId val="233754560"/>
      </c:lineChart>
      <c:catAx>
        <c:axId val="35032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3754560"/>
        <c:crosses val="autoZero"/>
        <c:auto val="1"/>
        <c:lblAlgn val="ctr"/>
        <c:lblOffset val="100"/>
        <c:noMultiLvlLbl val="0"/>
      </c:catAx>
      <c:valAx>
        <c:axId val="2337545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50326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83%</c:v>
                </c:pt>
                <c:pt idx="4">
                  <c:v>21%</c:v>
                </c:pt>
                <c:pt idx="5">
                  <c:v>42%</c:v>
                </c:pt>
                <c:pt idx="6">
                  <c:v>25%</c:v>
                </c:pt>
                <c:pt idx="7">
                  <c:v>0%</c:v>
                </c:pt>
                <c:pt idx="8">
                  <c:v>33%</c:v>
                </c:pt>
                <c:pt idx="9">
                  <c:v>0%</c:v>
                </c:pt>
                <c:pt idx="10">
                  <c:v>0%</c:v>
                </c:pt>
                <c:pt idx="11">
                  <c:v>20%</c:v>
                </c:pt>
                <c:pt idx="12">
                  <c:v>42%</c:v>
                </c:pt>
                <c:pt idx="13">
                  <c:v>42%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UNDER</c:v>
                </c:pt>
                <c:pt idx="13">
                  <c:v>BOTTOM</c:v>
                </c:pt>
                <c:pt idx="14">
                  <c:v>BODY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0.83333333333333337</c:v>
                </c:pt>
                <c:pt idx="4">
                  <c:v>0.20833333333333334</c:v>
                </c:pt>
                <c:pt idx="5">
                  <c:v>0.41666666666666669</c:v>
                </c:pt>
                <c:pt idx="6">
                  <c:v>0.24981617647058824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0.19749216300940436</c:v>
                </c:pt>
                <c:pt idx="12">
                  <c:v>0.41666666666666669</c:v>
                </c:pt>
                <c:pt idx="13">
                  <c:v>0.41666666666666669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2-4E0F-9861-E054C528D8F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A2-4E0F-9861-E054C528D8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ADAPTER</c:v>
                </c:pt>
                <c:pt idx="12">
                  <c:v>UNDER</c:v>
                </c:pt>
                <c:pt idx="13">
                  <c:v>BOTTOM</c:v>
                </c:pt>
                <c:pt idx="14">
                  <c:v>BODY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0.26315388929866618</c:v>
                </c:pt>
                <c:pt idx="1">
                  <c:v>0.26315388929866618</c:v>
                </c:pt>
                <c:pt idx="2">
                  <c:v>0.26315388929866618</c:v>
                </c:pt>
                <c:pt idx="3">
                  <c:v>0.26315388929866618</c:v>
                </c:pt>
                <c:pt idx="4">
                  <c:v>0.26315388929866618</c:v>
                </c:pt>
                <c:pt idx="5">
                  <c:v>0.26315388929866618</c:v>
                </c:pt>
                <c:pt idx="6">
                  <c:v>0.26315388929866618</c:v>
                </c:pt>
                <c:pt idx="7">
                  <c:v>0.26315388929866618</c:v>
                </c:pt>
                <c:pt idx="8">
                  <c:v>0.26315388929866618</c:v>
                </c:pt>
                <c:pt idx="9">
                  <c:v>0.26315388929866618</c:v>
                </c:pt>
                <c:pt idx="10">
                  <c:v>0.26315388929866618</c:v>
                </c:pt>
                <c:pt idx="11">
                  <c:v>0.26315388929866618</c:v>
                </c:pt>
                <c:pt idx="12">
                  <c:v>0.26315388929866618</c:v>
                </c:pt>
                <c:pt idx="13">
                  <c:v>0.26315388929866618</c:v>
                </c:pt>
                <c:pt idx="14">
                  <c:v>0.26315388929866618</c:v>
                </c:pt>
                <c:pt idx="15">
                  <c:v>0.26315388929866618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A2-4E0F-9861-E054C528D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328320"/>
        <c:axId val="233756288"/>
      </c:lineChart>
      <c:catAx>
        <c:axId val="35032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33756288"/>
        <c:crosses val="autoZero"/>
        <c:auto val="1"/>
        <c:lblAlgn val="ctr"/>
        <c:lblOffset val="100"/>
        <c:noMultiLvlLbl val="0"/>
      </c:catAx>
      <c:valAx>
        <c:axId val="2337562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50328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3D2-4ABF-89BA-1F64961421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D2-4ABF-89BA-1F6496142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328832"/>
        <c:axId val="34736537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3D2-4ABF-89BA-1F64961421B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D2-4ABF-89BA-1F6496142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328832"/>
        <c:axId val="347365376"/>
      </c:lineChart>
      <c:catAx>
        <c:axId val="350328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47365376"/>
        <c:crosses val="autoZero"/>
        <c:auto val="1"/>
        <c:lblAlgn val="ctr"/>
        <c:lblOffset val="100"/>
        <c:noMultiLvlLbl val="0"/>
      </c:catAx>
      <c:valAx>
        <c:axId val="3473653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5032883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2">
                  <c:v>LATCH</c:v>
                </c:pt>
                <c:pt idx="3">
                  <c:v>STOPPER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2">
                  <c:v>2059</c:v>
                </c:pt>
                <c:pt idx="3">
                  <c:v>4249</c:v>
                </c:pt>
                <c:pt idx="4">
                  <c:v>72512</c:v>
                </c:pt>
                <c:pt idx="7">
                  <c:v>2514</c:v>
                </c:pt>
                <c:pt idx="11">
                  <c:v>1686</c:v>
                </c:pt>
                <c:pt idx="12">
                  <c:v>3026</c:v>
                </c:pt>
                <c:pt idx="13">
                  <c:v>1172</c:v>
                </c:pt>
                <c:pt idx="14">
                  <c:v>38596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5E-4E75-9C05-E0A1918A75C7}"/>
            </c:ext>
          </c:extLst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2">
                  <c:v>LATCH</c:v>
                </c:pt>
                <c:pt idx="3">
                  <c:v>STOPPER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4250</c:v>
                </c:pt>
                <c:pt idx="4">
                  <c:v>72520</c:v>
                </c:pt>
                <c:pt idx="5">
                  <c:v>1852</c:v>
                </c:pt>
                <c:pt idx="6">
                  <c:v>1360</c:v>
                </c:pt>
                <c:pt idx="7">
                  <c:v>2520</c:v>
                </c:pt>
                <c:pt idx="8">
                  <c:v>434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3030</c:v>
                </c:pt>
                <c:pt idx="13">
                  <c:v>1172</c:v>
                </c:pt>
                <c:pt idx="14">
                  <c:v>38600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5E-4E75-9C05-E0A1918A7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930944"/>
        <c:axId val="347368256"/>
      </c:lineChart>
      <c:catAx>
        <c:axId val="35093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7368256"/>
        <c:crosses val="autoZero"/>
        <c:auto val="1"/>
        <c:lblAlgn val="ctr"/>
        <c:lblOffset val="100"/>
        <c:noMultiLvlLbl val="0"/>
      </c:catAx>
      <c:valAx>
        <c:axId val="3473682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50930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67%</c:v>
                </c:pt>
                <c:pt idx="3">
                  <c:v>83%</c:v>
                </c:pt>
                <c:pt idx="4">
                  <c:v>79%</c:v>
                </c:pt>
                <c:pt idx="5">
                  <c:v>0%</c:v>
                </c:pt>
                <c:pt idx="6">
                  <c:v>0%</c:v>
                </c:pt>
                <c:pt idx="7">
                  <c:v>67%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75%</c:v>
                </c:pt>
                <c:pt idx="13">
                  <c:v>33%</c:v>
                </c:pt>
                <c:pt idx="14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LATCH</c:v>
                </c:pt>
                <c:pt idx="3">
                  <c:v>STOPPER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0.66634304207119732</c:v>
                </c:pt>
                <c:pt idx="3">
                  <c:v>0.83313725490196078</c:v>
                </c:pt>
                <c:pt idx="4">
                  <c:v>0.79157933443647721</c:v>
                </c:pt>
                <c:pt idx="5">
                  <c:v>0</c:v>
                </c:pt>
                <c:pt idx="6">
                  <c:v>0</c:v>
                </c:pt>
                <c:pt idx="7">
                  <c:v>0.66507936507936505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0.74900990099009901</c:v>
                </c:pt>
                <c:pt idx="13">
                  <c:v>0.33333333333333331</c:v>
                </c:pt>
                <c:pt idx="14">
                  <c:v>0.83324697754749577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4-4931-A697-367BF62C460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04-4931-A697-367BF62C460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LATCH</c:v>
                </c:pt>
                <c:pt idx="3">
                  <c:v>STOPPER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0.35255972500177296</c:v>
                </c:pt>
                <c:pt idx="1">
                  <c:v>0.35255972500177296</c:v>
                </c:pt>
                <c:pt idx="2">
                  <c:v>0.35255972500177296</c:v>
                </c:pt>
                <c:pt idx="3">
                  <c:v>0.35255972500177296</c:v>
                </c:pt>
                <c:pt idx="4">
                  <c:v>0.35255972500177296</c:v>
                </c:pt>
                <c:pt idx="5">
                  <c:v>0.35255972500177296</c:v>
                </c:pt>
                <c:pt idx="6">
                  <c:v>0.35255972500177296</c:v>
                </c:pt>
                <c:pt idx="7">
                  <c:v>0.35255972500177296</c:v>
                </c:pt>
                <c:pt idx="8">
                  <c:v>0.35255972500177296</c:v>
                </c:pt>
                <c:pt idx="9">
                  <c:v>0.35255972500177296</c:v>
                </c:pt>
                <c:pt idx="10">
                  <c:v>0.35255972500177296</c:v>
                </c:pt>
                <c:pt idx="11">
                  <c:v>0.35255972500177296</c:v>
                </c:pt>
                <c:pt idx="12">
                  <c:v>0.35255972500177296</c:v>
                </c:pt>
                <c:pt idx="13">
                  <c:v>0.35255972500177296</c:v>
                </c:pt>
                <c:pt idx="14">
                  <c:v>0.35255972500177296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04-4931-A697-367BF62C4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932480"/>
        <c:axId val="347369984"/>
      </c:lineChart>
      <c:catAx>
        <c:axId val="35093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7369984"/>
        <c:crosses val="autoZero"/>
        <c:auto val="1"/>
        <c:lblAlgn val="ctr"/>
        <c:lblOffset val="100"/>
        <c:noMultiLvlLbl val="0"/>
      </c:catAx>
      <c:valAx>
        <c:axId val="3473699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50932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2">
                  <c:v>LATCH</c:v>
                </c:pt>
                <c:pt idx="3">
                  <c:v>STOPPER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2">
                  <c:v>2059</c:v>
                </c:pt>
                <c:pt idx="3">
                  <c:v>4249</c:v>
                </c:pt>
                <c:pt idx="4">
                  <c:v>72512</c:v>
                </c:pt>
                <c:pt idx="7">
                  <c:v>2514</c:v>
                </c:pt>
                <c:pt idx="11">
                  <c:v>1686</c:v>
                </c:pt>
                <c:pt idx="12">
                  <c:v>3026</c:v>
                </c:pt>
                <c:pt idx="13">
                  <c:v>1172</c:v>
                </c:pt>
                <c:pt idx="14">
                  <c:v>38596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2-460B-885A-19ADA28388E5}"/>
            </c:ext>
          </c:extLst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2">
                  <c:v>LATCH</c:v>
                </c:pt>
                <c:pt idx="3">
                  <c:v>STOPPER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4250</c:v>
                </c:pt>
                <c:pt idx="4">
                  <c:v>72520</c:v>
                </c:pt>
                <c:pt idx="5">
                  <c:v>1852</c:v>
                </c:pt>
                <c:pt idx="6">
                  <c:v>1360</c:v>
                </c:pt>
                <c:pt idx="7">
                  <c:v>2520</c:v>
                </c:pt>
                <c:pt idx="8">
                  <c:v>434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3030</c:v>
                </c:pt>
                <c:pt idx="13">
                  <c:v>1172</c:v>
                </c:pt>
                <c:pt idx="14">
                  <c:v>38600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32-460B-885A-19ADA2838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982144"/>
        <c:axId val="347372288"/>
      </c:lineChart>
      <c:catAx>
        <c:axId val="35098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7372288"/>
        <c:crosses val="autoZero"/>
        <c:auto val="1"/>
        <c:lblAlgn val="ctr"/>
        <c:lblOffset val="100"/>
        <c:noMultiLvlLbl val="0"/>
      </c:catAx>
      <c:valAx>
        <c:axId val="3473722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50982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67%</c:v>
                </c:pt>
                <c:pt idx="3">
                  <c:v>83%</c:v>
                </c:pt>
                <c:pt idx="4">
                  <c:v>79%</c:v>
                </c:pt>
                <c:pt idx="5">
                  <c:v>0%</c:v>
                </c:pt>
                <c:pt idx="6">
                  <c:v>0%</c:v>
                </c:pt>
                <c:pt idx="7">
                  <c:v>67%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75%</c:v>
                </c:pt>
                <c:pt idx="13">
                  <c:v>33%</c:v>
                </c:pt>
                <c:pt idx="14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LATCH</c:v>
                </c:pt>
                <c:pt idx="3">
                  <c:v>STOPPER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0.66634304207119732</c:v>
                </c:pt>
                <c:pt idx="3">
                  <c:v>0.83313725490196078</c:v>
                </c:pt>
                <c:pt idx="4">
                  <c:v>0.79157933443647721</c:v>
                </c:pt>
                <c:pt idx="5">
                  <c:v>0</c:v>
                </c:pt>
                <c:pt idx="6">
                  <c:v>0</c:v>
                </c:pt>
                <c:pt idx="7">
                  <c:v>0.66507936507936505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0.74900990099009901</c:v>
                </c:pt>
                <c:pt idx="13">
                  <c:v>0.33333333333333331</c:v>
                </c:pt>
                <c:pt idx="14">
                  <c:v>0.83324697754749577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3-4B30-AC31-2CADECA1937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23-4B30-AC31-2CADECA193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LATCH</c:v>
                </c:pt>
                <c:pt idx="3">
                  <c:v>STOPPER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0.35255972500177296</c:v>
                </c:pt>
                <c:pt idx="1">
                  <c:v>0.35255972500177296</c:v>
                </c:pt>
                <c:pt idx="2">
                  <c:v>0.35255972500177296</c:v>
                </c:pt>
                <c:pt idx="3">
                  <c:v>0.35255972500177296</c:v>
                </c:pt>
                <c:pt idx="4">
                  <c:v>0.35255972500177296</c:v>
                </c:pt>
                <c:pt idx="5">
                  <c:v>0.35255972500177296</c:v>
                </c:pt>
                <c:pt idx="6">
                  <c:v>0.35255972500177296</c:v>
                </c:pt>
                <c:pt idx="7">
                  <c:v>0.35255972500177296</c:v>
                </c:pt>
                <c:pt idx="8">
                  <c:v>0.35255972500177296</c:v>
                </c:pt>
                <c:pt idx="9">
                  <c:v>0.35255972500177296</c:v>
                </c:pt>
                <c:pt idx="10">
                  <c:v>0.35255972500177296</c:v>
                </c:pt>
                <c:pt idx="11">
                  <c:v>0.35255972500177296</c:v>
                </c:pt>
                <c:pt idx="12">
                  <c:v>0.35255972500177296</c:v>
                </c:pt>
                <c:pt idx="13">
                  <c:v>0.35255972500177296</c:v>
                </c:pt>
                <c:pt idx="14">
                  <c:v>0.35255972500177296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23-4B30-AC31-2CADECA19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983168"/>
        <c:axId val="372630080"/>
      </c:lineChart>
      <c:catAx>
        <c:axId val="35098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2630080"/>
        <c:crosses val="autoZero"/>
        <c:auto val="1"/>
        <c:lblAlgn val="ctr"/>
        <c:lblOffset val="100"/>
        <c:noMultiLvlLbl val="0"/>
      </c:catAx>
      <c:valAx>
        <c:axId val="3726300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50983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A59-4DBC-8B95-4E3EC45C0A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9-4DBC-8B95-4E3EC45C0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329344"/>
        <c:axId val="3726323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A59-4DBC-8B95-4E3EC45C0A5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59-4DBC-8B95-4E3EC45C0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329344"/>
        <c:axId val="372632384"/>
      </c:lineChart>
      <c:catAx>
        <c:axId val="350329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2632384"/>
        <c:crosses val="autoZero"/>
        <c:auto val="1"/>
        <c:lblAlgn val="ctr"/>
        <c:lblOffset val="100"/>
        <c:noMultiLvlLbl val="0"/>
      </c:catAx>
      <c:valAx>
        <c:axId val="3726323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5032934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3">
                  <c:v>320</c:v>
                </c:pt>
                <c:pt idx="4">
                  <c:v>38992</c:v>
                </c:pt>
                <c:pt idx="6">
                  <c:v>1862</c:v>
                </c:pt>
                <c:pt idx="7">
                  <c:v>5794</c:v>
                </c:pt>
                <c:pt idx="12">
                  <c:v>5292</c:v>
                </c:pt>
                <c:pt idx="13">
                  <c:v>971</c:v>
                </c:pt>
                <c:pt idx="14">
                  <c:v>45712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89-4BDB-9955-34AED92359F2}"/>
            </c:ext>
          </c:extLst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320</c:v>
                </c:pt>
                <c:pt idx="4">
                  <c:v>38992</c:v>
                </c:pt>
                <c:pt idx="5">
                  <c:v>1852</c:v>
                </c:pt>
                <c:pt idx="6">
                  <c:v>1862</c:v>
                </c:pt>
                <c:pt idx="7">
                  <c:v>5800</c:v>
                </c:pt>
                <c:pt idx="8">
                  <c:v>434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5300</c:v>
                </c:pt>
                <c:pt idx="13">
                  <c:v>971</c:v>
                </c:pt>
                <c:pt idx="14">
                  <c:v>45720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89-4BDB-9955-34AED9235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195648"/>
        <c:axId val="372635264"/>
      </c:lineChart>
      <c:catAx>
        <c:axId val="35119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2635264"/>
        <c:crosses val="autoZero"/>
        <c:auto val="1"/>
        <c:lblAlgn val="ctr"/>
        <c:lblOffset val="100"/>
        <c:noMultiLvlLbl val="0"/>
      </c:catAx>
      <c:valAx>
        <c:axId val="3726352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51195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17%</c:v>
                </c:pt>
                <c:pt idx="4">
                  <c:v>25%</c:v>
                </c:pt>
                <c:pt idx="5">
                  <c:v>0%</c:v>
                </c:pt>
                <c:pt idx="6">
                  <c:v>42%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25%</c:v>
                </c:pt>
                <c:pt idx="14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0.25</c:v>
                </c:pt>
                <c:pt idx="5">
                  <c:v>0</c:v>
                </c:pt>
                <c:pt idx="6">
                  <c:v>0.41666666666666669</c:v>
                </c:pt>
                <c:pt idx="7">
                  <c:v>0.99896551724137927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0.99849056603773589</c:v>
                </c:pt>
                <c:pt idx="13">
                  <c:v>0.25</c:v>
                </c:pt>
                <c:pt idx="14">
                  <c:v>0.91650627004957708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A-463B-9037-2A93C98A8D0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EA-463B-9037-2A93C98A8D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0.2664863791108017</c:v>
                </c:pt>
                <c:pt idx="1">
                  <c:v>0.2664863791108017</c:v>
                </c:pt>
                <c:pt idx="2">
                  <c:v>0.2664863791108017</c:v>
                </c:pt>
                <c:pt idx="3">
                  <c:v>0.2664863791108017</c:v>
                </c:pt>
                <c:pt idx="4">
                  <c:v>0.2664863791108017</c:v>
                </c:pt>
                <c:pt idx="5">
                  <c:v>0.2664863791108017</c:v>
                </c:pt>
                <c:pt idx="6">
                  <c:v>0.2664863791108017</c:v>
                </c:pt>
                <c:pt idx="7">
                  <c:v>0.2664863791108017</c:v>
                </c:pt>
                <c:pt idx="8">
                  <c:v>0.2664863791108017</c:v>
                </c:pt>
                <c:pt idx="9">
                  <c:v>0.2664863791108017</c:v>
                </c:pt>
                <c:pt idx="10">
                  <c:v>0.2664863791108017</c:v>
                </c:pt>
                <c:pt idx="11">
                  <c:v>0.2664863791108017</c:v>
                </c:pt>
                <c:pt idx="12">
                  <c:v>0.2664863791108017</c:v>
                </c:pt>
                <c:pt idx="13">
                  <c:v>0.2664863791108017</c:v>
                </c:pt>
                <c:pt idx="14">
                  <c:v>0.2664863791108017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EA-463B-9037-2A93C98A8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197696"/>
        <c:axId val="372636992"/>
      </c:lineChart>
      <c:catAx>
        <c:axId val="35119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2636992"/>
        <c:crosses val="autoZero"/>
        <c:auto val="1"/>
        <c:lblAlgn val="ctr"/>
        <c:lblOffset val="100"/>
        <c:noMultiLvlLbl val="0"/>
      </c:catAx>
      <c:valAx>
        <c:axId val="3726369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51197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3">
                  <c:v>320</c:v>
                </c:pt>
                <c:pt idx="4">
                  <c:v>38992</c:v>
                </c:pt>
                <c:pt idx="6">
                  <c:v>1862</c:v>
                </c:pt>
                <c:pt idx="7">
                  <c:v>5794</c:v>
                </c:pt>
                <c:pt idx="12">
                  <c:v>5292</c:v>
                </c:pt>
                <c:pt idx="13">
                  <c:v>971</c:v>
                </c:pt>
                <c:pt idx="14">
                  <c:v>45712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B-4984-BCFE-CB20F1C5064C}"/>
            </c:ext>
          </c:extLst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320</c:v>
                </c:pt>
                <c:pt idx="4">
                  <c:v>38992</c:v>
                </c:pt>
                <c:pt idx="5">
                  <c:v>1852</c:v>
                </c:pt>
                <c:pt idx="6">
                  <c:v>1862</c:v>
                </c:pt>
                <c:pt idx="7">
                  <c:v>5800</c:v>
                </c:pt>
                <c:pt idx="8">
                  <c:v>434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5300</c:v>
                </c:pt>
                <c:pt idx="13">
                  <c:v>971</c:v>
                </c:pt>
                <c:pt idx="14">
                  <c:v>45720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B-4984-BCFE-CB20F1C50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198208"/>
        <c:axId val="372614848"/>
      </c:lineChart>
      <c:catAx>
        <c:axId val="35119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2614848"/>
        <c:crosses val="autoZero"/>
        <c:auto val="1"/>
        <c:lblAlgn val="ctr"/>
        <c:lblOffset val="100"/>
        <c:noMultiLvlLbl val="0"/>
      </c:catAx>
      <c:valAx>
        <c:axId val="3726148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51198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17%</c:v>
                </c:pt>
                <c:pt idx="4">
                  <c:v>25%</c:v>
                </c:pt>
                <c:pt idx="5">
                  <c:v>0%</c:v>
                </c:pt>
                <c:pt idx="6">
                  <c:v>42%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25%</c:v>
                </c:pt>
                <c:pt idx="14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0.25</c:v>
                </c:pt>
                <c:pt idx="5">
                  <c:v>0</c:v>
                </c:pt>
                <c:pt idx="6">
                  <c:v>0.41666666666666669</c:v>
                </c:pt>
                <c:pt idx="7">
                  <c:v>0.99896551724137927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0.99849056603773589</c:v>
                </c:pt>
                <c:pt idx="13">
                  <c:v>0.25</c:v>
                </c:pt>
                <c:pt idx="14">
                  <c:v>0.91650627004957708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2B-4D0C-919F-90F543201E4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2B-4D0C-919F-90F543201E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0.2664863791108017</c:v>
                </c:pt>
                <c:pt idx="1">
                  <c:v>0.2664863791108017</c:v>
                </c:pt>
                <c:pt idx="2">
                  <c:v>0.2664863791108017</c:v>
                </c:pt>
                <c:pt idx="3">
                  <c:v>0.2664863791108017</c:v>
                </c:pt>
                <c:pt idx="4">
                  <c:v>0.2664863791108017</c:v>
                </c:pt>
                <c:pt idx="5">
                  <c:v>0.2664863791108017</c:v>
                </c:pt>
                <c:pt idx="6">
                  <c:v>0.2664863791108017</c:v>
                </c:pt>
                <c:pt idx="7">
                  <c:v>0.2664863791108017</c:v>
                </c:pt>
                <c:pt idx="8">
                  <c:v>0.2664863791108017</c:v>
                </c:pt>
                <c:pt idx="9">
                  <c:v>0.2664863791108017</c:v>
                </c:pt>
                <c:pt idx="10">
                  <c:v>0.2664863791108017</c:v>
                </c:pt>
                <c:pt idx="11">
                  <c:v>0.2664863791108017</c:v>
                </c:pt>
                <c:pt idx="12">
                  <c:v>0.2664863791108017</c:v>
                </c:pt>
                <c:pt idx="13">
                  <c:v>0.2664863791108017</c:v>
                </c:pt>
                <c:pt idx="14">
                  <c:v>0.2664863791108017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2B-4D0C-919F-90F543201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290880"/>
        <c:axId val="372616576"/>
      </c:lineChart>
      <c:catAx>
        <c:axId val="35129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72616576"/>
        <c:crosses val="autoZero"/>
        <c:auto val="1"/>
        <c:lblAlgn val="ctr"/>
        <c:lblOffset val="100"/>
        <c:noMultiLvlLbl val="0"/>
      </c:catAx>
      <c:valAx>
        <c:axId val="3726165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51290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0AE-4668-9DE1-7CED49CF5C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AE-4668-9DE1-7CED49CF5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1292416"/>
        <c:axId val="37261888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0AE-4668-9DE1-7CED49CF5C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AE-4668-9DE1-7CED49CF5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292416"/>
        <c:axId val="372618880"/>
      </c:lineChart>
      <c:catAx>
        <c:axId val="35129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2618880"/>
        <c:crosses val="autoZero"/>
        <c:auto val="1"/>
        <c:lblAlgn val="ctr"/>
        <c:lblOffset val="100"/>
        <c:noMultiLvlLbl val="0"/>
      </c:catAx>
      <c:valAx>
        <c:axId val="3726188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5129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4">
                  <c:v>6292</c:v>
                </c:pt>
                <c:pt idx="6">
                  <c:v>4005</c:v>
                </c:pt>
                <c:pt idx="7">
                  <c:v>3897</c:v>
                </c:pt>
                <c:pt idx="12">
                  <c:v>2083</c:v>
                </c:pt>
                <c:pt idx="14">
                  <c:v>50484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22-4188-8183-9EFDF3AFC755}"/>
            </c:ext>
          </c:extLst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320</c:v>
                </c:pt>
                <c:pt idx="4">
                  <c:v>6300</c:v>
                </c:pt>
                <c:pt idx="5">
                  <c:v>1852</c:v>
                </c:pt>
                <c:pt idx="6">
                  <c:v>4005</c:v>
                </c:pt>
                <c:pt idx="7">
                  <c:v>3900</c:v>
                </c:pt>
                <c:pt idx="8">
                  <c:v>434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2090</c:v>
                </c:pt>
                <c:pt idx="13">
                  <c:v>971</c:v>
                </c:pt>
                <c:pt idx="14">
                  <c:v>50450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22-4188-8183-9EFDF3AFC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933888"/>
        <c:axId val="288662080"/>
      </c:lineChart>
      <c:catAx>
        <c:axId val="37693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8662080"/>
        <c:crosses val="autoZero"/>
        <c:auto val="1"/>
        <c:lblAlgn val="ctr"/>
        <c:lblOffset val="100"/>
        <c:noMultiLvlLbl val="0"/>
      </c:catAx>
      <c:valAx>
        <c:axId val="288662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76933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79%</c:v>
                </c:pt>
                <c:pt idx="5">
                  <c:v>0%</c:v>
                </c:pt>
                <c:pt idx="6">
                  <c:v>92%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0.79066137566137562</c:v>
                </c:pt>
                <c:pt idx="5">
                  <c:v>0</c:v>
                </c:pt>
                <c:pt idx="6">
                  <c:v>0.91666666666666663</c:v>
                </c:pt>
                <c:pt idx="7">
                  <c:v>0.7910576923076923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0.41527113237639551</c:v>
                </c:pt>
                <c:pt idx="13">
                  <c:v>0</c:v>
                </c:pt>
                <c:pt idx="14">
                  <c:v>1.0006739345887017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6-4E82-A934-B7C14C9EBAA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76-4E82-A934-B7C14C9EBAA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0.26095538677338875</c:v>
                </c:pt>
                <c:pt idx="1">
                  <c:v>0.26095538677338875</c:v>
                </c:pt>
                <c:pt idx="2">
                  <c:v>0.26095538677338875</c:v>
                </c:pt>
                <c:pt idx="3">
                  <c:v>0.26095538677338875</c:v>
                </c:pt>
                <c:pt idx="4">
                  <c:v>0.26095538677338875</c:v>
                </c:pt>
                <c:pt idx="5">
                  <c:v>0.26095538677338875</c:v>
                </c:pt>
                <c:pt idx="6">
                  <c:v>0.26095538677338875</c:v>
                </c:pt>
                <c:pt idx="7">
                  <c:v>0.26095538677338875</c:v>
                </c:pt>
                <c:pt idx="8">
                  <c:v>0.26095538677338875</c:v>
                </c:pt>
                <c:pt idx="9">
                  <c:v>0.26095538677338875</c:v>
                </c:pt>
                <c:pt idx="10">
                  <c:v>0.26095538677338875</c:v>
                </c:pt>
                <c:pt idx="11">
                  <c:v>0.26095538677338875</c:v>
                </c:pt>
                <c:pt idx="12">
                  <c:v>0.26095538677338875</c:v>
                </c:pt>
                <c:pt idx="13">
                  <c:v>0.26095538677338875</c:v>
                </c:pt>
                <c:pt idx="14">
                  <c:v>0.26095538677338875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76-4E82-A934-B7C14C9EB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947200"/>
        <c:axId val="288663808"/>
      </c:lineChart>
      <c:catAx>
        <c:axId val="37694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88663808"/>
        <c:crosses val="autoZero"/>
        <c:auto val="1"/>
        <c:lblAlgn val="ctr"/>
        <c:lblOffset val="100"/>
        <c:noMultiLvlLbl val="0"/>
      </c:catAx>
      <c:valAx>
        <c:axId val="2886638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7694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4">
                  <c:v>6292</c:v>
                </c:pt>
                <c:pt idx="6">
                  <c:v>4005</c:v>
                </c:pt>
                <c:pt idx="7">
                  <c:v>3897</c:v>
                </c:pt>
                <c:pt idx="12">
                  <c:v>2083</c:v>
                </c:pt>
                <c:pt idx="14">
                  <c:v>50484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7F-4C22-8F26-83F529F98A79}"/>
            </c:ext>
          </c:extLst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320</c:v>
                </c:pt>
                <c:pt idx="4">
                  <c:v>6300</c:v>
                </c:pt>
                <c:pt idx="5">
                  <c:v>1852</c:v>
                </c:pt>
                <c:pt idx="6">
                  <c:v>4005</c:v>
                </c:pt>
                <c:pt idx="7">
                  <c:v>3900</c:v>
                </c:pt>
                <c:pt idx="8">
                  <c:v>434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2090</c:v>
                </c:pt>
                <c:pt idx="13">
                  <c:v>971</c:v>
                </c:pt>
                <c:pt idx="14">
                  <c:v>50450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7F-4C22-8F26-83F529F98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948224"/>
        <c:axId val="288666112"/>
      </c:lineChart>
      <c:catAx>
        <c:axId val="37694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8666112"/>
        <c:crosses val="autoZero"/>
        <c:auto val="1"/>
        <c:lblAlgn val="ctr"/>
        <c:lblOffset val="100"/>
        <c:noMultiLvlLbl val="0"/>
      </c:catAx>
      <c:valAx>
        <c:axId val="2886661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76948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79%</c:v>
                </c:pt>
                <c:pt idx="5">
                  <c:v>0%</c:v>
                </c:pt>
                <c:pt idx="6">
                  <c:v>92%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0.79066137566137562</c:v>
                </c:pt>
                <c:pt idx="5">
                  <c:v>0</c:v>
                </c:pt>
                <c:pt idx="6">
                  <c:v>0.91666666666666663</c:v>
                </c:pt>
                <c:pt idx="7">
                  <c:v>0.7910576923076923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0.41527113237639551</c:v>
                </c:pt>
                <c:pt idx="13">
                  <c:v>0</c:v>
                </c:pt>
                <c:pt idx="14">
                  <c:v>1.0006739345887017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D-45E7-8212-F6B28A10206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6D-45E7-8212-F6B28A1020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STOPPER/HOLDER</c:v>
                </c:pt>
                <c:pt idx="13">
                  <c:v>BODY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0.26095538677338875</c:v>
                </c:pt>
                <c:pt idx="1">
                  <c:v>0.26095538677338875</c:v>
                </c:pt>
                <c:pt idx="2">
                  <c:v>0.26095538677338875</c:v>
                </c:pt>
                <c:pt idx="3">
                  <c:v>0.26095538677338875</c:v>
                </c:pt>
                <c:pt idx="4">
                  <c:v>0.26095538677338875</c:v>
                </c:pt>
                <c:pt idx="5">
                  <c:v>0.26095538677338875</c:v>
                </c:pt>
                <c:pt idx="6">
                  <c:v>0.26095538677338875</c:v>
                </c:pt>
                <c:pt idx="7">
                  <c:v>0.26095538677338875</c:v>
                </c:pt>
                <c:pt idx="8">
                  <c:v>0.26095538677338875</c:v>
                </c:pt>
                <c:pt idx="9">
                  <c:v>0.26095538677338875</c:v>
                </c:pt>
                <c:pt idx="10">
                  <c:v>0.26095538677338875</c:v>
                </c:pt>
                <c:pt idx="11">
                  <c:v>0.26095538677338875</c:v>
                </c:pt>
                <c:pt idx="12">
                  <c:v>0.26095538677338875</c:v>
                </c:pt>
                <c:pt idx="13">
                  <c:v>0.26095538677338875</c:v>
                </c:pt>
                <c:pt idx="14">
                  <c:v>0.26095538677338875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6D-45E7-8212-F6B28A102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948736"/>
        <c:axId val="288667840"/>
      </c:lineChart>
      <c:catAx>
        <c:axId val="37694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88667840"/>
        <c:crosses val="autoZero"/>
        <c:auto val="1"/>
        <c:lblAlgn val="ctr"/>
        <c:lblOffset val="100"/>
        <c:noMultiLvlLbl val="0"/>
      </c:catAx>
      <c:valAx>
        <c:axId val="2886678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76948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5FB-4AA6-B15C-85AA007765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FB-4AA6-B15C-85AA00776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6949248"/>
        <c:axId val="3832059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5FB-4AA6-B15C-85AA0077655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FB-4AA6-B15C-85AA00776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949248"/>
        <c:axId val="383205952"/>
      </c:lineChart>
      <c:catAx>
        <c:axId val="376949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3205952"/>
        <c:crosses val="autoZero"/>
        <c:auto val="1"/>
        <c:lblAlgn val="ctr"/>
        <c:lblOffset val="100"/>
        <c:noMultiLvlLbl val="0"/>
      </c:catAx>
      <c:valAx>
        <c:axId val="3832059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7694924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3">
                  <c:v>3584</c:v>
                </c:pt>
                <c:pt idx="6">
                  <c:v>5478</c:v>
                </c:pt>
                <c:pt idx="7">
                  <c:v>4264</c:v>
                </c:pt>
                <c:pt idx="12">
                  <c:v>2262</c:v>
                </c:pt>
                <c:pt idx="14">
                  <c:v>51844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A-4F2C-BFCB-246A5A6ADBE3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3584</c:v>
                </c:pt>
                <c:pt idx="4">
                  <c:v>6300</c:v>
                </c:pt>
                <c:pt idx="5">
                  <c:v>1852</c:v>
                </c:pt>
                <c:pt idx="6">
                  <c:v>5480</c:v>
                </c:pt>
                <c:pt idx="7">
                  <c:v>4264</c:v>
                </c:pt>
                <c:pt idx="8">
                  <c:v>434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2262</c:v>
                </c:pt>
                <c:pt idx="13">
                  <c:v>971</c:v>
                </c:pt>
                <c:pt idx="14">
                  <c:v>51850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AA-4F2C-BFCB-246A5A6AD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280000"/>
        <c:axId val="383208832"/>
      </c:lineChart>
      <c:catAx>
        <c:axId val="37728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208832"/>
        <c:crosses val="autoZero"/>
        <c:auto val="1"/>
        <c:lblAlgn val="ctr"/>
        <c:lblOffset val="100"/>
        <c:noMultiLvlLbl val="0"/>
      </c:catAx>
      <c:valAx>
        <c:axId val="3832088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77280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79%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67%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0.79166666666666663</c:v>
                </c:pt>
                <c:pt idx="4">
                  <c:v>0</c:v>
                </c:pt>
                <c:pt idx="5">
                  <c:v>0</c:v>
                </c:pt>
                <c:pt idx="6">
                  <c:v>0.99963503649635033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0.66666666666666663</c:v>
                </c:pt>
                <c:pt idx="13">
                  <c:v>0</c:v>
                </c:pt>
                <c:pt idx="14">
                  <c:v>0.99988428158148501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3-47E3-8EA2-21A6172545D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5E3-47E3-8EA2-21A6172545D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0.28607906564963342</c:v>
                </c:pt>
                <c:pt idx="1">
                  <c:v>0.28607906564963342</c:v>
                </c:pt>
                <c:pt idx="2">
                  <c:v>0.28607906564963342</c:v>
                </c:pt>
                <c:pt idx="3">
                  <c:v>0.28607906564963342</c:v>
                </c:pt>
                <c:pt idx="4">
                  <c:v>0.28607906564963342</c:v>
                </c:pt>
                <c:pt idx="5">
                  <c:v>0.28607906564963342</c:v>
                </c:pt>
                <c:pt idx="6">
                  <c:v>0.28607906564963342</c:v>
                </c:pt>
                <c:pt idx="7">
                  <c:v>0.28607906564963342</c:v>
                </c:pt>
                <c:pt idx="8">
                  <c:v>0.28607906564963342</c:v>
                </c:pt>
                <c:pt idx="9">
                  <c:v>0.28607906564963342</c:v>
                </c:pt>
                <c:pt idx="10">
                  <c:v>0.28607906564963342</c:v>
                </c:pt>
                <c:pt idx="11">
                  <c:v>0.28607906564963342</c:v>
                </c:pt>
                <c:pt idx="12">
                  <c:v>0.28607906564963342</c:v>
                </c:pt>
                <c:pt idx="13">
                  <c:v>0.28607906564963342</c:v>
                </c:pt>
                <c:pt idx="14">
                  <c:v>0.28607906564963342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E3-47E3-8EA2-21A617254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282048"/>
        <c:axId val="383210560"/>
      </c:lineChart>
      <c:catAx>
        <c:axId val="37728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210560"/>
        <c:crosses val="autoZero"/>
        <c:auto val="1"/>
        <c:lblAlgn val="ctr"/>
        <c:lblOffset val="100"/>
        <c:noMultiLvlLbl val="0"/>
      </c:catAx>
      <c:valAx>
        <c:axId val="3832105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77282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3">
                  <c:v>3584</c:v>
                </c:pt>
                <c:pt idx="6">
                  <c:v>5478</c:v>
                </c:pt>
                <c:pt idx="7">
                  <c:v>4264</c:v>
                </c:pt>
                <c:pt idx="12">
                  <c:v>2262</c:v>
                </c:pt>
                <c:pt idx="14">
                  <c:v>51844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9-41A1-B48C-FC0379E1FFC4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3584</c:v>
                </c:pt>
                <c:pt idx="4">
                  <c:v>6300</c:v>
                </c:pt>
                <c:pt idx="5">
                  <c:v>1852</c:v>
                </c:pt>
                <c:pt idx="6">
                  <c:v>5480</c:v>
                </c:pt>
                <c:pt idx="7">
                  <c:v>4264</c:v>
                </c:pt>
                <c:pt idx="8">
                  <c:v>434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2262</c:v>
                </c:pt>
                <c:pt idx="13">
                  <c:v>971</c:v>
                </c:pt>
                <c:pt idx="14">
                  <c:v>51850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89-41A1-B48C-FC0379E1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352192"/>
        <c:axId val="383212864"/>
      </c:lineChart>
      <c:catAx>
        <c:axId val="37735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212864"/>
        <c:crosses val="autoZero"/>
        <c:auto val="1"/>
        <c:lblAlgn val="ctr"/>
        <c:lblOffset val="100"/>
        <c:noMultiLvlLbl val="0"/>
      </c:catAx>
      <c:valAx>
        <c:axId val="3832128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77352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79%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67%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0.79166666666666663</c:v>
                </c:pt>
                <c:pt idx="4">
                  <c:v>0</c:v>
                </c:pt>
                <c:pt idx="5">
                  <c:v>0</c:v>
                </c:pt>
                <c:pt idx="6">
                  <c:v>0.99963503649635033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0.66666666666666663</c:v>
                </c:pt>
                <c:pt idx="13">
                  <c:v>0</c:v>
                </c:pt>
                <c:pt idx="14">
                  <c:v>0.99988428158148501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8-47D0-84CA-D0D53306028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58-47D0-84CA-D0D53306028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0.28607906564963342</c:v>
                </c:pt>
                <c:pt idx="1">
                  <c:v>0.28607906564963342</c:v>
                </c:pt>
                <c:pt idx="2">
                  <c:v>0.28607906564963342</c:v>
                </c:pt>
                <c:pt idx="3">
                  <c:v>0.28607906564963342</c:v>
                </c:pt>
                <c:pt idx="4">
                  <c:v>0.28607906564963342</c:v>
                </c:pt>
                <c:pt idx="5">
                  <c:v>0.28607906564963342</c:v>
                </c:pt>
                <c:pt idx="6">
                  <c:v>0.28607906564963342</c:v>
                </c:pt>
                <c:pt idx="7">
                  <c:v>0.28607906564963342</c:v>
                </c:pt>
                <c:pt idx="8">
                  <c:v>0.28607906564963342</c:v>
                </c:pt>
                <c:pt idx="9">
                  <c:v>0.28607906564963342</c:v>
                </c:pt>
                <c:pt idx="10">
                  <c:v>0.28607906564963342</c:v>
                </c:pt>
                <c:pt idx="11">
                  <c:v>0.28607906564963342</c:v>
                </c:pt>
                <c:pt idx="12">
                  <c:v>0.28607906564963342</c:v>
                </c:pt>
                <c:pt idx="13">
                  <c:v>0.28607906564963342</c:v>
                </c:pt>
                <c:pt idx="14">
                  <c:v>0.28607906564963342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58-47D0-84CA-D0D533060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353728"/>
        <c:axId val="383288448"/>
      </c:lineChart>
      <c:catAx>
        <c:axId val="37735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288448"/>
        <c:crosses val="autoZero"/>
        <c:auto val="1"/>
        <c:lblAlgn val="ctr"/>
        <c:lblOffset val="100"/>
        <c:noMultiLvlLbl val="0"/>
      </c:catAx>
      <c:valAx>
        <c:axId val="3832884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77353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D14-4441-8294-F73EA57F48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4-4441-8294-F73EA57F4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7354240"/>
        <c:axId val="3832907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D14-4441-8294-F73EA57F484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14-4441-8294-F73EA57F4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354240"/>
        <c:axId val="383290752"/>
      </c:lineChart>
      <c:catAx>
        <c:axId val="377354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3290752"/>
        <c:crosses val="autoZero"/>
        <c:auto val="1"/>
        <c:lblAlgn val="ctr"/>
        <c:lblOffset val="100"/>
        <c:noMultiLvlLbl val="0"/>
      </c:catAx>
      <c:valAx>
        <c:axId val="3832907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7735424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5">
                  <c:v>2962</c:v>
                </c:pt>
                <c:pt idx="6">
                  <c:v>5816</c:v>
                </c:pt>
                <c:pt idx="7">
                  <c:v>2651</c:v>
                </c:pt>
                <c:pt idx="12">
                  <c:v>3556</c:v>
                </c:pt>
                <c:pt idx="14">
                  <c:v>51356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8-4C0B-AA5C-930A3AD99AC4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3584</c:v>
                </c:pt>
                <c:pt idx="4">
                  <c:v>6300</c:v>
                </c:pt>
                <c:pt idx="5">
                  <c:v>2962</c:v>
                </c:pt>
                <c:pt idx="6">
                  <c:v>5480</c:v>
                </c:pt>
                <c:pt idx="7">
                  <c:v>2651</c:v>
                </c:pt>
                <c:pt idx="8">
                  <c:v>434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3556</c:v>
                </c:pt>
                <c:pt idx="13">
                  <c:v>971</c:v>
                </c:pt>
                <c:pt idx="14">
                  <c:v>51400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D8-4C0B-AA5C-930A3AD99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681408"/>
        <c:axId val="383293632"/>
      </c:lineChart>
      <c:catAx>
        <c:axId val="37768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293632"/>
        <c:crosses val="autoZero"/>
        <c:auto val="1"/>
        <c:lblAlgn val="ctr"/>
        <c:lblOffset val="100"/>
        <c:noMultiLvlLbl val="0"/>
      </c:catAx>
      <c:valAx>
        <c:axId val="3832936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77681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67%</c:v>
                </c:pt>
                <c:pt idx="6">
                  <c:v>106%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0.66666666666666663</c:v>
                </c:pt>
                <c:pt idx="6">
                  <c:v>1.0613138686131387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</c:v>
                </c:pt>
                <c:pt idx="14">
                  <c:v>0.99914396887159529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8-448E-B22F-AD02B6A5A0C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38-448E-B22F-AD02B6A5A0C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0.27625274472120448</c:v>
                </c:pt>
                <c:pt idx="1">
                  <c:v>0.27625274472120448</c:v>
                </c:pt>
                <c:pt idx="2">
                  <c:v>0.27625274472120448</c:v>
                </c:pt>
                <c:pt idx="3">
                  <c:v>0.27625274472120448</c:v>
                </c:pt>
                <c:pt idx="4">
                  <c:v>0.27625274472120448</c:v>
                </c:pt>
                <c:pt idx="5">
                  <c:v>0.27625274472120448</c:v>
                </c:pt>
                <c:pt idx="6">
                  <c:v>0.27625274472120448</c:v>
                </c:pt>
                <c:pt idx="7">
                  <c:v>0.27625274472120448</c:v>
                </c:pt>
                <c:pt idx="8">
                  <c:v>0.27625274472120448</c:v>
                </c:pt>
                <c:pt idx="9">
                  <c:v>0.27625274472120448</c:v>
                </c:pt>
                <c:pt idx="10">
                  <c:v>0.27625274472120448</c:v>
                </c:pt>
                <c:pt idx="11">
                  <c:v>0.27625274472120448</c:v>
                </c:pt>
                <c:pt idx="12">
                  <c:v>0.27625274472120448</c:v>
                </c:pt>
                <c:pt idx="13">
                  <c:v>0.27625274472120448</c:v>
                </c:pt>
                <c:pt idx="14">
                  <c:v>0.27625274472120448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38-448E-B22F-AD02B6A5A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683456"/>
        <c:axId val="383377408"/>
      </c:lineChart>
      <c:catAx>
        <c:axId val="37768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377408"/>
        <c:crosses val="autoZero"/>
        <c:auto val="1"/>
        <c:lblAlgn val="ctr"/>
        <c:lblOffset val="100"/>
        <c:noMultiLvlLbl val="0"/>
      </c:catAx>
      <c:valAx>
        <c:axId val="3833774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77683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5">
                  <c:v>2962</c:v>
                </c:pt>
                <c:pt idx="6">
                  <c:v>5816</c:v>
                </c:pt>
                <c:pt idx="7">
                  <c:v>2651</c:v>
                </c:pt>
                <c:pt idx="12">
                  <c:v>3556</c:v>
                </c:pt>
                <c:pt idx="14">
                  <c:v>51356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F1-48EA-947C-C0240AB05761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3584</c:v>
                </c:pt>
                <c:pt idx="4">
                  <c:v>6300</c:v>
                </c:pt>
                <c:pt idx="5">
                  <c:v>2962</c:v>
                </c:pt>
                <c:pt idx="6">
                  <c:v>5480</c:v>
                </c:pt>
                <c:pt idx="7">
                  <c:v>2651</c:v>
                </c:pt>
                <c:pt idx="8">
                  <c:v>434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3556</c:v>
                </c:pt>
                <c:pt idx="13">
                  <c:v>971</c:v>
                </c:pt>
                <c:pt idx="14">
                  <c:v>51400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F1-48EA-947C-C0240AB05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761792"/>
        <c:axId val="383379712"/>
      </c:lineChart>
      <c:catAx>
        <c:axId val="37776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379712"/>
        <c:crosses val="autoZero"/>
        <c:auto val="1"/>
        <c:lblAlgn val="ctr"/>
        <c:lblOffset val="100"/>
        <c:noMultiLvlLbl val="0"/>
      </c:catAx>
      <c:valAx>
        <c:axId val="3833797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77761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67%</c:v>
                </c:pt>
                <c:pt idx="6">
                  <c:v>106%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0.66666666666666663</c:v>
                </c:pt>
                <c:pt idx="6">
                  <c:v>1.0613138686131387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</c:v>
                </c:pt>
                <c:pt idx="14">
                  <c:v>0.99914396887159529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E-419E-BDE1-27168BAE99E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AE-419E-BDE1-27168BAE99E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M2 CONN</c:v>
                </c:pt>
                <c:pt idx="13">
                  <c:v>BODY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0.27625274472120448</c:v>
                </c:pt>
                <c:pt idx="1">
                  <c:v>0.27625274472120448</c:v>
                </c:pt>
                <c:pt idx="2">
                  <c:v>0.27625274472120448</c:v>
                </c:pt>
                <c:pt idx="3">
                  <c:v>0.27625274472120448</c:v>
                </c:pt>
                <c:pt idx="4">
                  <c:v>0.27625274472120448</c:v>
                </c:pt>
                <c:pt idx="5">
                  <c:v>0.27625274472120448</c:v>
                </c:pt>
                <c:pt idx="6">
                  <c:v>0.27625274472120448</c:v>
                </c:pt>
                <c:pt idx="7">
                  <c:v>0.27625274472120448</c:v>
                </c:pt>
                <c:pt idx="8">
                  <c:v>0.27625274472120448</c:v>
                </c:pt>
                <c:pt idx="9">
                  <c:v>0.27625274472120448</c:v>
                </c:pt>
                <c:pt idx="10">
                  <c:v>0.27625274472120448</c:v>
                </c:pt>
                <c:pt idx="11">
                  <c:v>0.27625274472120448</c:v>
                </c:pt>
                <c:pt idx="12">
                  <c:v>0.27625274472120448</c:v>
                </c:pt>
                <c:pt idx="13">
                  <c:v>0.27625274472120448</c:v>
                </c:pt>
                <c:pt idx="14">
                  <c:v>0.27625274472120448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AE-419E-BDE1-27168BAE9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763328"/>
        <c:axId val="383380288"/>
      </c:lineChart>
      <c:catAx>
        <c:axId val="37776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380288"/>
        <c:crosses val="autoZero"/>
        <c:auto val="1"/>
        <c:lblAlgn val="ctr"/>
        <c:lblOffset val="100"/>
        <c:noMultiLvlLbl val="0"/>
      </c:catAx>
      <c:valAx>
        <c:axId val="3833802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7776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0A6-45D3-B9A0-9075F95258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A6-45D3-B9A0-9075F9525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7763840"/>
        <c:axId val="3833825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0A6-45D3-B9A0-9075F952583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A6-45D3-B9A0-9075F9525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763840"/>
        <c:axId val="383382592"/>
      </c:lineChart>
      <c:catAx>
        <c:axId val="377763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3382592"/>
        <c:crosses val="autoZero"/>
        <c:auto val="1"/>
        <c:lblAlgn val="ctr"/>
        <c:lblOffset val="100"/>
        <c:noMultiLvlLbl val="0"/>
      </c:catAx>
      <c:valAx>
        <c:axId val="3833825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7776384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FLOAT</c:v>
                </c:pt>
                <c:pt idx="13">
                  <c:v>BODY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5">
                  <c:v>2488</c:v>
                </c:pt>
                <c:pt idx="6">
                  <c:v>627</c:v>
                </c:pt>
                <c:pt idx="7">
                  <c:v>4494</c:v>
                </c:pt>
                <c:pt idx="8">
                  <c:v>1068</c:v>
                </c:pt>
                <c:pt idx="12">
                  <c:v>1231</c:v>
                </c:pt>
                <c:pt idx="14">
                  <c:v>44148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F-4E73-92BE-8DC56682F4C6}"/>
            </c:ext>
          </c:extLst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FLOAT</c:v>
                </c:pt>
                <c:pt idx="13">
                  <c:v>BODY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3584</c:v>
                </c:pt>
                <c:pt idx="4">
                  <c:v>6300</c:v>
                </c:pt>
                <c:pt idx="5">
                  <c:v>2490</c:v>
                </c:pt>
                <c:pt idx="6">
                  <c:v>630</c:v>
                </c:pt>
                <c:pt idx="7">
                  <c:v>4500</c:v>
                </c:pt>
                <c:pt idx="8">
                  <c:v>1068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1231</c:v>
                </c:pt>
                <c:pt idx="13">
                  <c:v>971</c:v>
                </c:pt>
                <c:pt idx="14">
                  <c:v>44150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F-4E73-92BE-8DC56682F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380288"/>
        <c:axId val="383098880"/>
      </c:lineChart>
      <c:catAx>
        <c:axId val="37838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098880"/>
        <c:crosses val="autoZero"/>
        <c:auto val="1"/>
        <c:lblAlgn val="ctr"/>
        <c:lblOffset val="100"/>
        <c:noMultiLvlLbl val="0"/>
      </c:catAx>
      <c:valAx>
        <c:axId val="3830988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78380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58%</c:v>
                </c:pt>
                <c:pt idx="6">
                  <c:v>17%</c:v>
                </c:pt>
                <c:pt idx="7">
                  <c:v>87%</c:v>
                </c:pt>
                <c:pt idx="8">
                  <c:v>50%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58%</c:v>
                </c:pt>
                <c:pt idx="13">
                  <c:v>0%</c:v>
                </c:pt>
                <c:pt idx="14">
                  <c:v>87%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FLOAT</c:v>
                </c:pt>
                <c:pt idx="13">
                  <c:v>BODY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0.58286479250334677</c:v>
                </c:pt>
                <c:pt idx="6">
                  <c:v>0.16587301587301587</c:v>
                </c:pt>
                <c:pt idx="7">
                  <c:v>0.87383333333333335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0.58333333333333337</c:v>
                </c:pt>
                <c:pt idx="13">
                  <c:v>0</c:v>
                </c:pt>
                <c:pt idx="14">
                  <c:v>0.87496036240090591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0-4078-826F-52D8E5A6096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C70-4078-826F-52D8E5A6096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FLOAT</c:v>
                </c:pt>
                <c:pt idx="13">
                  <c:v>BODY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0.23872432249626238</c:v>
                </c:pt>
                <c:pt idx="1">
                  <c:v>0.23872432249626238</c:v>
                </c:pt>
                <c:pt idx="2">
                  <c:v>0.23872432249626238</c:v>
                </c:pt>
                <c:pt idx="3">
                  <c:v>0.23872432249626238</c:v>
                </c:pt>
                <c:pt idx="4">
                  <c:v>0.23872432249626238</c:v>
                </c:pt>
                <c:pt idx="5">
                  <c:v>0.23872432249626238</c:v>
                </c:pt>
                <c:pt idx="6">
                  <c:v>0.23872432249626238</c:v>
                </c:pt>
                <c:pt idx="7">
                  <c:v>0.23872432249626238</c:v>
                </c:pt>
                <c:pt idx="8">
                  <c:v>0.23872432249626238</c:v>
                </c:pt>
                <c:pt idx="9">
                  <c:v>0.23872432249626238</c:v>
                </c:pt>
                <c:pt idx="10">
                  <c:v>0.23872432249626238</c:v>
                </c:pt>
                <c:pt idx="11">
                  <c:v>0.23872432249626238</c:v>
                </c:pt>
                <c:pt idx="12">
                  <c:v>0.23872432249626238</c:v>
                </c:pt>
                <c:pt idx="13">
                  <c:v>0.23872432249626238</c:v>
                </c:pt>
                <c:pt idx="14">
                  <c:v>0.23872432249626238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70-4078-826F-52D8E5A60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381824"/>
        <c:axId val="383100608"/>
      </c:lineChart>
      <c:catAx>
        <c:axId val="3783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100608"/>
        <c:crosses val="autoZero"/>
        <c:auto val="1"/>
        <c:lblAlgn val="ctr"/>
        <c:lblOffset val="100"/>
        <c:noMultiLvlLbl val="0"/>
      </c:catAx>
      <c:valAx>
        <c:axId val="3831006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78381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FLOAT</c:v>
                </c:pt>
                <c:pt idx="13">
                  <c:v>BODY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5">
                  <c:v>2488</c:v>
                </c:pt>
                <c:pt idx="6">
                  <c:v>627</c:v>
                </c:pt>
                <c:pt idx="7">
                  <c:v>4494</c:v>
                </c:pt>
                <c:pt idx="8">
                  <c:v>1068</c:v>
                </c:pt>
                <c:pt idx="12">
                  <c:v>1231</c:v>
                </c:pt>
                <c:pt idx="14">
                  <c:v>44148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37-4F13-B807-1A6AB09B7B57}"/>
            </c:ext>
          </c:extLst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FLOAT</c:v>
                </c:pt>
                <c:pt idx="13">
                  <c:v>BODY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3584</c:v>
                </c:pt>
                <c:pt idx="4">
                  <c:v>6300</c:v>
                </c:pt>
                <c:pt idx="5">
                  <c:v>2490</c:v>
                </c:pt>
                <c:pt idx="6">
                  <c:v>630</c:v>
                </c:pt>
                <c:pt idx="7">
                  <c:v>4500</c:v>
                </c:pt>
                <c:pt idx="8">
                  <c:v>1068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1231</c:v>
                </c:pt>
                <c:pt idx="13">
                  <c:v>971</c:v>
                </c:pt>
                <c:pt idx="14">
                  <c:v>44150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37-4F13-B807-1A6AB09B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382336"/>
        <c:axId val="383102912"/>
      </c:lineChart>
      <c:catAx>
        <c:axId val="378382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102912"/>
        <c:crosses val="autoZero"/>
        <c:auto val="1"/>
        <c:lblAlgn val="ctr"/>
        <c:lblOffset val="100"/>
        <c:noMultiLvlLbl val="0"/>
      </c:catAx>
      <c:valAx>
        <c:axId val="3831029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78382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58%</c:v>
                </c:pt>
                <c:pt idx="6">
                  <c:v>17%</c:v>
                </c:pt>
                <c:pt idx="7">
                  <c:v>87%</c:v>
                </c:pt>
                <c:pt idx="8">
                  <c:v>50%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58%</c:v>
                </c:pt>
                <c:pt idx="13">
                  <c:v>0%</c:v>
                </c:pt>
                <c:pt idx="14">
                  <c:v>87%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FLOAT</c:v>
                </c:pt>
                <c:pt idx="13">
                  <c:v>BODY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0.58286479250334677</c:v>
                </c:pt>
                <c:pt idx="6">
                  <c:v>0.16587301587301587</c:v>
                </c:pt>
                <c:pt idx="7">
                  <c:v>0.87383333333333335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0.58333333333333337</c:v>
                </c:pt>
                <c:pt idx="13">
                  <c:v>0</c:v>
                </c:pt>
                <c:pt idx="14">
                  <c:v>0.87496036240090591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C4-48DB-A497-ABE084D4698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C4-48DB-A497-ABE084D4698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2">
                  <c:v>LATCH</c:v>
                </c:pt>
                <c:pt idx="3">
                  <c:v>790 FLAPPER</c:v>
                </c:pt>
                <c:pt idx="4">
                  <c:v>HOLDER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FLOAT</c:v>
                </c:pt>
                <c:pt idx="13">
                  <c:v>BODY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0.23872432249626238</c:v>
                </c:pt>
                <c:pt idx="1">
                  <c:v>0.23872432249626238</c:v>
                </c:pt>
                <c:pt idx="2">
                  <c:v>0.23872432249626238</c:v>
                </c:pt>
                <c:pt idx="3">
                  <c:v>0.23872432249626238</c:v>
                </c:pt>
                <c:pt idx="4">
                  <c:v>0.23872432249626238</c:v>
                </c:pt>
                <c:pt idx="5">
                  <c:v>0.23872432249626238</c:v>
                </c:pt>
                <c:pt idx="6">
                  <c:v>0.23872432249626238</c:v>
                </c:pt>
                <c:pt idx="7">
                  <c:v>0.23872432249626238</c:v>
                </c:pt>
                <c:pt idx="8">
                  <c:v>0.23872432249626238</c:v>
                </c:pt>
                <c:pt idx="9">
                  <c:v>0.23872432249626238</c:v>
                </c:pt>
                <c:pt idx="10">
                  <c:v>0.23872432249626238</c:v>
                </c:pt>
                <c:pt idx="11">
                  <c:v>0.23872432249626238</c:v>
                </c:pt>
                <c:pt idx="12">
                  <c:v>0.23872432249626238</c:v>
                </c:pt>
                <c:pt idx="13">
                  <c:v>0.23872432249626238</c:v>
                </c:pt>
                <c:pt idx="14">
                  <c:v>0.23872432249626238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C4-48DB-A497-ABE084D46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383360"/>
        <c:axId val="383104640"/>
      </c:lineChart>
      <c:catAx>
        <c:axId val="37838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104640"/>
        <c:crosses val="autoZero"/>
        <c:auto val="1"/>
        <c:lblAlgn val="ctr"/>
        <c:lblOffset val="100"/>
        <c:noMultiLvlLbl val="0"/>
      </c:catAx>
      <c:valAx>
        <c:axId val="3831046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78383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1AC-4E8A-B25A-F1A6BA1D01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C-4E8A-B25A-F1A6BA1D0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8381312"/>
        <c:axId val="38366412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AC-4E8A-B25A-F1A6BA1D015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AC-4E8A-B25A-F1A6BA1D0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381312"/>
        <c:axId val="383664128"/>
      </c:lineChart>
      <c:catAx>
        <c:axId val="378381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3664128"/>
        <c:crosses val="autoZero"/>
        <c:auto val="1"/>
        <c:lblAlgn val="ctr"/>
        <c:lblOffset val="100"/>
        <c:noMultiLvlLbl val="0"/>
      </c:catAx>
      <c:valAx>
        <c:axId val="3836641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7838131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2">
                  <c:v>LATCH</c:v>
                </c:pt>
                <c:pt idx="3">
                  <c:v>TOP</c:v>
                </c:pt>
                <c:pt idx="4">
                  <c:v>HOLDER</c:v>
                </c:pt>
                <c:pt idx="5">
                  <c:v>LEAD IN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CASE</c:v>
                </c:pt>
                <c:pt idx="13">
                  <c:v>ADAPTER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3">
                  <c:v>908</c:v>
                </c:pt>
                <c:pt idx="5">
                  <c:v>1090</c:v>
                </c:pt>
                <c:pt idx="6">
                  <c:v>2726</c:v>
                </c:pt>
                <c:pt idx="7">
                  <c:v>5687</c:v>
                </c:pt>
                <c:pt idx="12">
                  <c:v>4500</c:v>
                </c:pt>
                <c:pt idx="13">
                  <c:v>1683</c:v>
                </c:pt>
                <c:pt idx="14">
                  <c:v>50632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48-4912-93BD-194697AB93FC}"/>
            </c:ext>
          </c:extLst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2">
                  <c:v>LATCH</c:v>
                </c:pt>
                <c:pt idx="3">
                  <c:v>TOP</c:v>
                </c:pt>
                <c:pt idx="4">
                  <c:v>HOLDER</c:v>
                </c:pt>
                <c:pt idx="5">
                  <c:v>LEAD IN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CASE</c:v>
                </c:pt>
                <c:pt idx="13">
                  <c:v>ADAPTER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908</c:v>
                </c:pt>
                <c:pt idx="4">
                  <c:v>6300</c:v>
                </c:pt>
                <c:pt idx="5">
                  <c:v>1090</c:v>
                </c:pt>
                <c:pt idx="6">
                  <c:v>2730</c:v>
                </c:pt>
                <c:pt idx="7">
                  <c:v>5690</c:v>
                </c:pt>
                <c:pt idx="8">
                  <c:v>1068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4500</c:v>
                </c:pt>
                <c:pt idx="13">
                  <c:v>1683</c:v>
                </c:pt>
                <c:pt idx="14">
                  <c:v>50640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48-4912-93BD-194697AB9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657216"/>
        <c:axId val="383667584"/>
      </c:lineChart>
      <c:catAx>
        <c:axId val="37965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667584"/>
        <c:crosses val="autoZero"/>
        <c:auto val="1"/>
        <c:lblAlgn val="ctr"/>
        <c:lblOffset val="100"/>
        <c:noMultiLvlLbl val="0"/>
      </c:catAx>
      <c:valAx>
        <c:axId val="3836675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79657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25%</c:v>
                </c:pt>
                <c:pt idx="4">
                  <c:v>0%</c:v>
                </c:pt>
                <c:pt idx="5">
                  <c:v>25%</c:v>
                </c:pt>
                <c:pt idx="6">
                  <c:v>67%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38%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LATCH</c:v>
                </c:pt>
                <c:pt idx="3">
                  <c:v>TOP</c:v>
                </c:pt>
                <c:pt idx="4">
                  <c:v>HOLDER</c:v>
                </c:pt>
                <c:pt idx="5">
                  <c:v>LEAD IN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CASE</c:v>
                </c:pt>
                <c:pt idx="13">
                  <c:v>ADAPTER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  <c:pt idx="5">
                  <c:v>0.25</c:v>
                </c:pt>
                <c:pt idx="6">
                  <c:v>0.66568986568986566</c:v>
                </c:pt>
                <c:pt idx="7">
                  <c:v>0.99947275922671353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0.375</c:v>
                </c:pt>
                <c:pt idx="14">
                  <c:v>0.99984202211690365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0-448F-A9A4-46CD755F931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30-448F-A9A4-46CD755F93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LATCH</c:v>
                </c:pt>
                <c:pt idx="3">
                  <c:v>TOP</c:v>
                </c:pt>
                <c:pt idx="4">
                  <c:v>HOLDER</c:v>
                </c:pt>
                <c:pt idx="5">
                  <c:v>LEAD IN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CASE</c:v>
                </c:pt>
                <c:pt idx="13">
                  <c:v>ADAPTER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0.29155586535778777</c:v>
                </c:pt>
                <c:pt idx="1">
                  <c:v>0.29155586535778777</c:v>
                </c:pt>
                <c:pt idx="2">
                  <c:v>0.29155586535778777</c:v>
                </c:pt>
                <c:pt idx="3">
                  <c:v>0.29155586535778777</c:v>
                </c:pt>
                <c:pt idx="4">
                  <c:v>0.29155586535778777</c:v>
                </c:pt>
                <c:pt idx="5">
                  <c:v>0.29155586535778777</c:v>
                </c:pt>
                <c:pt idx="6">
                  <c:v>0.29155586535778777</c:v>
                </c:pt>
                <c:pt idx="7">
                  <c:v>0.29155586535778777</c:v>
                </c:pt>
                <c:pt idx="8">
                  <c:v>0.29155586535778777</c:v>
                </c:pt>
                <c:pt idx="9">
                  <c:v>0.29155586535778777</c:v>
                </c:pt>
                <c:pt idx="10">
                  <c:v>0.29155586535778777</c:v>
                </c:pt>
                <c:pt idx="11">
                  <c:v>0.29155586535778777</c:v>
                </c:pt>
                <c:pt idx="12">
                  <c:v>0.29155586535778777</c:v>
                </c:pt>
                <c:pt idx="13">
                  <c:v>0.29155586535778777</c:v>
                </c:pt>
                <c:pt idx="14">
                  <c:v>0.29155586535778777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0-448F-A9A4-46CD755F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671040"/>
        <c:axId val="383669312"/>
      </c:lineChart>
      <c:catAx>
        <c:axId val="379671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669312"/>
        <c:crosses val="autoZero"/>
        <c:auto val="1"/>
        <c:lblAlgn val="ctr"/>
        <c:lblOffset val="100"/>
        <c:noMultiLvlLbl val="0"/>
      </c:catAx>
      <c:valAx>
        <c:axId val="3836693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79671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2">
                  <c:v>LATCH</c:v>
                </c:pt>
                <c:pt idx="3">
                  <c:v>TOP</c:v>
                </c:pt>
                <c:pt idx="4">
                  <c:v>HOLDER</c:v>
                </c:pt>
                <c:pt idx="5">
                  <c:v>LEAD IN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CASE</c:v>
                </c:pt>
                <c:pt idx="13">
                  <c:v>ADAPTER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3">
                  <c:v>908</c:v>
                </c:pt>
                <c:pt idx="5">
                  <c:v>1090</c:v>
                </c:pt>
                <c:pt idx="6">
                  <c:v>2726</c:v>
                </c:pt>
                <c:pt idx="7">
                  <c:v>5687</c:v>
                </c:pt>
                <c:pt idx="12">
                  <c:v>4500</c:v>
                </c:pt>
                <c:pt idx="13">
                  <c:v>1683</c:v>
                </c:pt>
                <c:pt idx="14">
                  <c:v>50632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A-47DB-9BF3-7332A7B8D889}"/>
            </c:ext>
          </c:extLst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2">
                  <c:v>LATCH</c:v>
                </c:pt>
                <c:pt idx="3">
                  <c:v>TOP</c:v>
                </c:pt>
                <c:pt idx="4">
                  <c:v>HOLDER</c:v>
                </c:pt>
                <c:pt idx="5">
                  <c:v>LEAD IN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CASE</c:v>
                </c:pt>
                <c:pt idx="13">
                  <c:v>ADAPTER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908</c:v>
                </c:pt>
                <c:pt idx="4">
                  <c:v>6300</c:v>
                </c:pt>
                <c:pt idx="5">
                  <c:v>1090</c:v>
                </c:pt>
                <c:pt idx="6">
                  <c:v>2730</c:v>
                </c:pt>
                <c:pt idx="7">
                  <c:v>5690</c:v>
                </c:pt>
                <c:pt idx="8">
                  <c:v>1068</c:v>
                </c:pt>
                <c:pt idx="9">
                  <c:v>32361</c:v>
                </c:pt>
                <c:pt idx="10">
                  <c:v>4150</c:v>
                </c:pt>
                <c:pt idx="11">
                  <c:v>1686</c:v>
                </c:pt>
                <c:pt idx="12">
                  <c:v>4500</c:v>
                </c:pt>
                <c:pt idx="13">
                  <c:v>1683</c:v>
                </c:pt>
                <c:pt idx="14">
                  <c:v>50640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A-47DB-9BF3-7332A7B8D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671552"/>
        <c:axId val="383671616"/>
      </c:lineChart>
      <c:catAx>
        <c:axId val="37967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671616"/>
        <c:crosses val="autoZero"/>
        <c:auto val="1"/>
        <c:lblAlgn val="ctr"/>
        <c:lblOffset val="100"/>
        <c:noMultiLvlLbl val="0"/>
      </c:catAx>
      <c:valAx>
        <c:axId val="3836716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79671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25%</c:v>
                </c:pt>
                <c:pt idx="4">
                  <c:v>0%</c:v>
                </c:pt>
                <c:pt idx="5">
                  <c:v>25%</c:v>
                </c:pt>
                <c:pt idx="6">
                  <c:v>67%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38%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LATCH</c:v>
                </c:pt>
                <c:pt idx="3">
                  <c:v>TOP</c:v>
                </c:pt>
                <c:pt idx="4">
                  <c:v>HOLDER</c:v>
                </c:pt>
                <c:pt idx="5">
                  <c:v>LEAD IN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CASE</c:v>
                </c:pt>
                <c:pt idx="13">
                  <c:v>ADAPTER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  <c:pt idx="5">
                  <c:v>0.25</c:v>
                </c:pt>
                <c:pt idx="6">
                  <c:v>0.66568986568986566</c:v>
                </c:pt>
                <c:pt idx="7">
                  <c:v>0.99947275922671353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0.375</c:v>
                </c:pt>
                <c:pt idx="14">
                  <c:v>0.99984202211690365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1E-4663-A93A-3E6606422F4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1E-4663-A93A-3E6606422F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LATCH</c:v>
                </c:pt>
                <c:pt idx="3">
                  <c:v>TOP</c:v>
                </c:pt>
                <c:pt idx="4">
                  <c:v>HOLDER</c:v>
                </c:pt>
                <c:pt idx="5">
                  <c:v>LEAD IN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BODY</c:v>
                </c:pt>
                <c:pt idx="11">
                  <c:v>UNDER</c:v>
                </c:pt>
                <c:pt idx="12">
                  <c:v>CASE</c:v>
                </c:pt>
                <c:pt idx="13">
                  <c:v>ADAPTER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0.29155586535778777</c:v>
                </c:pt>
                <c:pt idx="1">
                  <c:v>0.29155586535778777</c:v>
                </c:pt>
                <c:pt idx="2">
                  <c:v>0.29155586535778777</c:v>
                </c:pt>
                <c:pt idx="3">
                  <c:v>0.29155586535778777</c:v>
                </c:pt>
                <c:pt idx="4">
                  <c:v>0.29155586535778777</c:v>
                </c:pt>
                <c:pt idx="5">
                  <c:v>0.29155586535778777</c:v>
                </c:pt>
                <c:pt idx="6">
                  <c:v>0.29155586535778777</c:v>
                </c:pt>
                <c:pt idx="7">
                  <c:v>0.29155586535778777</c:v>
                </c:pt>
                <c:pt idx="8">
                  <c:v>0.29155586535778777</c:v>
                </c:pt>
                <c:pt idx="9">
                  <c:v>0.29155586535778777</c:v>
                </c:pt>
                <c:pt idx="10">
                  <c:v>0.29155586535778777</c:v>
                </c:pt>
                <c:pt idx="11">
                  <c:v>0.29155586535778777</c:v>
                </c:pt>
                <c:pt idx="12">
                  <c:v>0.29155586535778777</c:v>
                </c:pt>
                <c:pt idx="13">
                  <c:v>0.29155586535778777</c:v>
                </c:pt>
                <c:pt idx="14">
                  <c:v>0.29155586535778777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1E-4663-A93A-3E6606422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672576"/>
        <c:axId val="383747200"/>
      </c:lineChart>
      <c:catAx>
        <c:axId val="37967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83747200"/>
        <c:crosses val="autoZero"/>
        <c:auto val="1"/>
        <c:lblAlgn val="ctr"/>
        <c:lblOffset val="100"/>
        <c:noMultiLvlLbl val="0"/>
      </c:catAx>
      <c:valAx>
        <c:axId val="3837472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79672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FF7-4F1D-9051-14703C5BDF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F7-4F1D-9051-14703C5BD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9673088"/>
        <c:axId val="38374950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FF7-4F1D-9051-14703C5BDFA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F7-4F1D-9051-14703C5BD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673088"/>
        <c:axId val="383749504"/>
      </c:lineChart>
      <c:catAx>
        <c:axId val="379673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3749504"/>
        <c:crosses val="autoZero"/>
        <c:auto val="1"/>
        <c:lblAlgn val="ctr"/>
        <c:lblOffset val="100"/>
        <c:noMultiLvlLbl val="0"/>
      </c:catAx>
      <c:valAx>
        <c:axId val="3837495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7967308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'22'!$D$6:$D$23</c:f>
              <c:strCache>
                <c:ptCount val="17"/>
                <c:pt idx="2">
                  <c:v>LATCH</c:v>
                </c:pt>
                <c:pt idx="3">
                  <c:v>FLOAT</c:v>
                </c:pt>
                <c:pt idx="4">
                  <c:v>BASE</c:v>
                </c:pt>
                <c:pt idx="5">
                  <c:v>LEAD GUIDE</c:v>
                </c:pt>
                <c:pt idx="6">
                  <c:v>SEPARATOR</c:v>
                </c:pt>
                <c:pt idx="7">
                  <c:v>LEAD IN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 PLATE</c:v>
                </c:pt>
                <c:pt idx="13">
                  <c:v>LEAD IN</c:v>
                </c:pt>
                <c:pt idx="14">
                  <c:v>FLOAT</c:v>
                </c:pt>
                <c:pt idx="15">
                  <c:v>Hinge block</c:v>
                </c:pt>
                <c:pt idx="16">
                  <c:v>ADAPTER</c:v>
                </c:pt>
              </c:strCache>
            </c:strRef>
          </c:cat>
          <c:val>
            <c:numRef>
              <c:f>'22'!$L$6:$L$23</c:f>
              <c:numCache>
                <c:formatCode>_(* #,##0_);_(* \(#,##0\);_(* "-"_);_(@_)</c:formatCode>
                <c:ptCount val="18"/>
                <c:pt idx="3">
                  <c:v>1200</c:v>
                </c:pt>
                <c:pt idx="4">
                  <c:v>570</c:v>
                </c:pt>
                <c:pt idx="5">
                  <c:v>650</c:v>
                </c:pt>
                <c:pt idx="6">
                  <c:v>12622</c:v>
                </c:pt>
                <c:pt idx="8">
                  <c:v>3506</c:v>
                </c:pt>
                <c:pt idx="9">
                  <c:v>2676</c:v>
                </c:pt>
                <c:pt idx="11">
                  <c:v>2100</c:v>
                </c:pt>
                <c:pt idx="12">
                  <c:v>3078</c:v>
                </c:pt>
                <c:pt idx="13">
                  <c:v>625</c:v>
                </c:pt>
                <c:pt idx="14">
                  <c:v>627</c:v>
                </c:pt>
                <c:pt idx="15">
                  <c:v>2082</c:v>
                </c:pt>
                <c:pt idx="16">
                  <c:v>2711</c:v>
                </c:pt>
                <c:pt idx="17">
                  <c:v>51280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C-4FE8-8DEE-DBABCE2F722F}"/>
            </c:ext>
          </c:extLst>
        </c:ser>
        <c:ser>
          <c:idx val="1"/>
          <c:order val="1"/>
          <c:tx>
            <c:v>계획</c:v>
          </c:tx>
          <c:cat>
            <c:strRef>
              <c:f>'22'!$D$6:$D$23</c:f>
              <c:strCache>
                <c:ptCount val="17"/>
                <c:pt idx="2">
                  <c:v>LATCH</c:v>
                </c:pt>
                <c:pt idx="3">
                  <c:v>FLOAT</c:v>
                </c:pt>
                <c:pt idx="4">
                  <c:v>BASE</c:v>
                </c:pt>
                <c:pt idx="5">
                  <c:v>LEAD GUIDE</c:v>
                </c:pt>
                <c:pt idx="6">
                  <c:v>SEPARATOR</c:v>
                </c:pt>
                <c:pt idx="7">
                  <c:v>LEAD IN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 PLATE</c:v>
                </c:pt>
                <c:pt idx="13">
                  <c:v>LEAD IN</c:v>
                </c:pt>
                <c:pt idx="14">
                  <c:v>FLOAT</c:v>
                </c:pt>
                <c:pt idx="15">
                  <c:v>Hinge block</c:v>
                </c:pt>
                <c:pt idx="16">
                  <c:v>ADAPTER</c:v>
                </c:pt>
              </c:strCache>
            </c:strRef>
          </c:cat>
          <c:val>
            <c:numRef>
              <c:f>'22'!$J$6:$J$23</c:f>
              <c:numCache>
                <c:formatCode>_(* #,##0_);_(* \(#,##0\);_(* "-"_);_(@_)</c:formatCode>
                <c:ptCount val="18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1200</c:v>
                </c:pt>
                <c:pt idx="4">
                  <c:v>570</c:v>
                </c:pt>
                <c:pt idx="5">
                  <c:v>650</c:v>
                </c:pt>
                <c:pt idx="6">
                  <c:v>12630</c:v>
                </c:pt>
                <c:pt idx="7">
                  <c:v>1090</c:v>
                </c:pt>
                <c:pt idx="8">
                  <c:v>3510</c:v>
                </c:pt>
                <c:pt idx="9">
                  <c:v>2676</c:v>
                </c:pt>
                <c:pt idx="10">
                  <c:v>1068</c:v>
                </c:pt>
                <c:pt idx="11">
                  <c:v>2100</c:v>
                </c:pt>
                <c:pt idx="12">
                  <c:v>3080</c:v>
                </c:pt>
                <c:pt idx="13">
                  <c:v>625</c:v>
                </c:pt>
                <c:pt idx="14">
                  <c:v>627</c:v>
                </c:pt>
                <c:pt idx="15">
                  <c:v>2090</c:v>
                </c:pt>
                <c:pt idx="16">
                  <c:v>2711</c:v>
                </c:pt>
                <c:pt idx="17">
                  <c:v>51280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3C-4FE8-8DEE-DBABCE2F7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25%</c:v>
                </c:pt>
                <c:pt idx="4">
                  <c:v>17%</c:v>
                </c:pt>
                <c:pt idx="5">
                  <c:v>17%</c:v>
                </c:pt>
                <c:pt idx="6">
                  <c:v>75%</c:v>
                </c:pt>
                <c:pt idx="7">
                  <c:v>0%</c:v>
                </c:pt>
                <c:pt idx="8">
                  <c:v>75%</c:v>
                </c:pt>
                <c:pt idx="9">
                  <c:v>54%</c:v>
                </c:pt>
                <c:pt idx="10">
                  <c:v>0%</c:v>
                </c:pt>
                <c:pt idx="11">
                  <c:v>58%</c:v>
                </c:pt>
                <c:pt idx="12">
                  <c:v>33%</c:v>
                </c:pt>
                <c:pt idx="13">
                  <c:v>17%</c:v>
                </c:pt>
                <c:pt idx="14">
                  <c:v>17%</c:v>
                </c:pt>
                <c:pt idx="15">
                  <c:v>79%</c:v>
                </c:pt>
                <c:pt idx="16">
                  <c:v>58%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'22'!$D$6:$D$23</c:f>
              <c:strCache>
                <c:ptCount val="17"/>
                <c:pt idx="2">
                  <c:v>LATCH</c:v>
                </c:pt>
                <c:pt idx="3">
                  <c:v>FLOAT</c:v>
                </c:pt>
                <c:pt idx="4">
                  <c:v>BASE</c:v>
                </c:pt>
                <c:pt idx="5">
                  <c:v>LEAD GUIDE</c:v>
                </c:pt>
                <c:pt idx="6">
                  <c:v>SEPARATOR</c:v>
                </c:pt>
                <c:pt idx="7">
                  <c:v>LEAD IN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 PLATE</c:v>
                </c:pt>
                <c:pt idx="13">
                  <c:v>LEAD IN</c:v>
                </c:pt>
                <c:pt idx="14">
                  <c:v>FLOAT</c:v>
                </c:pt>
                <c:pt idx="15">
                  <c:v>Hinge block</c:v>
                </c:pt>
                <c:pt idx="16">
                  <c:v>ADAPTER</c:v>
                </c:pt>
              </c:strCache>
            </c:strRef>
          </c:cat>
          <c:val>
            <c:numRef>
              <c:f>'22'!$AD$6:$AD$23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0.74952494061757713</c:v>
                </c:pt>
                <c:pt idx="7">
                  <c:v>0</c:v>
                </c:pt>
                <c:pt idx="8">
                  <c:v>0.74914529914529915</c:v>
                </c:pt>
                <c:pt idx="9">
                  <c:v>0.54166666666666663</c:v>
                </c:pt>
                <c:pt idx="10">
                  <c:v>0</c:v>
                </c:pt>
                <c:pt idx="11">
                  <c:v>0.58333333333333337</c:v>
                </c:pt>
                <c:pt idx="12">
                  <c:v>0.33311688311688309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0.78863636363636358</c:v>
                </c:pt>
                <c:pt idx="16">
                  <c:v>0.58333333333333337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6-404E-9C96-7FD38958E6A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E06-404E-9C96-7FD38958E6A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'22'!$D$6:$D$23</c:f>
              <c:strCache>
                <c:ptCount val="17"/>
                <c:pt idx="2">
                  <c:v>LATCH</c:v>
                </c:pt>
                <c:pt idx="3">
                  <c:v>FLOAT</c:v>
                </c:pt>
                <c:pt idx="4">
                  <c:v>BASE</c:v>
                </c:pt>
                <c:pt idx="5">
                  <c:v>LEAD GUIDE</c:v>
                </c:pt>
                <c:pt idx="6">
                  <c:v>SEPARATOR</c:v>
                </c:pt>
                <c:pt idx="7">
                  <c:v>LEAD IN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 PLATE</c:v>
                </c:pt>
                <c:pt idx="13">
                  <c:v>LEAD IN</c:v>
                </c:pt>
                <c:pt idx="14">
                  <c:v>FLOAT</c:v>
                </c:pt>
                <c:pt idx="15">
                  <c:v>Hinge block</c:v>
                </c:pt>
                <c:pt idx="16">
                  <c:v>ADAPTER</c:v>
                </c:pt>
              </c:strCache>
            </c:strRef>
          </c:cat>
          <c:val>
            <c:numRef>
              <c:f>'22'!$AE$6:$AE$23</c:f>
              <c:numCache>
                <c:formatCode>0%</c:formatCode>
                <c:ptCount val="18"/>
                <c:pt idx="0">
                  <c:v>0.41636156576774147</c:v>
                </c:pt>
                <c:pt idx="1">
                  <c:v>0.41636156576774147</c:v>
                </c:pt>
                <c:pt idx="2">
                  <c:v>0.41636156576774147</c:v>
                </c:pt>
                <c:pt idx="3">
                  <c:v>0.41636156576774147</c:v>
                </c:pt>
                <c:pt idx="4">
                  <c:v>0.41636156576774147</c:v>
                </c:pt>
                <c:pt idx="5">
                  <c:v>0.41636156576774147</c:v>
                </c:pt>
                <c:pt idx="6">
                  <c:v>0.41636156576774147</c:v>
                </c:pt>
                <c:pt idx="7">
                  <c:v>0.41636156576774147</c:v>
                </c:pt>
                <c:pt idx="8">
                  <c:v>0.41636156576774147</c:v>
                </c:pt>
                <c:pt idx="9">
                  <c:v>0.41636156576774147</c:v>
                </c:pt>
                <c:pt idx="10">
                  <c:v>0.41636156576774147</c:v>
                </c:pt>
                <c:pt idx="11">
                  <c:v>0.41636156576774147</c:v>
                </c:pt>
                <c:pt idx="12">
                  <c:v>0.41636156576774147</c:v>
                </c:pt>
                <c:pt idx="13">
                  <c:v>0.41636156576774147</c:v>
                </c:pt>
                <c:pt idx="14">
                  <c:v>0.41636156576774147</c:v>
                </c:pt>
                <c:pt idx="15">
                  <c:v>0.41636156576774147</c:v>
                </c:pt>
                <c:pt idx="16">
                  <c:v>0.41636156576774147</c:v>
                </c:pt>
                <c:pt idx="17">
                  <c:v>0.41636156576774147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06-404E-9C96-7FD38958E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'22'!$D$6:$D$23</c:f>
              <c:strCache>
                <c:ptCount val="17"/>
                <c:pt idx="2">
                  <c:v>LATCH</c:v>
                </c:pt>
                <c:pt idx="3">
                  <c:v>FLOAT</c:v>
                </c:pt>
                <c:pt idx="4">
                  <c:v>BASE</c:v>
                </c:pt>
                <c:pt idx="5">
                  <c:v>LEAD GUIDE</c:v>
                </c:pt>
                <c:pt idx="6">
                  <c:v>SEPARATOR</c:v>
                </c:pt>
                <c:pt idx="7">
                  <c:v>LEAD IN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 PLATE</c:v>
                </c:pt>
                <c:pt idx="13">
                  <c:v>LEAD IN</c:v>
                </c:pt>
                <c:pt idx="14">
                  <c:v>FLOAT</c:v>
                </c:pt>
                <c:pt idx="15">
                  <c:v>Hinge block</c:v>
                </c:pt>
                <c:pt idx="16">
                  <c:v>ADAPTER</c:v>
                </c:pt>
              </c:strCache>
            </c:strRef>
          </c:cat>
          <c:val>
            <c:numRef>
              <c:f>'22'!$L$6:$L$23</c:f>
              <c:numCache>
                <c:formatCode>_(* #,##0_);_(* \(#,##0\);_(* "-"_);_(@_)</c:formatCode>
                <c:ptCount val="18"/>
                <c:pt idx="3">
                  <c:v>1200</c:v>
                </c:pt>
                <c:pt idx="4">
                  <c:v>570</c:v>
                </c:pt>
                <c:pt idx="5">
                  <c:v>650</c:v>
                </c:pt>
                <c:pt idx="6">
                  <c:v>12622</c:v>
                </c:pt>
                <c:pt idx="8">
                  <c:v>3506</c:v>
                </c:pt>
                <c:pt idx="9">
                  <c:v>2676</c:v>
                </c:pt>
                <c:pt idx="11">
                  <c:v>2100</c:v>
                </c:pt>
                <c:pt idx="12">
                  <c:v>3078</c:v>
                </c:pt>
                <c:pt idx="13">
                  <c:v>625</c:v>
                </c:pt>
                <c:pt idx="14">
                  <c:v>627</c:v>
                </c:pt>
                <c:pt idx="15">
                  <c:v>2082</c:v>
                </c:pt>
                <c:pt idx="16">
                  <c:v>2711</c:v>
                </c:pt>
                <c:pt idx="17">
                  <c:v>51280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C-45B0-A3F5-91AC3FB932C5}"/>
            </c:ext>
          </c:extLst>
        </c:ser>
        <c:ser>
          <c:idx val="1"/>
          <c:order val="1"/>
          <c:tx>
            <c:v>계획</c:v>
          </c:tx>
          <c:cat>
            <c:strRef>
              <c:f>'22'!$D$6:$D$23</c:f>
              <c:strCache>
                <c:ptCount val="17"/>
                <c:pt idx="2">
                  <c:v>LATCH</c:v>
                </c:pt>
                <c:pt idx="3">
                  <c:v>FLOAT</c:v>
                </c:pt>
                <c:pt idx="4">
                  <c:v>BASE</c:v>
                </c:pt>
                <c:pt idx="5">
                  <c:v>LEAD GUIDE</c:v>
                </c:pt>
                <c:pt idx="6">
                  <c:v>SEPARATOR</c:v>
                </c:pt>
                <c:pt idx="7">
                  <c:v>LEAD IN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 PLATE</c:v>
                </c:pt>
                <c:pt idx="13">
                  <c:v>LEAD IN</c:v>
                </c:pt>
                <c:pt idx="14">
                  <c:v>FLOAT</c:v>
                </c:pt>
                <c:pt idx="15">
                  <c:v>Hinge block</c:v>
                </c:pt>
                <c:pt idx="16">
                  <c:v>ADAPTER</c:v>
                </c:pt>
              </c:strCache>
            </c:strRef>
          </c:cat>
          <c:val>
            <c:numRef>
              <c:f>'22'!$J$6:$J$23</c:f>
              <c:numCache>
                <c:formatCode>_(* #,##0_);_(* \(#,##0\);_(* "-"_);_(@_)</c:formatCode>
                <c:ptCount val="18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1200</c:v>
                </c:pt>
                <c:pt idx="4">
                  <c:v>570</c:v>
                </c:pt>
                <c:pt idx="5">
                  <c:v>650</c:v>
                </c:pt>
                <c:pt idx="6">
                  <c:v>12630</c:v>
                </c:pt>
                <c:pt idx="7">
                  <c:v>1090</c:v>
                </c:pt>
                <c:pt idx="8">
                  <c:v>3510</c:v>
                </c:pt>
                <c:pt idx="9">
                  <c:v>2676</c:v>
                </c:pt>
                <c:pt idx="10">
                  <c:v>1068</c:v>
                </c:pt>
                <c:pt idx="11">
                  <c:v>2100</c:v>
                </c:pt>
                <c:pt idx="12">
                  <c:v>3080</c:v>
                </c:pt>
                <c:pt idx="13">
                  <c:v>625</c:v>
                </c:pt>
                <c:pt idx="14">
                  <c:v>627</c:v>
                </c:pt>
                <c:pt idx="15">
                  <c:v>2090</c:v>
                </c:pt>
                <c:pt idx="16">
                  <c:v>2711</c:v>
                </c:pt>
                <c:pt idx="17">
                  <c:v>51280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4C-45B0-A3F5-91AC3FB93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25%</c:v>
                </c:pt>
                <c:pt idx="4">
                  <c:v>17%</c:v>
                </c:pt>
                <c:pt idx="5">
                  <c:v>17%</c:v>
                </c:pt>
                <c:pt idx="6">
                  <c:v>75%</c:v>
                </c:pt>
                <c:pt idx="7">
                  <c:v>0%</c:v>
                </c:pt>
                <c:pt idx="8">
                  <c:v>75%</c:v>
                </c:pt>
                <c:pt idx="9">
                  <c:v>54%</c:v>
                </c:pt>
                <c:pt idx="10">
                  <c:v>0%</c:v>
                </c:pt>
                <c:pt idx="11">
                  <c:v>58%</c:v>
                </c:pt>
                <c:pt idx="12">
                  <c:v>33%</c:v>
                </c:pt>
                <c:pt idx="13">
                  <c:v>17%</c:v>
                </c:pt>
                <c:pt idx="14">
                  <c:v>17%</c:v>
                </c:pt>
                <c:pt idx="15">
                  <c:v>79%</c:v>
                </c:pt>
                <c:pt idx="16">
                  <c:v>58%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'22'!$D$6:$D$23</c:f>
              <c:strCache>
                <c:ptCount val="17"/>
                <c:pt idx="2">
                  <c:v>LATCH</c:v>
                </c:pt>
                <c:pt idx="3">
                  <c:v>FLOAT</c:v>
                </c:pt>
                <c:pt idx="4">
                  <c:v>BASE</c:v>
                </c:pt>
                <c:pt idx="5">
                  <c:v>LEAD GUIDE</c:v>
                </c:pt>
                <c:pt idx="6">
                  <c:v>SEPARATOR</c:v>
                </c:pt>
                <c:pt idx="7">
                  <c:v>LEAD IN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 PLATE</c:v>
                </c:pt>
                <c:pt idx="13">
                  <c:v>LEAD IN</c:v>
                </c:pt>
                <c:pt idx="14">
                  <c:v>FLOAT</c:v>
                </c:pt>
                <c:pt idx="15">
                  <c:v>Hinge block</c:v>
                </c:pt>
                <c:pt idx="16">
                  <c:v>ADAPTER</c:v>
                </c:pt>
              </c:strCache>
            </c:strRef>
          </c:cat>
          <c:val>
            <c:numRef>
              <c:f>'22'!$AD$6:$AD$23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0.74952494061757713</c:v>
                </c:pt>
                <c:pt idx="7">
                  <c:v>0</c:v>
                </c:pt>
                <c:pt idx="8">
                  <c:v>0.74914529914529915</c:v>
                </c:pt>
                <c:pt idx="9">
                  <c:v>0.54166666666666663</c:v>
                </c:pt>
                <c:pt idx="10">
                  <c:v>0</c:v>
                </c:pt>
                <c:pt idx="11">
                  <c:v>0.58333333333333337</c:v>
                </c:pt>
                <c:pt idx="12">
                  <c:v>0.33311688311688309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0.78863636363636358</c:v>
                </c:pt>
                <c:pt idx="16">
                  <c:v>0.58333333333333337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2-4517-9B45-1CB50FE757D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42-4517-9B45-1CB50FE757D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'22'!$D$6:$D$23</c:f>
              <c:strCache>
                <c:ptCount val="17"/>
                <c:pt idx="2">
                  <c:v>LATCH</c:v>
                </c:pt>
                <c:pt idx="3">
                  <c:v>FLOAT</c:v>
                </c:pt>
                <c:pt idx="4">
                  <c:v>BASE</c:v>
                </c:pt>
                <c:pt idx="5">
                  <c:v>LEAD GUIDE</c:v>
                </c:pt>
                <c:pt idx="6">
                  <c:v>SEPARATOR</c:v>
                </c:pt>
                <c:pt idx="7">
                  <c:v>LEAD IN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LATCH PLATE</c:v>
                </c:pt>
                <c:pt idx="13">
                  <c:v>LEAD IN</c:v>
                </c:pt>
                <c:pt idx="14">
                  <c:v>FLOAT</c:v>
                </c:pt>
                <c:pt idx="15">
                  <c:v>Hinge block</c:v>
                </c:pt>
                <c:pt idx="16">
                  <c:v>ADAPTER</c:v>
                </c:pt>
              </c:strCache>
            </c:strRef>
          </c:cat>
          <c:val>
            <c:numRef>
              <c:f>'22'!$AE$6:$AE$23</c:f>
              <c:numCache>
                <c:formatCode>0%</c:formatCode>
                <c:ptCount val="18"/>
                <c:pt idx="0">
                  <c:v>0.41636156576774147</c:v>
                </c:pt>
                <c:pt idx="1">
                  <c:v>0.41636156576774147</c:v>
                </c:pt>
                <c:pt idx="2">
                  <c:v>0.41636156576774147</c:v>
                </c:pt>
                <c:pt idx="3">
                  <c:v>0.41636156576774147</c:v>
                </c:pt>
                <c:pt idx="4">
                  <c:v>0.41636156576774147</c:v>
                </c:pt>
                <c:pt idx="5">
                  <c:v>0.41636156576774147</c:v>
                </c:pt>
                <c:pt idx="6">
                  <c:v>0.41636156576774147</c:v>
                </c:pt>
                <c:pt idx="7">
                  <c:v>0.41636156576774147</c:v>
                </c:pt>
                <c:pt idx="8">
                  <c:v>0.41636156576774147</c:v>
                </c:pt>
                <c:pt idx="9">
                  <c:v>0.41636156576774147</c:v>
                </c:pt>
                <c:pt idx="10">
                  <c:v>0.41636156576774147</c:v>
                </c:pt>
                <c:pt idx="11">
                  <c:v>0.41636156576774147</c:v>
                </c:pt>
                <c:pt idx="12">
                  <c:v>0.41636156576774147</c:v>
                </c:pt>
                <c:pt idx="13">
                  <c:v>0.41636156576774147</c:v>
                </c:pt>
                <c:pt idx="14">
                  <c:v>0.41636156576774147</c:v>
                </c:pt>
                <c:pt idx="15">
                  <c:v>0.41636156576774147</c:v>
                </c:pt>
                <c:pt idx="16">
                  <c:v>0.41636156576774147</c:v>
                </c:pt>
                <c:pt idx="17">
                  <c:v>0.41636156576774147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42-4517-9B45-1CB50FE75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1D1-4ACB-9E82-C159049823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D1-4ACB-9E82-C15904982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1D1-4ACB-9E82-C1590498231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D1-4ACB-9E82-C15904982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FLOAT</c:v>
                </c:pt>
                <c:pt idx="13">
                  <c:v>ADAPTER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3">
                  <c:v>735</c:v>
                </c:pt>
                <c:pt idx="4">
                  <c:v>7434</c:v>
                </c:pt>
                <c:pt idx="5">
                  <c:v>5141</c:v>
                </c:pt>
                <c:pt idx="6">
                  <c:v>4892</c:v>
                </c:pt>
                <c:pt idx="7">
                  <c:v>653</c:v>
                </c:pt>
                <c:pt idx="9">
                  <c:v>1275</c:v>
                </c:pt>
                <c:pt idx="10">
                  <c:v>714</c:v>
                </c:pt>
                <c:pt idx="12">
                  <c:v>4111</c:v>
                </c:pt>
                <c:pt idx="13">
                  <c:v>999</c:v>
                </c:pt>
                <c:pt idx="14">
                  <c:v>53100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7-4CE6-B14B-39E8997729C6}"/>
            </c:ext>
          </c:extLst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FLOAT</c:v>
                </c:pt>
                <c:pt idx="13">
                  <c:v>ADAPTER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735</c:v>
                </c:pt>
                <c:pt idx="4">
                  <c:v>7434</c:v>
                </c:pt>
                <c:pt idx="5">
                  <c:v>5141</c:v>
                </c:pt>
                <c:pt idx="6">
                  <c:v>4900</c:v>
                </c:pt>
                <c:pt idx="7">
                  <c:v>653</c:v>
                </c:pt>
                <c:pt idx="8">
                  <c:v>1068</c:v>
                </c:pt>
                <c:pt idx="9">
                  <c:v>1275</c:v>
                </c:pt>
                <c:pt idx="10">
                  <c:v>714</c:v>
                </c:pt>
                <c:pt idx="11">
                  <c:v>627</c:v>
                </c:pt>
                <c:pt idx="12">
                  <c:v>4111</c:v>
                </c:pt>
                <c:pt idx="13">
                  <c:v>999</c:v>
                </c:pt>
                <c:pt idx="14">
                  <c:v>53100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F7-4CE6-B14B-39E899772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17%</c:v>
                </c:pt>
                <c:pt idx="4">
                  <c:v>46%</c:v>
                </c:pt>
                <c:pt idx="5">
                  <c:v>100%</c:v>
                </c:pt>
                <c:pt idx="6">
                  <c:v>92%</c:v>
                </c:pt>
                <c:pt idx="7">
                  <c:v>21%</c:v>
                </c:pt>
                <c:pt idx="8">
                  <c:v>0%</c:v>
                </c:pt>
                <c:pt idx="9">
                  <c:v>29%</c:v>
                </c:pt>
                <c:pt idx="10">
                  <c:v>17%</c:v>
                </c:pt>
                <c:pt idx="11">
                  <c:v>0%</c:v>
                </c:pt>
                <c:pt idx="12">
                  <c:v>92%</c:v>
                </c:pt>
                <c:pt idx="13">
                  <c:v>25%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FLOAT</c:v>
                </c:pt>
                <c:pt idx="13">
                  <c:v>ADAPTER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0.45833333333333331</c:v>
                </c:pt>
                <c:pt idx="5">
                  <c:v>1</c:v>
                </c:pt>
                <c:pt idx="6">
                  <c:v>0.91517006802721079</c:v>
                </c:pt>
                <c:pt idx="7">
                  <c:v>0.20833333333333334</c:v>
                </c:pt>
                <c:pt idx="8">
                  <c:v>0</c:v>
                </c:pt>
                <c:pt idx="9">
                  <c:v>0.29166666666666669</c:v>
                </c:pt>
                <c:pt idx="10">
                  <c:v>0.16666666666666666</c:v>
                </c:pt>
                <c:pt idx="11">
                  <c:v>0</c:v>
                </c:pt>
                <c:pt idx="12">
                  <c:v>0.91666666666666663</c:v>
                </c:pt>
                <c:pt idx="13">
                  <c:v>0.25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BF-4BE1-B23C-AE9B4714A2D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BF-4BE1-B23C-AE9B4714A2D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FLOAT</c:v>
                </c:pt>
                <c:pt idx="13">
                  <c:v>ADAPTER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0.35823356009070295</c:v>
                </c:pt>
                <c:pt idx="1">
                  <c:v>0.35823356009070295</c:v>
                </c:pt>
                <c:pt idx="2">
                  <c:v>0.35823356009070295</c:v>
                </c:pt>
                <c:pt idx="3">
                  <c:v>0.35823356009070295</c:v>
                </c:pt>
                <c:pt idx="4">
                  <c:v>0.35823356009070295</c:v>
                </c:pt>
                <c:pt idx="5">
                  <c:v>0.35823356009070295</c:v>
                </c:pt>
                <c:pt idx="6">
                  <c:v>0.35823356009070295</c:v>
                </c:pt>
                <c:pt idx="7">
                  <c:v>0.35823356009070295</c:v>
                </c:pt>
                <c:pt idx="8">
                  <c:v>0.35823356009070295</c:v>
                </c:pt>
                <c:pt idx="9">
                  <c:v>0.35823356009070295</c:v>
                </c:pt>
                <c:pt idx="10">
                  <c:v>0.35823356009070295</c:v>
                </c:pt>
                <c:pt idx="11">
                  <c:v>0.35823356009070295</c:v>
                </c:pt>
                <c:pt idx="12">
                  <c:v>0.35823356009070295</c:v>
                </c:pt>
                <c:pt idx="13">
                  <c:v>0.35823356009070295</c:v>
                </c:pt>
                <c:pt idx="14">
                  <c:v>0.35823356009070295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BF-4BE1-B23C-AE9B4714A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FLOAT</c:v>
                </c:pt>
                <c:pt idx="13">
                  <c:v>ADAPTER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3">
                  <c:v>735</c:v>
                </c:pt>
                <c:pt idx="4">
                  <c:v>7434</c:v>
                </c:pt>
                <c:pt idx="5">
                  <c:v>5141</c:v>
                </c:pt>
                <c:pt idx="6">
                  <c:v>4892</c:v>
                </c:pt>
                <c:pt idx="7">
                  <c:v>653</c:v>
                </c:pt>
                <c:pt idx="9">
                  <c:v>1275</c:v>
                </c:pt>
                <c:pt idx="10">
                  <c:v>714</c:v>
                </c:pt>
                <c:pt idx="12">
                  <c:v>4111</c:v>
                </c:pt>
                <c:pt idx="13">
                  <c:v>999</c:v>
                </c:pt>
                <c:pt idx="14">
                  <c:v>53100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F-4B1A-97B9-BB77263424C1}"/>
            </c:ext>
          </c:extLst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FLOAT</c:v>
                </c:pt>
                <c:pt idx="13">
                  <c:v>ADAPTER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735</c:v>
                </c:pt>
                <c:pt idx="4">
                  <c:v>7434</c:v>
                </c:pt>
                <c:pt idx="5">
                  <c:v>5141</c:v>
                </c:pt>
                <c:pt idx="6">
                  <c:v>4900</c:v>
                </c:pt>
                <c:pt idx="7">
                  <c:v>653</c:v>
                </c:pt>
                <c:pt idx="8">
                  <c:v>1068</c:v>
                </c:pt>
                <c:pt idx="9">
                  <c:v>1275</c:v>
                </c:pt>
                <c:pt idx="10">
                  <c:v>714</c:v>
                </c:pt>
                <c:pt idx="11">
                  <c:v>627</c:v>
                </c:pt>
                <c:pt idx="12">
                  <c:v>4111</c:v>
                </c:pt>
                <c:pt idx="13">
                  <c:v>999</c:v>
                </c:pt>
                <c:pt idx="14">
                  <c:v>53100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6F-4B1A-97B9-BB7726342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17%</c:v>
                </c:pt>
                <c:pt idx="4">
                  <c:v>46%</c:v>
                </c:pt>
                <c:pt idx="5">
                  <c:v>100%</c:v>
                </c:pt>
                <c:pt idx="6">
                  <c:v>92%</c:v>
                </c:pt>
                <c:pt idx="7">
                  <c:v>21%</c:v>
                </c:pt>
                <c:pt idx="8">
                  <c:v>0%</c:v>
                </c:pt>
                <c:pt idx="9">
                  <c:v>29%</c:v>
                </c:pt>
                <c:pt idx="10">
                  <c:v>17%</c:v>
                </c:pt>
                <c:pt idx="11">
                  <c:v>0%</c:v>
                </c:pt>
                <c:pt idx="12">
                  <c:v>92%</c:v>
                </c:pt>
                <c:pt idx="13">
                  <c:v>25%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FLOAT</c:v>
                </c:pt>
                <c:pt idx="13">
                  <c:v>ADAPTER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0.45833333333333331</c:v>
                </c:pt>
                <c:pt idx="5">
                  <c:v>1</c:v>
                </c:pt>
                <c:pt idx="6">
                  <c:v>0.91517006802721079</c:v>
                </c:pt>
                <c:pt idx="7">
                  <c:v>0.20833333333333334</c:v>
                </c:pt>
                <c:pt idx="8">
                  <c:v>0</c:v>
                </c:pt>
                <c:pt idx="9">
                  <c:v>0.29166666666666669</c:v>
                </c:pt>
                <c:pt idx="10">
                  <c:v>0.16666666666666666</c:v>
                </c:pt>
                <c:pt idx="11">
                  <c:v>0</c:v>
                </c:pt>
                <c:pt idx="12">
                  <c:v>0.91666666666666663</c:v>
                </c:pt>
                <c:pt idx="13">
                  <c:v>0.25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E8-4041-89BA-E4C097DFC01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E8-4041-89BA-E4C097DFC0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'23'!$D$6:$D$20</c:f>
              <c:strCache>
                <c:ptCount val="14"/>
                <c:pt idx="2">
                  <c:v>LATCH</c:v>
                </c:pt>
                <c:pt idx="3">
                  <c:v>BASE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FLOAT</c:v>
                </c:pt>
                <c:pt idx="13">
                  <c:v>ADAPTER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0.35823356009070295</c:v>
                </c:pt>
                <c:pt idx="1">
                  <c:v>0.35823356009070295</c:v>
                </c:pt>
                <c:pt idx="2">
                  <c:v>0.35823356009070295</c:v>
                </c:pt>
                <c:pt idx="3">
                  <c:v>0.35823356009070295</c:v>
                </c:pt>
                <c:pt idx="4">
                  <c:v>0.35823356009070295</c:v>
                </c:pt>
                <c:pt idx="5">
                  <c:v>0.35823356009070295</c:v>
                </c:pt>
                <c:pt idx="6">
                  <c:v>0.35823356009070295</c:v>
                </c:pt>
                <c:pt idx="7">
                  <c:v>0.35823356009070295</c:v>
                </c:pt>
                <c:pt idx="8">
                  <c:v>0.35823356009070295</c:v>
                </c:pt>
                <c:pt idx="9">
                  <c:v>0.35823356009070295</c:v>
                </c:pt>
                <c:pt idx="10">
                  <c:v>0.35823356009070295</c:v>
                </c:pt>
                <c:pt idx="11">
                  <c:v>0.35823356009070295</c:v>
                </c:pt>
                <c:pt idx="12">
                  <c:v>0.35823356009070295</c:v>
                </c:pt>
                <c:pt idx="13">
                  <c:v>0.35823356009070295</c:v>
                </c:pt>
                <c:pt idx="14">
                  <c:v>0.35823356009070295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E8-4041-89BA-E4C097DFC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78C-4FD2-928F-B7157E4EF6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8C-4FD2-928F-B7157E4EF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8C-4FD2-928F-B7157E4EF6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8C-4FD2-928F-B7157E4EF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3">
                  <c:v>1850</c:v>
                </c:pt>
                <c:pt idx="4">
                  <c:v>9660</c:v>
                </c:pt>
                <c:pt idx="5">
                  <c:v>431</c:v>
                </c:pt>
                <c:pt idx="6">
                  <c:v>5963</c:v>
                </c:pt>
                <c:pt idx="7">
                  <c:v>1238</c:v>
                </c:pt>
                <c:pt idx="12">
                  <c:v>4283</c:v>
                </c:pt>
                <c:pt idx="14">
                  <c:v>49924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7-4523-886E-E26189B1E4CC}"/>
            </c:ext>
          </c:extLst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1850</c:v>
                </c:pt>
                <c:pt idx="4">
                  <c:v>9660</c:v>
                </c:pt>
                <c:pt idx="5">
                  <c:v>431</c:v>
                </c:pt>
                <c:pt idx="6">
                  <c:v>5963</c:v>
                </c:pt>
                <c:pt idx="7">
                  <c:v>1240</c:v>
                </c:pt>
                <c:pt idx="8">
                  <c:v>1068</c:v>
                </c:pt>
                <c:pt idx="9">
                  <c:v>1275</c:v>
                </c:pt>
                <c:pt idx="10">
                  <c:v>714</c:v>
                </c:pt>
                <c:pt idx="11">
                  <c:v>627</c:v>
                </c:pt>
                <c:pt idx="12">
                  <c:v>4283</c:v>
                </c:pt>
                <c:pt idx="13">
                  <c:v>999</c:v>
                </c:pt>
                <c:pt idx="14">
                  <c:v>49924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7-4523-886E-E26189B1E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54%</c:v>
                </c:pt>
                <c:pt idx="4">
                  <c:v>79%</c:v>
                </c:pt>
                <c:pt idx="5">
                  <c:v>17%</c:v>
                </c:pt>
                <c:pt idx="6">
                  <c:v>100%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92%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0.54166666666666663</c:v>
                </c:pt>
                <c:pt idx="4">
                  <c:v>0.79166666666666663</c:v>
                </c:pt>
                <c:pt idx="5">
                  <c:v>0.16666666666666666</c:v>
                </c:pt>
                <c:pt idx="6">
                  <c:v>1</c:v>
                </c:pt>
                <c:pt idx="7">
                  <c:v>0.415994623655914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0.91666666666666663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C-4285-ABAF-3F47C75E757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7C-4285-ABAF-3F47C75E757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0.32217741935483868</c:v>
                </c:pt>
                <c:pt idx="1">
                  <c:v>0.32217741935483868</c:v>
                </c:pt>
                <c:pt idx="2">
                  <c:v>0.32217741935483868</c:v>
                </c:pt>
                <c:pt idx="3">
                  <c:v>0.32217741935483868</c:v>
                </c:pt>
                <c:pt idx="4">
                  <c:v>0.32217741935483868</c:v>
                </c:pt>
                <c:pt idx="5">
                  <c:v>0.32217741935483868</c:v>
                </c:pt>
                <c:pt idx="6">
                  <c:v>0.32217741935483868</c:v>
                </c:pt>
                <c:pt idx="7">
                  <c:v>0.32217741935483868</c:v>
                </c:pt>
                <c:pt idx="8">
                  <c:v>0.32217741935483868</c:v>
                </c:pt>
                <c:pt idx="9">
                  <c:v>0.32217741935483868</c:v>
                </c:pt>
                <c:pt idx="10">
                  <c:v>0.32217741935483868</c:v>
                </c:pt>
                <c:pt idx="11">
                  <c:v>0.32217741935483868</c:v>
                </c:pt>
                <c:pt idx="12">
                  <c:v>0.32217741935483868</c:v>
                </c:pt>
                <c:pt idx="13">
                  <c:v>0.32217741935483868</c:v>
                </c:pt>
                <c:pt idx="14">
                  <c:v>0.32217741935483868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7C-4285-ABAF-3F47C75E7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3">
                  <c:v>1850</c:v>
                </c:pt>
                <c:pt idx="4">
                  <c:v>9660</c:v>
                </c:pt>
                <c:pt idx="5">
                  <c:v>431</c:v>
                </c:pt>
                <c:pt idx="6">
                  <c:v>5963</c:v>
                </c:pt>
                <c:pt idx="7">
                  <c:v>1238</c:v>
                </c:pt>
                <c:pt idx="12">
                  <c:v>4283</c:v>
                </c:pt>
                <c:pt idx="14">
                  <c:v>49924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8-4DF9-954B-E1D305C2817A}"/>
            </c:ext>
          </c:extLst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1850</c:v>
                </c:pt>
                <c:pt idx="4">
                  <c:v>9660</c:v>
                </c:pt>
                <c:pt idx="5">
                  <c:v>431</c:v>
                </c:pt>
                <c:pt idx="6">
                  <c:v>5963</c:v>
                </c:pt>
                <c:pt idx="7">
                  <c:v>1240</c:v>
                </c:pt>
                <c:pt idx="8">
                  <c:v>1068</c:v>
                </c:pt>
                <c:pt idx="9">
                  <c:v>1275</c:v>
                </c:pt>
                <c:pt idx="10">
                  <c:v>714</c:v>
                </c:pt>
                <c:pt idx="11">
                  <c:v>627</c:v>
                </c:pt>
                <c:pt idx="12">
                  <c:v>4283</c:v>
                </c:pt>
                <c:pt idx="13">
                  <c:v>999</c:v>
                </c:pt>
                <c:pt idx="14">
                  <c:v>49924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C8-4DF9-954B-E1D305C28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54%</c:v>
                </c:pt>
                <c:pt idx="4">
                  <c:v>79%</c:v>
                </c:pt>
                <c:pt idx="5">
                  <c:v>17%</c:v>
                </c:pt>
                <c:pt idx="6">
                  <c:v>100%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92%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0.54166666666666663</c:v>
                </c:pt>
                <c:pt idx="4">
                  <c:v>0.79166666666666663</c:v>
                </c:pt>
                <c:pt idx="5">
                  <c:v>0.16666666666666666</c:v>
                </c:pt>
                <c:pt idx="6">
                  <c:v>1</c:v>
                </c:pt>
                <c:pt idx="7">
                  <c:v>0.415994623655914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0.91666666666666663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D1-4555-A5E5-F277CB9B9C1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D1-4555-A5E5-F277CB9B9C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0.32217741935483868</c:v>
                </c:pt>
                <c:pt idx="1">
                  <c:v>0.32217741935483868</c:v>
                </c:pt>
                <c:pt idx="2">
                  <c:v>0.32217741935483868</c:v>
                </c:pt>
                <c:pt idx="3">
                  <c:v>0.32217741935483868</c:v>
                </c:pt>
                <c:pt idx="4">
                  <c:v>0.32217741935483868</c:v>
                </c:pt>
                <c:pt idx="5">
                  <c:v>0.32217741935483868</c:v>
                </c:pt>
                <c:pt idx="6">
                  <c:v>0.32217741935483868</c:v>
                </c:pt>
                <c:pt idx="7">
                  <c:v>0.32217741935483868</c:v>
                </c:pt>
                <c:pt idx="8">
                  <c:v>0.32217741935483868</c:v>
                </c:pt>
                <c:pt idx="9">
                  <c:v>0.32217741935483868</c:v>
                </c:pt>
                <c:pt idx="10">
                  <c:v>0.32217741935483868</c:v>
                </c:pt>
                <c:pt idx="11">
                  <c:v>0.32217741935483868</c:v>
                </c:pt>
                <c:pt idx="12">
                  <c:v>0.32217741935483868</c:v>
                </c:pt>
                <c:pt idx="13">
                  <c:v>0.32217741935483868</c:v>
                </c:pt>
                <c:pt idx="14">
                  <c:v>0.32217741935483868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D1-4555-A5E5-F277CB9B9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636-4290-833F-CD97F0276A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36-4290-833F-CD97F0276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36-4290-833F-CD97F0276A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36-4290-833F-CD97F0276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4">
                  <c:v>7252</c:v>
                </c:pt>
                <c:pt idx="6">
                  <c:v>2732</c:v>
                </c:pt>
                <c:pt idx="12">
                  <c:v>2495</c:v>
                </c:pt>
                <c:pt idx="14">
                  <c:v>22424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E1-415C-AB32-374DEC913BB8}"/>
            </c:ext>
          </c:extLst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1850</c:v>
                </c:pt>
                <c:pt idx="4">
                  <c:v>7252</c:v>
                </c:pt>
                <c:pt idx="5">
                  <c:v>431</c:v>
                </c:pt>
                <c:pt idx="6">
                  <c:v>2732</c:v>
                </c:pt>
                <c:pt idx="7">
                  <c:v>1240</c:v>
                </c:pt>
                <c:pt idx="8">
                  <c:v>1068</c:v>
                </c:pt>
                <c:pt idx="9">
                  <c:v>1275</c:v>
                </c:pt>
                <c:pt idx="10">
                  <c:v>714</c:v>
                </c:pt>
                <c:pt idx="11">
                  <c:v>627</c:v>
                </c:pt>
                <c:pt idx="12">
                  <c:v>2495</c:v>
                </c:pt>
                <c:pt idx="13">
                  <c:v>999</c:v>
                </c:pt>
                <c:pt idx="14">
                  <c:v>22430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1-415C-AB32-374DEC913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42%</c:v>
                </c:pt>
                <c:pt idx="5">
                  <c:v>0%</c:v>
                </c:pt>
                <c:pt idx="6">
                  <c:v>46%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46%</c:v>
                </c:pt>
                <c:pt idx="13">
                  <c:v>0%</c:v>
                </c:pt>
                <c:pt idx="14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0.41666666666666669</c:v>
                </c:pt>
                <c:pt idx="5">
                  <c:v>0</c:v>
                </c:pt>
                <c:pt idx="6">
                  <c:v>0.45833333333333331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0.45833333333333331</c:v>
                </c:pt>
                <c:pt idx="13">
                  <c:v>0</c:v>
                </c:pt>
                <c:pt idx="14">
                  <c:v>0.45821072967751519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AE-41A6-98FD-40103FA897A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AE-41A6-98FD-40103FA897A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0.11943627086738991</c:v>
                </c:pt>
                <c:pt idx="1">
                  <c:v>0.11943627086738991</c:v>
                </c:pt>
                <c:pt idx="2">
                  <c:v>0.11943627086738991</c:v>
                </c:pt>
                <c:pt idx="3">
                  <c:v>0.11943627086738991</c:v>
                </c:pt>
                <c:pt idx="4">
                  <c:v>0.11943627086738991</c:v>
                </c:pt>
                <c:pt idx="5">
                  <c:v>0.11943627086738991</c:v>
                </c:pt>
                <c:pt idx="6">
                  <c:v>0.11943627086738991</c:v>
                </c:pt>
                <c:pt idx="7">
                  <c:v>0.11943627086738991</c:v>
                </c:pt>
                <c:pt idx="8">
                  <c:v>0.11943627086738991</c:v>
                </c:pt>
                <c:pt idx="9">
                  <c:v>0.11943627086738991</c:v>
                </c:pt>
                <c:pt idx="10">
                  <c:v>0.11943627086738991</c:v>
                </c:pt>
                <c:pt idx="11">
                  <c:v>0.11943627086738991</c:v>
                </c:pt>
                <c:pt idx="12">
                  <c:v>0.11943627086738991</c:v>
                </c:pt>
                <c:pt idx="13">
                  <c:v>0.11943627086738991</c:v>
                </c:pt>
                <c:pt idx="14">
                  <c:v>0.11943627086738991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AE-41A6-98FD-40103FA89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4">
                  <c:v>7252</c:v>
                </c:pt>
                <c:pt idx="6">
                  <c:v>2732</c:v>
                </c:pt>
                <c:pt idx="12">
                  <c:v>2495</c:v>
                </c:pt>
                <c:pt idx="14">
                  <c:v>22424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C-46A2-B45B-4BD26FC9A6FC}"/>
            </c:ext>
          </c:extLst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2060</c:v>
                </c:pt>
                <c:pt idx="3">
                  <c:v>1850</c:v>
                </c:pt>
                <c:pt idx="4">
                  <c:v>7252</c:v>
                </c:pt>
                <c:pt idx="5">
                  <c:v>431</c:v>
                </c:pt>
                <c:pt idx="6">
                  <c:v>2732</c:v>
                </c:pt>
                <c:pt idx="7">
                  <c:v>1240</c:v>
                </c:pt>
                <c:pt idx="8">
                  <c:v>1068</c:v>
                </c:pt>
                <c:pt idx="9">
                  <c:v>1275</c:v>
                </c:pt>
                <c:pt idx="10">
                  <c:v>714</c:v>
                </c:pt>
                <c:pt idx="11">
                  <c:v>627</c:v>
                </c:pt>
                <c:pt idx="12">
                  <c:v>2495</c:v>
                </c:pt>
                <c:pt idx="13">
                  <c:v>999</c:v>
                </c:pt>
                <c:pt idx="14">
                  <c:v>22430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C-46A2-B45B-4BD26FC9A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42%</c:v>
                </c:pt>
                <c:pt idx="5">
                  <c:v>0%</c:v>
                </c:pt>
                <c:pt idx="6">
                  <c:v>46%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46%</c:v>
                </c:pt>
                <c:pt idx="13">
                  <c:v>0%</c:v>
                </c:pt>
                <c:pt idx="14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0.41666666666666669</c:v>
                </c:pt>
                <c:pt idx="5">
                  <c:v>0</c:v>
                </c:pt>
                <c:pt idx="6">
                  <c:v>0.45833333333333331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0.45833333333333331</c:v>
                </c:pt>
                <c:pt idx="13">
                  <c:v>0</c:v>
                </c:pt>
                <c:pt idx="14">
                  <c:v>0.45821072967751519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8-4E3F-9A12-2565FE7F8F8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98-4E3F-9A12-2565FE7F8F8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2">
                  <c:v>LATCH</c:v>
                </c:pt>
                <c:pt idx="3">
                  <c:v>DOWN</c:v>
                </c:pt>
                <c:pt idx="4">
                  <c:v>SEPARATOR</c:v>
                </c:pt>
                <c:pt idx="5">
                  <c:v>ADAPTER</c:v>
                </c:pt>
                <c:pt idx="6">
                  <c:v>STOPPER</c:v>
                </c:pt>
                <c:pt idx="7">
                  <c:v>HOLDER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LEAD GUIDE</c:v>
                </c:pt>
                <c:pt idx="13">
                  <c:v>ADAPTER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0.11943627086738991</c:v>
                </c:pt>
                <c:pt idx="1">
                  <c:v>0.11943627086738991</c:v>
                </c:pt>
                <c:pt idx="2">
                  <c:v>0.11943627086738991</c:v>
                </c:pt>
                <c:pt idx="3">
                  <c:v>0.11943627086738991</c:v>
                </c:pt>
                <c:pt idx="4">
                  <c:v>0.11943627086738991</c:v>
                </c:pt>
                <c:pt idx="5">
                  <c:v>0.11943627086738991</c:v>
                </c:pt>
                <c:pt idx="6">
                  <c:v>0.11943627086738991</c:v>
                </c:pt>
                <c:pt idx="7">
                  <c:v>0.11943627086738991</c:v>
                </c:pt>
                <c:pt idx="8">
                  <c:v>0.11943627086738991</c:v>
                </c:pt>
                <c:pt idx="9">
                  <c:v>0.11943627086738991</c:v>
                </c:pt>
                <c:pt idx="10">
                  <c:v>0.11943627086738991</c:v>
                </c:pt>
                <c:pt idx="11">
                  <c:v>0.11943627086738991</c:v>
                </c:pt>
                <c:pt idx="12">
                  <c:v>0.11943627086738991</c:v>
                </c:pt>
                <c:pt idx="13">
                  <c:v>0.11943627086738991</c:v>
                </c:pt>
                <c:pt idx="14">
                  <c:v>0.11943627086738991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98-4E3F-9A12-2565FE7F8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6CC-4522-8421-CC2A07513C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CC-4522-8421-CC2A07513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6CC-4522-8421-CC2A07513C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CC-4522-8421-CC2A07513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DOWN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2">
                  <c:v>4360</c:v>
                </c:pt>
                <c:pt idx="4">
                  <c:v>11746</c:v>
                </c:pt>
                <c:pt idx="5">
                  <c:v>3545</c:v>
                </c:pt>
                <c:pt idx="6">
                  <c:v>5989</c:v>
                </c:pt>
                <c:pt idx="7">
                  <c:v>6038</c:v>
                </c:pt>
                <c:pt idx="10">
                  <c:v>4499</c:v>
                </c:pt>
                <c:pt idx="12">
                  <c:v>4599</c:v>
                </c:pt>
                <c:pt idx="14">
                  <c:v>45520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83-4023-ABEC-D135A298B982}"/>
            </c:ext>
          </c:extLst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DOWN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4360</c:v>
                </c:pt>
                <c:pt idx="3">
                  <c:v>1850</c:v>
                </c:pt>
                <c:pt idx="4">
                  <c:v>11746</c:v>
                </c:pt>
                <c:pt idx="5">
                  <c:v>3550</c:v>
                </c:pt>
                <c:pt idx="6">
                  <c:v>6000</c:v>
                </c:pt>
                <c:pt idx="7">
                  <c:v>6040</c:v>
                </c:pt>
                <c:pt idx="8">
                  <c:v>1068</c:v>
                </c:pt>
                <c:pt idx="9">
                  <c:v>1275</c:v>
                </c:pt>
                <c:pt idx="10">
                  <c:v>4500</c:v>
                </c:pt>
                <c:pt idx="11">
                  <c:v>627</c:v>
                </c:pt>
                <c:pt idx="12">
                  <c:v>4600</c:v>
                </c:pt>
                <c:pt idx="13">
                  <c:v>999</c:v>
                </c:pt>
                <c:pt idx="14">
                  <c:v>45520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83-4023-ABEC-D135A298B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0%</c:v>
                </c:pt>
                <c:pt idx="4">
                  <c:v>88%</c:v>
                </c:pt>
                <c:pt idx="5">
                  <c:v>83%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92%</c:v>
                </c:pt>
                <c:pt idx="11">
                  <c:v>0%</c:v>
                </c:pt>
                <c:pt idx="12">
                  <c:v>96%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DOWN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</c:v>
                </c:pt>
                <c:pt idx="4">
                  <c:v>0.875</c:v>
                </c:pt>
                <c:pt idx="5">
                  <c:v>0.83215962441314562</c:v>
                </c:pt>
                <c:pt idx="6">
                  <c:v>0.99816666666666665</c:v>
                </c:pt>
                <c:pt idx="7">
                  <c:v>0.74975165562913904</c:v>
                </c:pt>
                <c:pt idx="8">
                  <c:v>0</c:v>
                </c:pt>
                <c:pt idx="9">
                  <c:v>0</c:v>
                </c:pt>
                <c:pt idx="10">
                  <c:v>0.91646296296296292</c:v>
                </c:pt>
                <c:pt idx="11">
                  <c:v>0</c:v>
                </c:pt>
                <c:pt idx="12">
                  <c:v>0.958125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5-41B0-BCB4-FCF08DF7887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C5-41B0-BCB4-FCF08DF788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DOWN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0.483088838422572</c:v>
                </c:pt>
                <c:pt idx="1">
                  <c:v>0.483088838422572</c:v>
                </c:pt>
                <c:pt idx="2">
                  <c:v>0.483088838422572</c:v>
                </c:pt>
                <c:pt idx="3">
                  <c:v>0.483088838422572</c:v>
                </c:pt>
                <c:pt idx="4">
                  <c:v>0.483088838422572</c:v>
                </c:pt>
                <c:pt idx="5">
                  <c:v>0.483088838422572</c:v>
                </c:pt>
                <c:pt idx="6">
                  <c:v>0.483088838422572</c:v>
                </c:pt>
                <c:pt idx="7">
                  <c:v>0.483088838422572</c:v>
                </c:pt>
                <c:pt idx="8">
                  <c:v>0.483088838422572</c:v>
                </c:pt>
                <c:pt idx="9">
                  <c:v>0.483088838422572</c:v>
                </c:pt>
                <c:pt idx="10">
                  <c:v>0.483088838422572</c:v>
                </c:pt>
                <c:pt idx="11">
                  <c:v>0.483088838422572</c:v>
                </c:pt>
                <c:pt idx="12">
                  <c:v>0.483088838422572</c:v>
                </c:pt>
                <c:pt idx="13">
                  <c:v>0.483088838422572</c:v>
                </c:pt>
                <c:pt idx="14">
                  <c:v>0.483088838422572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C5-41B0-BCB4-FCF08DF78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DOWN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2">
                  <c:v>4360</c:v>
                </c:pt>
                <c:pt idx="4">
                  <c:v>11746</c:v>
                </c:pt>
                <c:pt idx="5">
                  <c:v>3545</c:v>
                </c:pt>
                <c:pt idx="6">
                  <c:v>5989</c:v>
                </c:pt>
                <c:pt idx="7">
                  <c:v>6038</c:v>
                </c:pt>
                <c:pt idx="10">
                  <c:v>4499</c:v>
                </c:pt>
                <c:pt idx="12">
                  <c:v>4599</c:v>
                </c:pt>
                <c:pt idx="14">
                  <c:v>45520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B2-4FEE-8809-EB2B98AE8724}"/>
            </c:ext>
          </c:extLst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DOWN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4360</c:v>
                </c:pt>
                <c:pt idx="3">
                  <c:v>1850</c:v>
                </c:pt>
                <c:pt idx="4">
                  <c:v>11746</c:v>
                </c:pt>
                <c:pt idx="5">
                  <c:v>3550</c:v>
                </c:pt>
                <c:pt idx="6">
                  <c:v>6000</c:v>
                </c:pt>
                <c:pt idx="7">
                  <c:v>6040</c:v>
                </c:pt>
                <c:pt idx="8">
                  <c:v>1068</c:v>
                </c:pt>
                <c:pt idx="9">
                  <c:v>1275</c:v>
                </c:pt>
                <c:pt idx="10">
                  <c:v>4500</c:v>
                </c:pt>
                <c:pt idx="11">
                  <c:v>627</c:v>
                </c:pt>
                <c:pt idx="12">
                  <c:v>4600</c:v>
                </c:pt>
                <c:pt idx="13">
                  <c:v>999</c:v>
                </c:pt>
                <c:pt idx="14">
                  <c:v>45520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B2-4FEE-8809-EB2B98AE8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0%</c:v>
                </c:pt>
                <c:pt idx="4">
                  <c:v>88%</c:v>
                </c:pt>
                <c:pt idx="5">
                  <c:v>83%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92%</c:v>
                </c:pt>
                <c:pt idx="11">
                  <c:v>0%</c:v>
                </c:pt>
                <c:pt idx="12">
                  <c:v>96%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DOWN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</c:v>
                </c:pt>
                <c:pt idx="4">
                  <c:v>0.875</c:v>
                </c:pt>
                <c:pt idx="5">
                  <c:v>0.83215962441314562</c:v>
                </c:pt>
                <c:pt idx="6">
                  <c:v>0.99816666666666665</c:v>
                </c:pt>
                <c:pt idx="7">
                  <c:v>0.74975165562913904</c:v>
                </c:pt>
                <c:pt idx="8">
                  <c:v>0</c:v>
                </c:pt>
                <c:pt idx="9">
                  <c:v>0</c:v>
                </c:pt>
                <c:pt idx="10">
                  <c:v>0.91646296296296292</c:v>
                </c:pt>
                <c:pt idx="11">
                  <c:v>0</c:v>
                </c:pt>
                <c:pt idx="12">
                  <c:v>0.958125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81-4503-A01C-5C1DE29FF74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81-4503-A01C-5C1DE29FF7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STOPPER</c:v>
                </c:pt>
                <c:pt idx="3">
                  <c:v>DOWN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FLOAT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0.483088838422572</c:v>
                </c:pt>
                <c:pt idx="1">
                  <c:v>0.483088838422572</c:v>
                </c:pt>
                <c:pt idx="2">
                  <c:v>0.483088838422572</c:v>
                </c:pt>
                <c:pt idx="3">
                  <c:v>0.483088838422572</c:v>
                </c:pt>
                <c:pt idx="4">
                  <c:v>0.483088838422572</c:v>
                </c:pt>
                <c:pt idx="5">
                  <c:v>0.483088838422572</c:v>
                </c:pt>
                <c:pt idx="6">
                  <c:v>0.483088838422572</c:v>
                </c:pt>
                <c:pt idx="7">
                  <c:v>0.483088838422572</c:v>
                </c:pt>
                <c:pt idx="8">
                  <c:v>0.483088838422572</c:v>
                </c:pt>
                <c:pt idx="9">
                  <c:v>0.483088838422572</c:v>
                </c:pt>
                <c:pt idx="10">
                  <c:v>0.483088838422572</c:v>
                </c:pt>
                <c:pt idx="11">
                  <c:v>0.483088838422572</c:v>
                </c:pt>
                <c:pt idx="12">
                  <c:v>0.483088838422572</c:v>
                </c:pt>
                <c:pt idx="13">
                  <c:v>0.483088838422572</c:v>
                </c:pt>
                <c:pt idx="14">
                  <c:v>0.483088838422572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81-4503-A01C-5C1DE29FF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81E-49E4-9FAE-70D5EB95EE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1E-49E4-9FAE-70D5EB95E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1E-49E4-9FAE-70D5EB95EE7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E-49E4-9FAE-70D5EB95E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HOLDER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2">
                  <c:v>4180</c:v>
                </c:pt>
                <c:pt idx="3">
                  <c:v>1245</c:v>
                </c:pt>
                <c:pt idx="4">
                  <c:v>1216</c:v>
                </c:pt>
                <c:pt idx="5">
                  <c:v>2801</c:v>
                </c:pt>
                <c:pt idx="6">
                  <c:v>5981</c:v>
                </c:pt>
                <c:pt idx="7">
                  <c:v>7208</c:v>
                </c:pt>
                <c:pt idx="10">
                  <c:v>5214</c:v>
                </c:pt>
                <c:pt idx="11">
                  <c:v>1238</c:v>
                </c:pt>
                <c:pt idx="12">
                  <c:v>5522</c:v>
                </c:pt>
                <c:pt idx="14">
                  <c:v>51608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F0-4836-B824-5F32792D1F95}"/>
            </c:ext>
          </c:extLst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HOLDER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4180</c:v>
                </c:pt>
                <c:pt idx="3">
                  <c:v>1245</c:v>
                </c:pt>
                <c:pt idx="4">
                  <c:v>1216</c:v>
                </c:pt>
                <c:pt idx="5">
                  <c:v>2801</c:v>
                </c:pt>
                <c:pt idx="6">
                  <c:v>5981</c:v>
                </c:pt>
                <c:pt idx="7">
                  <c:v>7210</c:v>
                </c:pt>
                <c:pt idx="8">
                  <c:v>1068</c:v>
                </c:pt>
                <c:pt idx="9">
                  <c:v>1275</c:v>
                </c:pt>
                <c:pt idx="10">
                  <c:v>5220</c:v>
                </c:pt>
                <c:pt idx="11">
                  <c:v>1238</c:v>
                </c:pt>
                <c:pt idx="12">
                  <c:v>5522</c:v>
                </c:pt>
                <c:pt idx="13">
                  <c:v>999</c:v>
                </c:pt>
                <c:pt idx="14">
                  <c:v>51610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F0-4836-B824-5F32792D1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25%</c:v>
                </c:pt>
                <c:pt idx="4">
                  <c:v>17%</c:v>
                </c:pt>
                <c:pt idx="5">
                  <c:v>75%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25%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HOLDER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0.25</c:v>
                </c:pt>
                <c:pt idx="4">
                  <c:v>0.16666666666666666</c:v>
                </c:pt>
                <c:pt idx="5">
                  <c:v>0.75</c:v>
                </c:pt>
                <c:pt idx="6">
                  <c:v>1</c:v>
                </c:pt>
                <c:pt idx="7">
                  <c:v>0.83310217290799815</c:v>
                </c:pt>
                <c:pt idx="8">
                  <c:v>0</c:v>
                </c:pt>
                <c:pt idx="9">
                  <c:v>0</c:v>
                </c:pt>
                <c:pt idx="10">
                  <c:v>0.99885057471264371</c:v>
                </c:pt>
                <c:pt idx="11">
                  <c:v>0.25</c:v>
                </c:pt>
                <c:pt idx="12">
                  <c:v>1</c:v>
                </c:pt>
                <c:pt idx="13">
                  <c:v>0</c:v>
                </c:pt>
                <c:pt idx="14">
                  <c:v>0.99996124782018991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916-8EA1-02F47DF7D33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67-4916-8EA1-02F47DF7D33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HOLDER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0.47490537747383327</c:v>
                </c:pt>
                <c:pt idx="1">
                  <c:v>0.47490537747383327</c:v>
                </c:pt>
                <c:pt idx="2">
                  <c:v>0.47490537747383327</c:v>
                </c:pt>
                <c:pt idx="3">
                  <c:v>0.47490537747383327</c:v>
                </c:pt>
                <c:pt idx="4">
                  <c:v>0.47490537747383327</c:v>
                </c:pt>
                <c:pt idx="5">
                  <c:v>0.47490537747383327</c:v>
                </c:pt>
                <c:pt idx="6">
                  <c:v>0.47490537747383327</c:v>
                </c:pt>
                <c:pt idx="7">
                  <c:v>0.47490537747383327</c:v>
                </c:pt>
                <c:pt idx="8">
                  <c:v>0.47490537747383327</c:v>
                </c:pt>
                <c:pt idx="9">
                  <c:v>0.47490537747383327</c:v>
                </c:pt>
                <c:pt idx="10">
                  <c:v>0.47490537747383327</c:v>
                </c:pt>
                <c:pt idx="11">
                  <c:v>0.47490537747383327</c:v>
                </c:pt>
                <c:pt idx="12">
                  <c:v>0.47490537747383327</c:v>
                </c:pt>
                <c:pt idx="13">
                  <c:v>0.47490537747383327</c:v>
                </c:pt>
                <c:pt idx="14">
                  <c:v>0.47490537747383327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7-4916-8EA1-02F47DF7D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HOLDER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2">
                  <c:v>4180</c:v>
                </c:pt>
                <c:pt idx="3">
                  <c:v>1245</c:v>
                </c:pt>
                <c:pt idx="4">
                  <c:v>1216</c:v>
                </c:pt>
                <c:pt idx="5">
                  <c:v>2801</c:v>
                </c:pt>
                <c:pt idx="6">
                  <c:v>5981</c:v>
                </c:pt>
                <c:pt idx="7">
                  <c:v>7208</c:v>
                </c:pt>
                <c:pt idx="10">
                  <c:v>5214</c:v>
                </c:pt>
                <c:pt idx="11">
                  <c:v>1238</c:v>
                </c:pt>
                <c:pt idx="12">
                  <c:v>5522</c:v>
                </c:pt>
                <c:pt idx="14">
                  <c:v>51608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E-4270-B1AF-A45104E42B65}"/>
            </c:ext>
          </c:extLst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HOLDER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4180</c:v>
                </c:pt>
                <c:pt idx="3">
                  <c:v>1245</c:v>
                </c:pt>
                <c:pt idx="4">
                  <c:v>1216</c:v>
                </c:pt>
                <c:pt idx="5">
                  <c:v>2801</c:v>
                </c:pt>
                <c:pt idx="6">
                  <c:v>5981</c:v>
                </c:pt>
                <c:pt idx="7">
                  <c:v>7210</c:v>
                </c:pt>
                <c:pt idx="8">
                  <c:v>1068</c:v>
                </c:pt>
                <c:pt idx="9">
                  <c:v>1275</c:v>
                </c:pt>
                <c:pt idx="10">
                  <c:v>5220</c:v>
                </c:pt>
                <c:pt idx="11">
                  <c:v>1238</c:v>
                </c:pt>
                <c:pt idx="12">
                  <c:v>5522</c:v>
                </c:pt>
                <c:pt idx="13">
                  <c:v>999</c:v>
                </c:pt>
                <c:pt idx="14">
                  <c:v>51610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E-4270-B1AF-A45104E42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25%</c:v>
                </c:pt>
                <c:pt idx="4">
                  <c:v>17%</c:v>
                </c:pt>
                <c:pt idx="5">
                  <c:v>75%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25%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HOLDER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0.25</c:v>
                </c:pt>
                <c:pt idx="4">
                  <c:v>0.16666666666666666</c:v>
                </c:pt>
                <c:pt idx="5">
                  <c:v>0.75</c:v>
                </c:pt>
                <c:pt idx="6">
                  <c:v>1</c:v>
                </c:pt>
                <c:pt idx="7">
                  <c:v>0.83310217290799815</c:v>
                </c:pt>
                <c:pt idx="8">
                  <c:v>0</c:v>
                </c:pt>
                <c:pt idx="9">
                  <c:v>0</c:v>
                </c:pt>
                <c:pt idx="10">
                  <c:v>0.99885057471264371</c:v>
                </c:pt>
                <c:pt idx="11">
                  <c:v>0.25</c:v>
                </c:pt>
                <c:pt idx="12">
                  <c:v>1</c:v>
                </c:pt>
                <c:pt idx="13">
                  <c:v>0</c:v>
                </c:pt>
                <c:pt idx="14">
                  <c:v>0.99996124782018991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C-4096-88F5-6B172746658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BC-4096-88F5-6B172746658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2">
                  <c:v>STOPPER</c:v>
                </c:pt>
                <c:pt idx="3">
                  <c:v>HOLDER</c:v>
                </c:pt>
                <c:pt idx="4">
                  <c:v>SEPARATOR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ADAPTER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0.47490537747383327</c:v>
                </c:pt>
                <c:pt idx="1">
                  <c:v>0.47490537747383327</c:v>
                </c:pt>
                <c:pt idx="2">
                  <c:v>0.47490537747383327</c:v>
                </c:pt>
                <c:pt idx="3">
                  <c:v>0.47490537747383327</c:v>
                </c:pt>
                <c:pt idx="4">
                  <c:v>0.47490537747383327</c:v>
                </c:pt>
                <c:pt idx="5">
                  <c:v>0.47490537747383327</c:v>
                </c:pt>
                <c:pt idx="6">
                  <c:v>0.47490537747383327</c:v>
                </c:pt>
                <c:pt idx="7">
                  <c:v>0.47490537747383327</c:v>
                </c:pt>
                <c:pt idx="8">
                  <c:v>0.47490537747383327</c:v>
                </c:pt>
                <c:pt idx="9">
                  <c:v>0.47490537747383327</c:v>
                </c:pt>
                <c:pt idx="10">
                  <c:v>0.47490537747383327</c:v>
                </c:pt>
                <c:pt idx="11">
                  <c:v>0.47490537747383327</c:v>
                </c:pt>
                <c:pt idx="12">
                  <c:v>0.47490537747383327</c:v>
                </c:pt>
                <c:pt idx="13">
                  <c:v>0.47490537747383327</c:v>
                </c:pt>
                <c:pt idx="14">
                  <c:v>0.47490537747383327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BC-4096-88F5-6B1727466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DF4-49CA-B36B-A28EB06AF3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F4-49CA-B36B-A28EB06AF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DF4-49CA-B36B-A28EB06AF38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F4-49CA-B36B-A28EB06AF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BLOCK</c:v>
                </c:pt>
                <c:pt idx="5">
                  <c:v>SEPARATOR</c:v>
                </c:pt>
                <c:pt idx="6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LEVER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2">
                  <c:v>3188</c:v>
                </c:pt>
                <c:pt idx="3">
                  <c:v>261</c:v>
                </c:pt>
                <c:pt idx="4">
                  <c:v>1083</c:v>
                </c:pt>
                <c:pt idx="5">
                  <c:v>14818</c:v>
                </c:pt>
                <c:pt idx="6">
                  <c:v>5801</c:v>
                </c:pt>
                <c:pt idx="7">
                  <c:v>19125</c:v>
                </c:pt>
                <c:pt idx="8">
                  <c:v>9828</c:v>
                </c:pt>
                <c:pt idx="13">
                  <c:v>2773</c:v>
                </c:pt>
                <c:pt idx="14">
                  <c:v>2681</c:v>
                </c:pt>
                <c:pt idx="15">
                  <c:v>29260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9-4B2E-B189-C95C95711FBC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BLOCK</c:v>
                </c:pt>
                <c:pt idx="5">
                  <c:v>SEPARATOR</c:v>
                </c:pt>
                <c:pt idx="6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LEVER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36840</c:v>
                </c:pt>
                <c:pt idx="1">
                  <c:v>800</c:v>
                </c:pt>
                <c:pt idx="2">
                  <c:v>3188</c:v>
                </c:pt>
                <c:pt idx="3">
                  <c:v>261</c:v>
                </c:pt>
                <c:pt idx="4">
                  <c:v>1083</c:v>
                </c:pt>
                <c:pt idx="5">
                  <c:v>14820</c:v>
                </c:pt>
                <c:pt idx="6">
                  <c:v>5810</c:v>
                </c:pt>
                <c:pt idx="7">
                  <c:v>19125</c:v>
                </c:pt>
                <c:pt idx="8">
                  <c:v>9828</c:v>
                </c:pt>
                <c:pt idx="9">
                  <c:v>1068</c:v>
                </c:pt>
                <c:pt idx="10">
                  <c:v>1275</c:v>
                </c:pt>
                <c:pt idx="11">
                  <c:v>5220</c:v>
                </c:pt>
                <c:pt idx="12">
                  <c:v>1238</c:v>
                </c:pt>
                <c:pt idx="13">
                  <c:v>2773</c:v>
                </c:pt>
                <c:pt idx="14">
                  <c:v>2681</c:v>
                </c:pt>
                <c:pt idx="15">
                  <c:v>29260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49-4B2E-B189-C95C95711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67%</c:v>
                </c:pt>
                <c:pt idx="3">
                  <c:v>17%</c:v>
                </c:pt>
                <c:pt idx="4">
                  <c:v>25%</c:v>
                </c:pt>
                <c:pt idx="5">
                  <c:v>92%</c:v>
                </c:pt>
                <c:pt idx="6">
                  <c:v>100%</c:v>
                </c:pt>
                <c:pt idx="7">
                  <c:v>92%</c:v>
                </c:pt>
                <c:pt idx="8">
                  <c:v>96%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58%</c:v>
                </c:pt>
                <c:pt idx="14">
                  <c:v>58%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BLOCK</c:v>
                </c:pt>
                <c:pt idx="5">
                  <c:v>SEPARATOR</c:v>
                </c:pt>
                <c:pt idx="6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LEVER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0.16666666666666666</c:v>
                </c:pt>
                <c:pt idx="4">
                  <c:v>0.25</c:v>
                </c:pt>
                <c:pt idx="5">
                  <c:v>0.91654295996401247</c:v>
                </c:pt>
                <c:pt idx="6">
                  <c:v>0.9984509466437177</c:v>
                </c:pt>
                <c:pt idx="7">
                  <c:v>0.91666666666666663</c:v>
                </c:pt>
                <c:pt idx="8">
                  <c:v>0.95833333333333337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86-4A3B-A206-A743351DCB5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086-4A3B-A206-A743351DCB5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BLOCK</c:v>
                </c:pt>
                <c:pt idx="5">
                  <c:v>SEPARATOR</c:v>
                </c:pt>
                <c:pt idx="6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LEVER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0.44155514932940415</c:v>
                </c:pt>
                <c:pt idx="1">
                  <c:v>0.44155514932940415</c:v>
                </c:pt>
                <c:pt idx="2">
                  <c:v>0.44155514932940415</c:v>
                </c:pt>
                <c:pt idx="3">
                  <c:v>0.44155514932940415</c:v>
                </c:pt>
                <c:pt idx="4">
                  <c:v>0.44155514932940415</c:v>
                </c:pt>
                <c:pt idx="5">
                  <c:v>0.44155514932940415</c:v>
                </c:pt>
                <c:pt idx="6">
                  <c:v>0.44155514932940415</c:v>
                </c:pt>
                <c:pt idx="7">
                  <c:v>0.44155514932940415</c:v>
                </c:pt>
                <c:pt idx="8">
                  <c:v>0.44155514932940415</c:v>
                </c:pt>
                <c:pt idx="9">
                  <c:v>0.44155514932940415</c:v>
                </c:pt>
                <c:pt idx="10">
                  <c:v>0.44155514932940415</c:v>
                </c:pt>
                <c:pt idx="11">
                  <c:v>0.44155514932940415</c:v>
                </c:pt>
                <c:pt idx="12">
                  <c:v>0.44155514932940415</c:v>
                </c:pt>
                <c:pt idx="13">
                  <c:v>0.44155514932940415</c:v>
                </c:pt>
                <c:pt idx="14">
                  <c:v>0.44155514932940415</c:v>
                </c:pt>
                <c:pt idx="15">
                  <c:v>0.44155514932940415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86-4A3B-A206-A743351DC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BLOCK</c:v>
                </c:pt>
                <c:pt idx="5">
                  <c:v>SEPARATOR</c:v>
                </c:pt>
                <c:pt idx="6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LEVER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2">
                  <c:v>3188</c:v>
                </c:pt>
                <c:pt idx="3">
                  <c:v>261</c:v>
                </c:pt>
                <c:pt idx="4">
                  <c:v>1083</c:v>
                </c:pt>
                <c:pt idx="5">
                  <c:v>14818</c:v>
                </c:pt>
                <c:pt idx="6">
                  <c:v>5801</c:v>
                </c:pt>
                <c:pt idx="7">
                  <c:v>19125</c:v>
                </c:pt>
                <c:pt idx="8">
                  <c:v>9828</c:v>
                </c:pt>
                <c:pt idx="13">
                  <c:v>2773</c:v>
                </c:pt>
                <c:pt idx="14">
                  <c:v>2681</c:v>
                </c:pt>
                <c:pt idx="15">
                  <c:v>29260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C-4A54-AB2D-1FFD28BB31E2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BLOCK</c:v>
                </c:pt>
                <c:pt idx="5">
                  <c:v>SEPARATOR</c:v>
                </c:pt>
                <c:pt idx="6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LEVER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36840</c:v>
                </c:pt>
                <c:pt idx="1">
                  <c:v>800</c:v>
                </c:pt>
                <c:pt idx="2">
                  <c:v>3188</c:v>
                </c:pt>
                <c:pt idx="3">
                  <c:v>261</c:v>
                </c:pt>
                <c:pt idx="4">
                  <c:v>1083</c:v>
                </c:pt>
                <c:pt idx="5">
                  <c:v>14820</c:v>
                </c:pt>
                <c:pt idx="6">
                  <c:v>5810</c:v>
                </c:pt>
                <c:pt idx="7">
                  <c:v>19125</c:v>
                </c:pt>
                <c:pt idx="8">
                  <c:v>9828</c:v>
                </c:pt>
                <c:pt idx="9">
                  <c:v>1068</c:v>
                </c:pt>
                <c:pt idx="10">
                  <c:v>1275</c:v>
                </c:pt>
                <c:pt idx="11">
                  <c:v>5220</c:v>
                </c:pt>
                <c:pt idx="12">
                  <c:v>1238</c:v>
                </c:pt>
                <c:pt idx="13">
                  <c:v>2773</c:v>
                </c:pt>
                <c:pt idx="14">
                  <c:v>2681</c:v>
                </c:pt>
                <c:pt idx="15">
                  <c:v>29260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C-4A54-AB2D-1FFD28BB3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67%</c:v>
                </c:pt>
                <c:pt idx="3">
                  <c:v>17%</c:v>
                </c:pt>
                <c:pt idx="4">
                  <c:v>25%</c:v>
                </c:pt>
                <c:pt idx="5">
                  <c:v>92%</c:v>
                </c:pt>
                <c:pt idx="6">
                  <c:v>100%</c:v>
                </c:pt>
                <c:pt idx="7">
                  <c:v>92%</c:v>
                </c:pt>
                <c:pt idx="8">
                  <c:v>96%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58%</c:v>
                </c:pt>
                <c:pt idx="14">
                  <c:v>58%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BLOCK</c:v>
                </c:pt>
                <c:pt idx="5">
                  <c:v>SEPARATOR</c:v>
                </c:pt>
                <c:pt idx="6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LEVER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0.16666666666666666</c:v>
                </c:pt>
                <c:pt idx="4">
                  <c:v>0.25</c:v>
                </c:pt>
                <c:pt idx="5">
                  <c:v>0.91654295996401247</c:v>
                </c:pt>
                <c:pt idx="6">
                  <c:v>0.9984509466437177</c:v>
                </c:pt>
                <c:pt idx="7">
                  <c:v>0.91666666666666663</c:v>
                </c:pt>
                <c:pt idx="8">
                  <c:v>0.95833333333333337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7-4F4F-9E13-8AC3FAE206A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0A7-4F4F-9E13-8AC3FAE206A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BLOCK</c:v>
                </c:pt>
                <c:pt idx="5">
                  <c:v>SEPARATOR</c:v>
                </c:pt>
                <c:pt idx="6">
                  <c:v>SLIDER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LEAD GUIDE</c:v>
                </c:pt>
                <c:pt idx="12">
                  <c:v>LEVER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0.44155514932940415</c:v>
                </c:pt>
                <c:pt idx="1">
                  <c:v>0.44155514932940415</c:v>
                </c:pt>
                <c:pt idx="2">
                  <c:v>0.44155514932940415</c:v>
                </c:pt>
                <c:pt idx="3">
                  <c:v>0.44155514932940415</c:v>
                </c:pt>
                <c:pt idx="4">
                  <c:v>0.44155514932940415</c:v>
                </c:pt>
                <c:pt idx="5">
                  <c:v>0.44155514932940415</c:v>
                </c:pt>
                <c:pt idx="6">
                  <c:v>0.44155514932940415</c:v>
                </c:pt>
                <c:pt idx="7">
                  <c:v>0.44155514932940415</c:v>
                </c:pt>
                <c:pt idx="8">
                  <c:v>0.44155514932940415</c:v>
                </c:pt>
                <c:pt idx="9">
                  <c:v>0.44155514932940415</c:v>
                </c:pt>
                <c:pt idx="10">
                  <c:v>0.44155514932940415</c:v>
                </c:pt>
                <c:pt idx="11">
                  <c:v>0.44155514932940415</c:v>
                </c:pt>
                <c:pt idx="12">
                  <c:v>0.44155514932940415</c:v>
                </c:pt>
                <c:pt idx="13">
                  <c:v>0.44155514932940415</c:v>
                </c:pt>
                <c:pt idx="14">
                  <c:v>0.44155514932940415</c:v>
                </c:pt>
                <c:pt idx="15">
                  <c:v>0.44155514932940415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A7-4F4F-9E13-8AC3FAE20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D6B-4AE6-97FF-26CD0D630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B-4AE6-97FF-26CD0D63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6B-4AE6-97FF-26CD0D630B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6B-4AE6-97FF-26CD0D63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HINGE</c:v>
                </c:pt>
                <c:pt idx="4">
                  <c:v>SEPARATOR</c:v>
                </c:pt>
                <c:pt idx="5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4010</c:v>
                </c:pt>
                <c:pt idx="3">
                  <c:v>1056</c:v>
                </c:pt>
                <c:pt idx="4">
                  <c:v>20930</c:v>
                </c:pt>
                <c:pt idx="5">
                  <c:v>2006</c:v>
                </c:pt>
                <c:pt idx="6">
                  <c:v>30309</c:v>
                </c:pt>
                <c:pt idx="7">
                  <c:v>10598</c:v>
                </c:pt>
                <c:pt idx="10">
                  <c:v>3718</c:v>
                </c:pt>
                <c:pt idx="12">
                  <c:v>4743</c:v>
                </c:pt>
                <c:pt idx="13">
                  <c:v>5181</c:v>
                </c:pt>
                <c:pt idx="14">
                  <c:v>21344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5-4661-9129-B68A04F88849}"/>
            </c:ext>
          </c:extLst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HINGE</c:v>
                </c:pt>
                <c:pt idx="4">
                  <c:v>SEPARATOR</c:v>
                </c:pt>
                <c:pt idx="5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4010</c:v>
                </c:pt>
                <c:pt idx="3">
                  <c:v>1056</c:v>
                </c:pt>
                <c:pt idx="4">
                  <c:v>20930</c:v>
                </c:pt>
                <c:pt idx="5">
                  <c:v>2006</c:v>
                </c:pt>
                <c:pt idx="6">
                  <c:v>30310</c:v>
                </c:pt>
                <c:pt idx="7">
                  <c:v>10600</c:v>
                </c:pt>
                <c:pt idx="8">
                  <c:v>1068</c:v>
                </c:pt>
                <c:pt idx="9">
                  <c:v>1275</c:v>
                </c:pt>
                <c:pt idx="10">
                  <c:v>3720</c:v>
                </c:pt>
                <c:pt idx="11">
                  <c:v>1238</c:v>
                </c:pt>
                <c:pt idx="12">
                  <c:v>4750</c:v>
                </c:pt>
                <c:pt idx="13">
                  <c:v>5181</c:v>
                </c:pt>
                <c:pt idx="14">
                  <c:v>21344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C5-4661-9129-B68A04F8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38%</c:v>
                </c:pt>
                <c:pt idx="4">
                  <c:v>100%</c:v>
                </c:pt>
                <c:pt idx="5">
                  <c:v>42%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75%</c:v>
                </c:pt>
                <c:pt idx="11">
                  <c:v>0%</c:v>
                </c:pt>
                <c:pt idx="12">
                  <c:v>96%</c:v>
                </c:pt>
                <c:pt idx="13">
                  <c:v>100%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HINGE</c:v>
                </c:pt>
                <c:pt idx="4">
                  <c:v>SEPARATOR</c:v>
                </c:pt>
                <c:pt idx="5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0.375</c:v>
                </c:pt>
                <c:pt idx="4">
                  <c:v>1</c:v>
                </c:pt>
                <c:pt idx="5">
                  <c:v>0.41666666666666669</c:v>
                </c:pt>
                <c:pt idx="6">
                  <c:v>0.99996700758825474</c:v>
                </c:pt>
                <c:pt idx="7">
                  <c:v>0.99981132075471701</c:v>
                </c:pt>
                <c:pt idx="8">
                  <c:v>0</c:v>
                </c:pt>
                <c:pt idx="9">
                  <c:v>0</c:v>
                </c:pt>
                <c:pt idx="10">
                  <c:v>0.74959677419354842</c:v>
                </c:pt>
                <c:pt idx="11">
                  <c:v>0</c:v>
                </c:pt>
                <c:pt idx="12">
                  <c:v>0.95692105263157901</c:v>
                </c:pt>
                <c:pt idx="13">
                  <c:v>1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1-4F14-9E61-94B0A25D6CF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71-4F14-9E61-94B0A25D6C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HINGE</c:v>
                </c:pt>
                <c:pt idx="4">
                  <c:v>SEPARATOR</c:v>
                </c:pt>
                <c:pt idx="5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0.51930863256676218</c:v>
                </c:pt>
                <c:pt idx="1">
                  <c:v>0.51930863256676218</c:v>
                </c:pt>
                <c:pt idx="2">
                  <c:v>0.51930863256676218</c:v>
                </c:pt>
                <c:pt idx="3">
                  <c:v>0.51930863256676218</c:v>
                </c:pt>
                <c:pt idx="4">
                  <c:v>0.51930863256676218</c:v>
                </c:pt>
                <c:pt idx="5">
                  <c:v>0.51930863256676218</c:v>
                </c:pt>
                <c:pt idx="6">
                  <c:v>0.51930863256676218</c:v>
                </c:pt>
                <c:pt idx="7">
                  <c:v>0.51930863256676218</c:v>
                </c:pt>
                <c:pt idx="8">
                  <c:v>0.51930863256676218</c:v>
                </c:pt>
                <c:pt idx="9">
                  <c:v>0.51930863256676218</c:v>
                </c:pt>
                <c:pt idx="10">
                  <c:v>0.51930863256676218</c:v>
                </c:pt>
                <c:pt idx="11">
                  <c:v>0.51930863256676218</c:v>
                </c:pt>
                <c:pt idx="12">
                  <c:v>0.51930863256676218</c:v>
                </c:pt>
                <c:pt idx="13">
                  <c:v>0.51930863256676218</c:v>
                </c:pt>
                <c:pt idx="14">
                  <c:v>0.51930863256676218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71-4F14-9E61-94B0A25D6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HINGE</c:v>
                </c:pt>
                <c:pt idx="4">
                  <c:v>SEPARATOR</c:v>
                </c:pt>
                <c:pt idx="5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4010</c:v>
                </c:pt>
                <c:pt idx="3">
                  <c:v>1056</c:v>
                </c:pt>
                <c:pt idx="4">
                  <c:v>20930</c:v>
                </c:pt>
                <c:pt idx="5">
                  <c:v>2006</c:v>
                </c:pt>
                <c:pt idx="6">
                  <c:v>30309</c:v>
                </c:pt>
                <c:pt idx="7">
                  <c:v>10598</c:v>
                </c:pt>
                <c:pt idx="10">
                  <c:v>3718</c:v>
                </c:pt>
                <c:pt idx="12">
                  <c:v>4743</c:v>
                </c:pt>
                <c:pt idx="13">
                  <c:v>5181</c:v>
                </c:pt>
                <c:pt idx="14">
                  <c:v>21344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D6-4CF2-B1EE-4BC11D75AE34}"/>
            </c:ext>
          </c:extLst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HINGE</c:v>
                </c:pt>
                <c:pt idx="4">
                  <c:v>SEPARATOR</c:v>
                </c:pt>
                <c:pt idx="5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36840</c:v>
                </c:pt>
                <c:pt idx="1">
                  <c:v>800</c:v>
                </c:pt>
                <c:pt idx="2">
                  <c:v>4010</c:v>
                </c:pt>
                <c:pt idx="3">
                  <c:v>1056</c:v>
                </c:pt>
                <c:pt idx="4">
                  <c:v>20930</c:v>
                </c:pt>
                <c:pt idx="5">
                  <c:v>2006</c:v>
                </c:pt>
                <c:pt idx="6">
                  <c:v>30310</c:v>
                </c:pt>
                <c:pt idx="7">
                  <c:v>10600</c:v>
                </c:pt>
                <c:pt idx="8">
                  <c:v>1068</c:v>
                </c:pt>
                <c:pt idx="9">
                  <c:v>1275</c:v>
                </c:pt>
                <c:pt idx="10">
                  <c:v>3720</c:v>
                </c:pt>
                <c:pt idx="11">
                  <c:v>1238</c:v>
                </c:pt>
                <c:pt idx="12">
                  <c:v>4750</c:v>
                </c:pt>
                <c:pt idx="13">
                  <c:v>5181</c:v>
                </c:pt>
                <c:pt idx="14">
                  <c:v>21344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6-4CF2-B1EE-4BC11D75A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38%</c:v>
                </c:pt>
                <c:pt idx="4">
                  <c:v>100%</c:v>
                </c:pt>
                <c:pt idx="5">
                  <c:v>42%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75%</c:v>
                </c:pt>
                <c:pt idx="11">
                  <c:v>0%</c:v>
                </c:pt>
                <c:pt idx="12">
                  <c:v>96%</c:v>
                </c:pt>
                <c:pt idx="13">
                  <c:v>100%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HINGE</c:v>
                </c:pt>
                <c:pt idx="4">
                  <c:v>SEPARATOR</c:v>
                </c:pt>
                <c:pt idx="5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0.375</c:v>
                </c:pt>
                <c:pt idx="4">
                  <c:v>1</c:v>
                </c:pt>
                <c:pt idx="5">
                  <c:v>0.41666666666666669</c:v>
                </c:pt>
                <c:pt idx="6">
                  <c:v>0.99996700758825474</c:v>
                </c:pt>
                <c:pt idx="7">
                  <c:v>0.99981132075471701</c:v>
                </c:pt>
                <c:pt idx="8">
                  <c:v>0</c:v>
                </c:pt>
                <c:pt idx="9">
                  <c:v>0</c:v>
                </c:pt>
                <c:pt idx="10">
                  <c:v>0.74959677419354842</c:v>
                </c:pt>
                <c:pt idx="11">
                  <c:v>0</c:v>
                </c:pt>
                <c:pt idx="12">
                  <c:v>0.95692105263157901</c:v>
                </c:pt>
                <c:pt idx="13">
                  <c:v>1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6A-47DF-AAF0-88A10CC3512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6A-47DF-AAF0-88A10CC3512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HINGE</c:v>
                </c:pt>
                <c:pt idx="4">
                  <c:v>SEPARATOR</c:v>
                </c:pt>
                <c:pt idx="5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LEVER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0.51930863256676218</c:v>
                </c:pt>
                <c:pt idx="1">
                  <c:v>0.51930863256676218</c:v>
                </c:pt>
                <c:pt idx="2">
                  <c:v>0.51930863256676218</c:v>
                </c:pt>
                <c:pt idx="3">
                  <c:v>0.51930863256676218</c:v>
                </c:pt>
                <c:pt idx="4">
                  <c:v>0.51930863256676218</c:v>
                </c:pt>
                <c:pt idx="5">
                  <c:v>0.51930863256676218</c:v>
                </c:pt>
                <c:pt idx="6">
                  <c:v>0.51930863256676218</c:v>
                </c:pt>
                <c:pt idx="7">
                  <c:v>0.51930863256676218</c:v>
                </c:pt>
                <c:pt idx="8">
                  <c:v>0.51930863256676218</c:v>
                </c:pt>
                <c:pt idx="9">
                  <c:v>0.51930863256676218</c:v>
                </c:pt>
                <c:pt idx="10">
                  <c:v>0.51930863256676218</c:v>
                </c:pt>
                <c:pt idx="11">
                  <c:v>0.51930863256676218</c:v>
                </c:pt>
                <c:pt idx="12">
                  <c:v>0.51930863256676218</c:v>
                </c:pt>
                <c:pt idx="13">
                  <c:v>0.51930863256676218</c:v>
                </c:pt>
                <c:pt idx="14">
                  <c:v>0.51930863256676218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6A-47DF-AAF0-88A10CC35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922-4DB8-957F-A5E7516DB6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2-4DB8-957F-A5E7516DB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922-4DB8-957F-A5E7516DB61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22-4DB8-957F-A5E7516DB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HOLDER</c:v>
                </c:pt>
                <c:pt idx="5">
                  <c:v>SEPARATOR</c:v>
                </c:pt>
                <c:pt idx="6">
                  <c:v>ACTUATOR</c:v>
                </c:pt>
                <c:pt idx="7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LEAD GUIDE</c:v>
                </c:pt>
                <c:pt idx="13">
                  <c:v>LEVER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'31'!$L$6:$L$22</c:f>
              <c:numCache>
                <c:formatCode>_(* #,##0_);_(* \(#,##0\);_(* "-"_);_(@_)</c:formatCode>
                <c:ptCount val="17"/>
                <c:pt idx="2">
                  <c:v>6004</c:v>
                </c:pt>
                <c:pt idx="3">
                  <c:v>1142</c:v>
                </c:pt>
                <c:pt idx="4">
                  <c:v>819</c:v>
                </c:pt>
                <c:pt idx="5">
                  <c:v>4394</c:v>
                </c:pt>
                <c:pt idx="6">
                  <c:v>903</c:v>
                </c:pt>
                <c:pt idx="7">
                  <c:v>3836</c:v>
                </c:pt>
                <c:pt idx="8">
                  <c:v>28686</c:v>
                </c:pt>
                <c:pt idx="9">
                  <c:v>1924</c:v>
                </c:pt>
                <c:pt idx="12">
                  <c:v>6243</c:v>
                </c:pt>
                <c:pt idx="14">
                  <c:v>5504</c:v>
                </c:pt>
                <c:pt idx="15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C0-4C36-8034-11F713D2336A}"/>
            </c:ext>
          </c:extLst>
        </c:ser>
        <c:ser>
          <c:idx val="1"/>
          <c:order val="1"/>
          <c:tx>
            <c:v>계획</c:v>
          </c:tx>
          <c:cat>
            <c:strRef>
              <c:f>'31'!$D$6:$D$22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HOLDER</c:v>
                </c:pt>
                <c:pt idx="5">
                  <c:v>SEPARATOR</c:v>
                </c:pt>
                <c:pt idx="6">
                  <c:v>ACTUATOR</c:v>
                </c:pt>
                <c:pt idx="7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LEAD GUIDE</c:v>
                </c:pt>
                <c:pt idx="13">
                  <c:v>LEVER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'31'!$J$6:$J$22</c:f>
              <c:numCache>
                <c:formatCode>_(* #,##0_);_(* \(#,##0\);_(* "-"_);_(@_)</c:formatCode>
                <c:ptCount val="17"/>
                <c:pt idx="0">
                  <c:v>36840</c:v>
                </c:pt>
                <c:pt idx="1">
                  <c:v>800</c:v>
                </c:pt>
                <c:pt idx="2">
                  <c:v>6004</c:v>
                </c:pt>
                <c:pt idx="3">
                  <c:v>1142</c:v>
                </c:pt>
                <c:pt idx="4">
                  <c:v>819</c:v>
                </c:pt>
                <c:pt idx="5">
                  <c:v>4400</c:v>
                </c:pt>
                <c:pt idx="6">
                  <c:v>903</c:v>
                </c:pt>
                <c:pt idx="7">
                  <c:v>3840</c:v>
                </c:pt>
                <c:pt idx="8">
                  <c:v>28686</c:v>
                </c:pt>
                <c:pt idx="9">
                  <c:v>1924</c:v>
                </c:pt>
                <c:pt idx="10">
                  <c:v>1068</c:v>
                </c:pt>
                <c:pt idx="11">
                  <c:v>1275</c:v>
                </c:pt>
                <c:pt idx="12">
                  <c:v>6243</c:v>
                </c:pt>
                <c:pt idx="13">
                  <c:v>1238</c:v>
                </c:pt>
                <c:pt idx="14">
                  <c:v>5510</c:v>
                </c:pt>
                <c:pt idx="15">
                  <c:v>3035</c:v>
                </c:pt>
                <c:pt idx="16">
                  <c:v>21344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C0-4C36-8034-11F713D23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21%</c:v>
                </c:pt>
                <c:pt idx="5">
                  <c:v>17%</c:v>
                </c:pt>
                <c:pt idx="6">
                  <c:v>21%</c:v>
                </c:pt>
                <c:pt idx="7">
                  <c:v>75%</c:v>
                </c:pt>
                <c:pt idx="8">
                  <c:v>100%</c:v>
                </c:pt>
                <c:pt idx="9">
                  <c:v>25%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75%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HOLDER</c:v>
                </c:pt>
                <c:pt idx="5">
                  <c:v>SEPARATOR</c:v>
                </c:pt>
                <c:pt idx="6">
                  <c:v>ACTUATOR</c:v>
                </c:pt>
                <c:pt idx="7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LEAD GUIDE</c:v>
                </c:pt>
                <c:pt idx="13">
                  <c:v>LEVER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0.20833333333333334</c:v>
                </c:pt>
                <c:pt idx="5">
                  <c:v>0.16643939393939394</c:v>
                </c:pt>
                <c:pt idx="6">
                  <c:v>0.20833333333333334</c:v>
                </c:pt>
                <c:pt idx="7">
                  <c:v>0.74921874999999993</c:v>
                </c:pt>
                <c:pt idx="8">
                  <c:v>1</c:v>
                </c:pt>
                <c:pt idx="9">
                  <c:v>0.25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0.99891107078039931</c:v>
                </c:pt>
                <c:pt idx="15">
                  <c:v>0.75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6-4301-A67E-B3786F2CDAB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26-4301-A67E-B3786F2CDAB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HOLDER</c:v>
                </c:pt>
                <c:pt idx="5">
                  <c:v>SEPARATOR</c:v>
                </c:pt>
                <c:pt idx="6">
                  <c:v>ACTUATOR</c:v>
                </c:pt>
                <c:pt idx="7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LEAD GUIDE</c:v>
                </c:pt>
                <c:pt idx="13">
                  <c:v>LEVER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'31'!$AE$6:$AE$22</c:f>
              <c:numCache>
                <c:formatCode>0%</c:formatCode>
                <c:ptCount val="17"/>
                <c:pt idx="0">
                  <c:v>0.4443046143146529</c:v>
                </c:pt>
                <c:pt idx="1">
                  <c:v>0.4443046143146529</c:v>
                </c:pt>
                <c:pt idx="2">
                  <c:v>0.4443046143146529</c:v>
                </c:pt>
                <c:pt idx="3">
                  <c:v>0.4443046143146529</c:v>
                </c:pt>
                <c:pt idx="4">
                  <c:v>0.4443046143146529</c:v>
                </c:pt>
                <c:pt idx="5">
                  <c:v>0.4443046143146529</c:v>
                </c:pt>
                <c:pt idx="6">
                  <c:v>0.4443046143146529</c:v>
                </c:pt>
                <c:pt idx="7">
                  <c:v>0.4443046143146529</c:v>
                </c:pt>
                <c:pt idx="8">
                  <c:v>0.4443046143146529</c:v>
                </c:pt>
                <c:pt idx="9">
                  <c:v>0.4443046143146529</c:v>
                </c:pt>
                <c:pt idx="10">
                  <c:v>0.4443046143146529</c:v>
                </c:pt>
                <c:pt idx="11">
                  <c:v>0.4443046143146529</c:v>
                </c:pt>
                <c:pt idx="12">
                  <c:v>0.4443046143146529</c:v>
                </c:pt>
                <c:pt idx="13">
                  <c:v>0.4443046143146529</c:v>
                </c:pt>
                <c:pt idx="14">
                  <c:v>0.4443046143146529</c:v>
                </c:pt>
                <c:pt idx="15">
                  <c:v>0.4443046143146529</c:v>
                </c:pt>
                <c:pt idx="16">
                  <c:v>0.4443046143146529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26-4301-A67E-B3786F2CD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HOLDER</c:v>
                </c:pt>
                <c:pt idx="5">
                  <c:v>SEPARATOR</c:v>
                </c:pt>
                <c:pt idx="6">
                  <c:v>ACTUATOR</c:v>
                </c:pt>
                <c:pt idx="7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LEAD GUIDE</c:v>
                </c:pt>
                <c:pt idx="13">
                  <c:v>LEVER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'31'!$L$6:$L$22</c:f>
              <c:numCache>
                <c:formatCode>_(* #,##0_);_(* \(#,##0\);_(* "-"_);_(@_)</c:formatCode>
                <c:ptCount val="17"/>
                <c:pt idx="2">
                  <c:v>6004</c:v>
                </c:pt>
                <c:pt idx="3">
                  <c:v>1142</c:v>
                </c:pt>
                <c:pt idx="4">
                  <c:v>819</c:v>
                </c:pt>
                <c:pt idx="5">
                  <c:v>4394</c:v>
                </c:pt>
                <c:pt idx="6">
                  <c:v>903</c:v>
                </c:pt>
                <c:pt idx="7">
                  <c:v>3836</c:v>
                </c:pt>
                <c:pt idx="8">
                  <c:v>28686</c:v>
                </c:pt>
                <c:pt idx="9">
                  <c:v>1924</c:v>
                </c:pt>
                <c:pt idx="12">
                  <c:v>6243</c:v>
                </c:pt>
                <c:pt idx="14">
                  <c:v>5504</c:v>
                </c:pt>
                <c:pt idx="15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3-48D9-8291-F598DF3FC0BA}"/>
            </c:ext>
          </c:extLst>
        </c:ser>
        <c:ser>
          <c:idx val="1"/>
          <c:order val="1"/>
          <c:tx>
            <c:v>계획</c:v>
          </c:tx>
          <c:cat>
            <c:strRef>
              <c:f>'31'!$D$6:$D$22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HOLDER</c:v>
                </c:pt>
                <c:pt idx="5">
                  <c:v>SEPARATOR</c:v>
                </c:pt>
                <c:pt idx="6">
                  <c:v>ACTUATOR</c:v>
                </c:pt>
                <c:pt idx="7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LEAD GUIDE</c:v>
                </c:pt>
                <c:pt idx="13">
                  <c:v>LEVER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'31'!$J$6:$J$22</c:f>
              <c:numCache>
                <c:formatCode>_(* #,##0_);_(* \(#,##0\);_(* "-"_);_(@_)</c:formatCode>
                <c:ptCount val="17"/>
                <c:pt idx="0">
                  <c:v>36840</c:v>
                </c:pt>
                <c:pt idx="1">
                  <c:v>800</c:v>
                </c:pt>
                <c:pt idx="2">
                  <c:v>6004</c:v>
                </c:pt>
                <c:pt idx="3">
                  <c:v>1142</c:v>
                </c:pt>
                <c:pt idx="4">
                  <c:v>819</c:v>
                </c:pt>
                <c:pt idx="5">
                  <c:v>4400</c:v>
                </c:pt>
                <c:pt idx="6">
                  <c:v>903</c:v>
                </c:pt>
                <c:pt idx="7">
                  <c:v>3840</c:v>
                </c:pt>
                <c:pt idx="8">
                  <c:v>28686</c:v>
                </c:pt>
                <c:pt idx="9">
                  <c:v>1924</c:v>
                </c:pt>
                <c:pt idx="10">
                  <c:v>1068</c:v>
                </c:pt>
                <c:pt idx="11">
                  <c:v>1275</c:v>
                </c:pt>
                <c:pt idx="12">
                  <c:v>6243</c:v>
                </c:pt>
                <c:pt idx="13">
                  <c:v>1238</c:v>
                </c:pt>
                <c:pt idx="14">
                  <c:v>5510</c:v>
                </c:pt>
                <c:pt idx="15">
                  <c:v>3035</c:v>
                </c:pt>
                <c:pt idx="16">
                  <c:v>21344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3-48D9-8291-F598DF3FC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21%</c:v>
                </c:pt>
                <c:pt idx="5">
                  <c:v>17%</c:v>
                </c:pt>
                <c:pt idx="6">
                  <c:v>21%</c:v>
                </c:pt>
                <c:pt idx="7">
                  <c:v>75%</c:v>
                </c:pt>
                <c:pt idx="8">
                  <c:v>100%</c:v>
                </c:pt>
                <c:pt idx="9">
                  <c:v>25%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75%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HOLDER</c:v>
                </c:pt>
                <c:pt idx="5">
                  <c:v>SEPARATOR</c:v>
                </c:pt>
                <c:pt idx="6">
                  <c:v>ACTUATOR</c:v>
                </c:pt>
                <c:pt idx="7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LEAD GUIDE</c:v>
                </c:pt>
                <c:pt idx="13">
                  <c:v>LEVER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0.20833333333333334</c:v>
                </c:pt>
                <c:pt idx="5">
                  <c:v>0.16643939393939394</c:v>
                </c:pt>
                <c:pt idx="6">
                  <c:v>0.20833333333333334</c:v>
                </c:pt>
                <c:pt idx="7">
                  <c:v>0.74921874999999993</c:v>
                </c:pt>
                <c:pt idx="8">
                  <c:v>1</c:v>
                </c:pt>
                <c:pt idx="9">
                  <c:v>0.25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0.99891107078039931</c:v>
                </c:pt>
                <c:pt idx="15">
                  <c:v>0.75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F-47A2-A184-B6A17B70B74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BF-47A2-A184-B6A17B70B74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HOLDER</c:v>
                </c:pt>
                <c:pt idx="5">
                  <c:v>SEPARATOR</c:v>
                </c:pt>
                <c:pt idx="6">
                  <c:v>ACTUATOR</c:v>
                </c:pt>
                <c:pt idx="7">
                  <c:v>SLIDER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LEAD GUIDE</c:v>
                </c:pt>
                <c:pt idx="13">
                  <c:v>LEVER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'31'!$AE$6:$AE$22</c:f>
              <c:numCache>
                <c:formatCode>0%</c:formatCode>
                <c:ptCount val="17"/>
                <c:pt idx="0">
                  <c:v>0.4443046143146529</c:v>
                </c:pt>
                <c:pt idx="1">
                  <c:v>0.4443046143146529</c:v>
                </c:pt>
                <c:pt idx="2">
                  <c:v>0.4443046143146529</c:v>
                </c:pt>
                <c:pt idx="3">
                  <c:v>0.4443046143146529</c:v>
                </c:pt>
                <c:pt idx="4">
                  <c:v>0.4443046143146529</c:v>
                </c:pt>
                <c:pt idx="5">
                  <c:v>0.4443046143146529</c:v>
                </c:pt>
                <c:pt idx="6">
                  <c:v>0.4443046143146529</c:v>
                </c:pt>
                <c:pt idx="7">
                  <c:v>0.4443046143146529</c:v>
                </c:pt>
                <c:pt idx="8">
                  <c:v>0.4443046143146529</c:v>
                </c:pt>
                <c:pt idx="9">
                  <c:v>0.4443046143146529</c:v>
                </c:pt>
                <c:pt idx="10">
                  <c:v>0.4443046143146529</c:v>
                </c:pt>
                <c:pt idx="11">
                  <c:v>0.4443046143146529</c:v>
                </c:pt>
                <c:pt idx="12">
                  <c:v>0.4443046143146529</c:v>
                </c:pt>
                <c:pt idx="13">
                  <c:v>0.4443046143146529</c:v>
                </c:pt>
                <c:pt idx="14">
                  <c:v>0.4443046143146529</c:v>
                </c:pt>
                <c:pt idx="15">
                  <c:v>0.4443046143146529</c:v>
                </c:pt>
                <c:pt idx="16">
                  <c:v>0.4443046143146529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BF-47A2-A184-B6A17B70B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B88-43ED-B50A-22A6A9F403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0.4580678622556732</c:v>
                </c:pt>
                <c:pt idx="1">
                  <c:v>0.38351723496562595</c:v>
                </c:pt>
                <c:pt idx="2">
                  <c:v>0.14165386584741427</c:v>
                </c:pt>
                <c:pt idx="5">
                  <c:v>0.29437627888005125</c:v>
                </c:pt>
                <c:pt idx="6">
                  <c:v>0.42190421991065119</c:v>
                </c:pt>
                <c:pt idx="7">
                  <c:v>0.27213131313131311</c:v>
                </c:pt>
                <c:pt idx="8">
                  <c:v>0.33333333333333337</c:v>
                </c:pt>
                <c:pt idx="9">
                  <c:v>0.26315388929866618</c:v>
                </c:pt>
                <c:pt idx="12">
                  <c:v>0.35255972500177296</c:v>
                </c:pt>
                <c:pt idx="13">
                  <c:v>0.2664863791108017</c:v>
                </c:pt>
                <c:pt idx="14">
                  <c:v>0.26095538677338875</c:v>
                </c:pt>
                <c:pt idx="15">
                  <c:v>0.28607906564963342</c:v>
                </c:pt>
                <c:pt idx="16">
                  <c:v>0.27625274472120448</c:v>
                </c:pt>
                <c:pt idx="19">
                  <c:v>0.23872432249626238</c:v>
                </c:pt>
                <c:pt idx="20">
                  <c:v>0.29155586535778777</c:v>
                </c:pt>
                <c:pt idx="21">
                  <c:v>0.41636156576774147</c:v>
                </c:pt>
                <c:pt idx="22">
                  <c:v>0.35823356009070295</c:v>
                </c:pt>
                <c:pt idx="23">
                  <c:v>0.32217741935483868</c:v>
                </c:pt>
                <c:pt idx="26">
                  <c:v>0.483088838422572</c:v>
                </c:pt>
                <c:pt idx="27">
                  <c:v>0.47490537747383327</c:v>
                </c:pt>
                <c:pt idx="28">
                  <c:v>0.44155514932940415</c:v>
                </c:pt>
                <c:pt idx="29">
                  <c:v>0.51930863256676218</c:v>
                </c:pt>
                <c:pt idx="30">
                  <c:v>0.4443046143146529</c:v>
                </c:pt>
                <c:pt idx="31">
                  <c:v>0.25808666593722862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88-43ED-B50A-22A6A9F40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B88-43ED-B50A-22A6A9F4036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88-43ED-B50A-22A6A9F40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9.xml"/><Relationship Id="rId1" Type="http://schemas.openxmlformats.org/officeDocument/2006/relationships/chart" Target="../charts/chart118.xml"/><Relationship Id="rId6" Type="http://schemas.openxmlformats.org/officeDocument/2006/relationships/chart" Target="../charts/chart122.xml"/><Relationship Id="rId5" Type="http://schemas.openxmlformats.org/officeDocument/2006/relationships/chart" Target="../charts/chart121.xml"/><Relationship Id="rId4" Type="http://schemas.openxmlformats.org/officeDocument/2006/relationships/chart" Target="../charts/chart1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8B7BF82-FCBF-4AA4-BF94-E6E9D87D3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20448A9-D41B-46EC-B99C-1289B226F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52A2DB8-1B7B-40A2-BEFE-6BF5592C5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2C01214-40F1-448E-AEAB-83962E905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AC149B1-9E81-4D38-ABBB-9E6664F91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2EEDEA6-9FA0-41CA-880D-7AAF48D5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053D528-548F-49D5-81D0-D7BF8A93D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9351C84-BCF3-4049-BFAA-CE52F769FE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AD5908E-732B-439A-B62F-ACAC550A1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6C1131B-CD8A-4816-A7E1-D547974D7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798CE52-969E-434F-903D-08DBDCCC87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7EEA879-01D1-4088-973F-067AD6FC2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AA81CDA-B94B-4882-8D99-FC3CCD2A7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F27584B-9522-4FF6-8CE9-2EA5E581B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8B57ADE-03FE-4C2D-8F95-A61BEABC0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89038EC-4267-4A67-9802-22902D8813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92A60A2-296B-4094-9D4F-A8A3ABE0C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E6921C0-7011-4F6E-BD65-3160F3DE2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636D55D-34AF-4ECC-9918-045DA962A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2019D5A-893A-4A11-9D8D-BDEF81648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652F2AF-54D8-4117-BFCB-CF48B98E6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9DB48C-2660-4AA5-87EA-23EF3FA4B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213A314-5C17-46DA-A3E5-0E84141B05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467AA77-65FA-4433-B78C-E6F71AA43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EBE2C42-371E-4CE1-B2F7-E93C9A296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4D66598-1243-4C71-8B4C-FB1E0D032D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BF5DC6E-B228-49BC-B77E-D3A1FC31C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E3CB4B8-537D-4B9C-9B09-C8C5546A7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F8C5E83-AF66-4002-8F8B-90B06FBEE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456AB1A-B30E-4324-A6D5-816959034F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0275695-A762-4234-A8B6-D813907E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B464D0C-70FE-4012-ACE5-464854EC3B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0254D4B-CB07-4EA8-9BA3-B12FCDDF4F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8C2BDAD-6032-41E9-86E1-5A36A0E8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A2FD46B-E2E4-4B31-AD84-F810C5D93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472A4EC-B32A-4FCA-B189-3ACAEE274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2201E36-805C-40F0-B63D-F09B30873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7E97DD5-A517-4DB6-BAE0-C8D89A050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35F06E1-529B-4ACE-8DE6-5424D61E5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3FC74C2-0085-43EF-997F-F9746C24D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772FCEA-1B74-4A40-8480-2D4C92F61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D97CD5A-A7BE-4CCD-AF35-474B7D3AEF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EE0A7EA-A811-419A-8765-C91A5F7936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06D03AD-002D-4AD9-879E-64B2A0017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0D6AF8B-9497-4622-AE51-6057A0C50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7884682-9D61-4059-A70C-E43BE4F6A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DE9D645-1CB5-48FC-B820-05C9AA7D28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A801243-9101-4038-A7AE-8FA7B44D6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4D31E19-8192-4CF7-9143-AAACFABFB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B949A84-8FF8-4676-9271-B5395BC5F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8157F43-6D95-40CC-9E1A-49FB3F662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CB40FB0-6BE6-4271-82AF-90BF85294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7157BD5-5F73-47BF-9B81-79FBDEE30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57B20C3-7E74-4DEC-881C-EE1DA829C7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F1E2F10-3609-4E0F-9AF4-14C9E8CB8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476BB6C-2A8E-4401-8811-2F5F9B795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H6" sqref="AH6"/>
    </sheetView>
  </sheetViews>
  <sheetFormatPr defaultRowHeight="13.5"/>
  <cols>
    <col min="1" max="1" width="7.5" style="74" bestFit="1" customWidth="1"/>
    <col min="2" max="17" width="5.5" style="74" bestFit="1" customWidth="1"/>
    <col min="18" max="18" width="6" style="74" customWidth="1"/>
    <col min="19" max="33" width="5.5" style="74" bestFit="1" customWidth="1"/>
    <col min="34" max="16384" width="9" style="74"/>
  </cols>
  <sheetData>
    <row r="1" spans="1:33" ht="33.75" customHeight="1" thickBot="1">
      <c r="A1" s="380" t="s">
        <v>179</v>
      </c>
      <c r="B1" s="380"/>
      <c r="C1" s="380"/>
      <c r="D1" s="380"/>
      <c r="E1" s="380"/>
      <c r="F1" s="380"/>
      <c r="G1" s="380"/>
      <c r="H1" s="380"/>
    </row>
    <row r="2" spans="1:33" ht="21.75" customHeight="1" thickBot="1">
      <c r="A2" s="95" t="s">
        <v>59</v>
      </c>
      <c r="B2" s="97" t="s">
        <v>74</v>
      </c>
      <c r="C2" s="98" t="s">
        <v>75</v>
      </c>
      <c r="D2" s="98" t="s">
        <v>76</v>
      </c>
      <c r="E2" s="98" t="s">
        <v>77</v>
      </c>
      <c r="F2" s="98" t="s">
        <v>78</v>
      </c>
      <c r="G2" s="98" t="s">
        <v>79</v>
      </c>
      <c r="H2" s="98" t="s">
        <v>80</v>
      </c>
      <c r="I2" s="98" t="s">
        <v>81</v>
      </c>
      <c r="J2" s="98" t="s">
        <v>82</v>
      </c>
      <c r="K2" s="98" t="s">
        <v>83</v>
      </c>
      <c r="L2" s="98" t="s">
        <v>84</v>
      </c>
      <c r="M2" s="98" t="s">
        <v>85</v>
      </c>
      <c r="N2" s="98" t="s">
        <v>86</v>
      </c>
      <c r="O2" s="98" t="s">
        <v>87</v>
      </c>
      <c r="P2" s="98" t="s">
        <v>88</v>
      </c>
      <c r="Q2" s="98" t="s">
        <v>89</v>
      </c>
      <c r="R2" s="98" t="s">
        <v>90</v>
      </c>
      <c r="S2" s="98" t="s">
        <v>91</v>
      </c>
      <c r="T2" s="98" t="s">
        <v>92</v>
      </c>
      <c r="U2" s="98" t="s">
        <v>93</v>
      </c>
      <c r="V2" s="98" t="s">
        <v>94</v>
      </c>
      <c r="W2" s="98" t="s">
        <v>95</v>
      </c>
      <c r="X2" s="98" t="s">
        <v>96</v>
      </c>
      <c r="Y2" s="98" t="s">
        <v>97</v>
      </c>
      <c r="Z2" s="98" t="s">
        <v>98</v>
      </c>
      <c r="AA2" s="98" t="s">
        <v>99</v>
      </c>
      <c r="AB2" s="98" t="s">
        <v>100</v>
      </c>
      <c r="AC2" s="98" t="s">
        <v>101</v>
      </c>
      <c r="AD2" s="98" t="s">
        <v>102</v>
      </c>
      <c r="AE2" s="98" t="s">
        <v>103</v>
      </c>
      <c r="AF2" s="99" t="s">
        <v>104</v>
      </c>
      <c r="AG2" s="95" t="s">
        <v>106</v>
      </c>
    </row>
    <row r="3" spans="1:33" ht="21.75" customHeight="1">
      <c r="A3" s="115" t="s">
        <v>60</v>
      </c>
      <c r="B3" s="110">
        <f>'01'!AD6</f>
        <v>0</v>
      </c>
      <c r="C3" s="110">
        <f>'02'!AD6</f>
        <v>0</v>
      </c>
      <c r="D3" s="103">
        <f>'03'!AD6</f>
        <v>0</v>
      </c>
      <c r="E3" s="103"/>
      <c r="F3" s="103"/>
      <c r="G3" s="103">
        <f>'06'!AD6</f>
        <v>0</v>
      </c>
      <c r="H3" s="103">
        <f>'07'!AD6</f>
        <v>0</v>
      </c>
      <c r="I3" s="103">
        <f>'08'!AD6</f>
        <v>0</v>
      </c>
      <c r="J3" s="103">
        <f>'09'!AD6</f>
        <v>0</v>
      </c>
      <c r="K3" s="103">
        <f>'10'!AD6</f>
        <v>0</v>
      </c>
      <c r="L3" s="103"/>
      <c r="M3" s="103"/>
      <c r="N3" s="121">
        <f>'13'!AD6</f>
        <v>0</v>
      </c>
      <c r="O3" s="103">
        <f>'14'!AD6</f>
        <v>0</v>
      </c>
      <c r="P3" s="103">
        <f>'15'!AD6</f>
        <v>0</v>
      </c>
      <c r="Q3" s="103">
        <f>'16'!AD6</f>
        <v>0</v>
      </c>
      <c r="R3" s="103">
        <f>'17'!AD6</f>
        <v>0</v>
      </c>
      <c r="S3" s="103"/>
      <c r="T3" s="103"/>
      <c r="U3" s="103">
        <f>'20'!AD6</f>
        <v>0</v>
      </c>
      <c r="V3" s="103">
        <f>'21'!AD6</f>
        <v>0</v>
      </c>
      <c r="W3" s="121">
        <f>'22'!AD6</f>
        <v>0</v>
      </c>
      <c r="X3" s="103">
        <f>'23'!AD6</f>
        <v>0</v>
      </c>
      <c r="Y3" s="103">
        <f>'24'!AD6</f>
        <v>0</v>
      </c>
      <c r="Z3" s="103"/>
      <c r="AA3" s="103"/>
      <c r="AB3" s="103">
        <f>'27'!AD6</f>
        <v>0</v>
      </c>
      <c r="AC3" s="103">
        <f>'28'!AD6</f>
        <v>0</v>
      </c>
      <c r="AD3" s="103">
        <f>'29'!AD6</f>
        <v>0</v>
      </c>
      <c r="AE3" s="103">
        <f>'30'!AD6</f>
        <v>0</v>
      </c>
      <c r="AF3" s="104">
        <f>'31'!AD6</f>
        <v>0</v>
      </c>
      <c r="AG3" s="106">
        <f>SUM(B3:AF3)/31</f>
        <v>0</v>
      </c>
    </row>
    <row r="4" spans="1:33" ht="21.75" customHeight="1">
      <c r="A4" s="116" t="s">
        <v>61</v>
      </c>
      <c r="B4" s="111">
        <f>'01'!AD7</f>
        <v>0</v>
      </c>
      <c r="C4" s="111">
        <f>'02'!AD7</f>
        <v>0</v>
      </c>
      <c r="D4" s="80">
        <f>'03'!AD7</f>
        <v>0</v>
      </c>
      <c r="E4" s="80"/>
      <c r="F4" s="80"/>
      <c r="G4" s="80">
        <f>'06'!AD7</f>
        <v>0</v>
      </c>
      <c r="H4" s="80">
        <f>'07'!AD7</f>
        <v>0</v>
      </c>
      <c r="I4" s="80">
        <f>'08'!AD7</f>
        <v>0</v>
      </c>
      <c r="J4" s="80">
        <f>'09'!AD7</f>
        <v>0</v>
      </c>
      <c r="K4" s="80">
        <f>'10'!AD7</f>
        <v>0</v>
      </c>
      <c r="L4" s="80"/>
      <c r="M4" s="80"/>
      <c r="N4" s="80">
        <f>'13'!AD7</f>
        <v>0</v>
      </c>
      <c r="O4" s="80">
        <f>'14'!AD7</f>
        <v>0</v>
      </c>
      <c r="P4" s="80">
        <f>'15'!AD7</f>
        <v>0</v>
      </c>
      <c r="Q4" s="80">
        <f>'16'!AD7</f>
        <v>0</v>
      </c>
      <c r="R4" s="80">
        <f>'17'!AD7</f>
        <v>0</v>
      </c>
      <c r="S4" s="80"/>
      <c r="T4" s="80"/>
      <c r="U4" s="80">
        <f>'20'!AD7</f>
        <v>0</v>
      </c>
      <c r="V4" s="80">
        <f>'21'!AD7</f>
        <v>0</v>
      </c>
      <c r="W4" s="80">
        <f>'22'!AD7</f>
        <v>0</v>
      </c>
      <c r="X4" s="80">
        <f>'23'!AD7</f>
        <v>0</v>
      </c>
      <c r="Y4" s="80">
        <f>'24'!AD7</f>
        <v>0</v>
      </c>
      <c r="Z4" s="80"/>
      <c r="AA4" s="80"/>
      <c r="AB4" s="80">
        <f>'27'!AD7</f>
        <v>0</v>
      </c>
      <c r="AC4" s="80">
        <f>'28'!AD7</f>
        <v>0</v>
      </c>
      <c r="AD4" s="80">
        <f>'29'!AD7</f>
        <v>0</v>
      </c>
      <c r="AE4" s="80">
        <f>'30'!AD7</f>
        <v>0</v>
      </c>
      <c r="AF4" s="81">
        <f>'31'!AD7</f>
        <v>0</v>
      </c>
      <c r="AG4" s="82">
        <f t="shared" ref="AG4:AG18" si="0">SUM(B4:AF4)/31</f>
        <v>0</v>
      </c>
    </row>
    <row r="5" spans="1:33" ht="21.75" customHeight="1">
      <c r="A5" s="117" t="s">
        <v>62</v>
      </c>
      <c r="B5" s="112">
        <f>'01'!$AD$8</f>
        <v>1</v>
      </c>
      <c r="C5" s="112">
        <f>'02'!AD8</f>
        <v>0.58286852589641436</v>
      </c>
      <c r="D5" s="83">
        <f>'03'!AD8</f>
        <v>0</v>
      </c>
      <c r="E5" s="83"/>
      <c r="F5" s="83"/>
      <c r="G5" s="83">
        <f>'06'!AD8</f>
        <v>0.8748002283105023</v>
      </c>
      <c r="H5" s="83">
        <f>'07'!AD8</f>
        <v>0.79166666666666663</v>
      </c>
      <c r="I5" s="83">
        <f>'08'!AD8</f>
        <v>0.16666666666666666</v>
      </c>
      <c r="J5" s="83">
        <f>'09'!AD8</f>
        <v>0.16666666666666666</v>
      </c>
      <c r="K5" s="83">
        <f>'10'!AD8</f>
        <v>0.875</v>
      </c>
      <c r="L5" s="83"/>
      <c r="M5" s="83"/>
      <c r="N5" s="83">
        <f>'13'!AD8</f>
        <v>0.66634304207119732</v>
      </c>
      <c r="O5" s="83">
        <f>'14'!AD8</f>
        <v>0</v>
      </c>
      <c r="P5" s="83">
        <f>'15'!AD8</f>
        <v>0</v>
      </c>
      <c r="Q5" s="83">
        <f>'16'!AD8</f>
        <v>0</v>
      </c>
      <c r="R5" s="83">
        <f>'17'!AD8</f>
        <v>0</v>
      </c>
      <c r="S5" s="83"/>
      <c r="T5" s="83"/>
      <c r="U5" s="83">
        <f>'20'!AD8</f>
        <v>0</v>
      </c>
      <c r="V5" s="83">
        <f>'21'!AD8</f>
        <v>0</v>
      </c>
      <c r="W5" s="122">
        <f>'22'!AD8</f>
        <v>0</v>
      </c>
      <c r="X5" s="83">
        <f>'23'!AD8</f>
        <v>0</v>
      </c>
      <c r="Y5" s="83">
        <f>'24'!AD8</f>
        <v>0</v>
      </c>
      <c r="Z5" s="83"/>
      <c r="AA5" s="83"/>
      <c r="AB5" s="83">
        <f>'27'!AD8</f>
        <v>0.91666666666666663</v>
      </c>
      <c r="AC5" s="83">
        <f>'28'!AD8</f>
        <v>0.875</v>
      </c>
      <c r="AD5" s="83">
        <f>'29'!AD8</f>
        <v>0.66666666666666663</v>
      </c>
      <c r="AE5" s="83">
        <f>'30'!AD8</f>
        <v>0.79166666666666663</v>
      </c>
      <c r="AF5" s="84">
        <f>'31'!AD8</f>
        <v>1</v>
      </c>
      <c r="AG5" s="85">
        <f t="shared" si="0"/>
        <v>0.30238747729929399</v>
      </c>
    </row>
    <row r="6" spans="1:33" ht="21.75" customHeight="1">
      <c r="A6" s="118" t="s">
        <v>63</v>
      </c>
      <c r="B6" s="113">
        <f>'01'!$AD$9+'01'!$AD$10</f>
        <v>0.875</v>
      </c>
      <c r="C6" s="113">
        <f>'02'!AD9+'02'!AD10+'02'!AD11</f>
        <v>0.5071694647577849</v>
      </c>
      <c r="D6" s="86">
        <f>'03'!AD9</f>
        <v>0.41647465437788023</v>
      </c>
      <c r="E6" s="86"/>
      <c r="F6" s="86"/>
      <c r="G6" s="86">
        <f>'06'!AD9</f>
        <v>0</v>
      </c>
      <c r="H6" s="86">
        <f>'07'!AD9</f>
        <v>0.49974226804123711</v>
      </c>
      <c r="I6" s="86">
        <f>'08'!AD9</f>
        <v>0.16666666666666666</v>
      </c>
      <c r="J6" s="86">
        <f>'09'!AD9</f>
        <v>0.5</v>
      </c>
      <c r="K6" s="86">
        <f>'10'!AD9</f>
        <v>0.83333333333333337</v>
      </c>
      <c r="L6" s="86"/>
      <c r="M6" s="86"/>
      <c r="N6" s="86">
        <f>'13'!AD9</f>
        <v>0.83313725490196078</v>
      </c>
      <c r="O6" s="86">
        <f>'14'!AD9</f>
        <v>0.16666666666666666</v>
      </c>
      <c r="P6" s="86">
        <f>'15'!AD9</f>
        <v>0</v>
      </c>
      <c r="Q6" s="86">
        <f>'16'!AD9</f>
        <v>0.79166666666666663</v>
      </c>
      <c r="R6" s="86">
        <f>'17'!AD9</f>
        <v>0</v>
      </c>
      <c r="S6" s="86"/>
      <c r="T6" s="86"/>
      <c r="U6" s="86">
        <f>'20'!AD9</f>
        <v>0</v>
      </c>
      <c r="V6" s="86">
        <f>'21'!AD9</f>
        <v>0.25</v>
      </c>
      <c r="W6" s="86">
        <f>'22'!AD9+'22'!AD10+'22'!AD11</f>
        <v>0.58333333333333326</v>
      </c>
      <c r="X6" s="86">
        <f>'23'!AD9</f>
        <v>0.16666666666666666</v>
      </c>
      <c r="Y6" s="86">
        <f>'24'!AD9</f>
        <v>0.54166666666666663</v>
      </c>
      <c r="Z6" s="86"/>
      <c r="AA6" s="86"/>
      <c r="AB6" s="86">
        <f>'27'!AD9</f>
        <v>0</v>
      </c>
      <c r="AC6" s="86">
        <f>'28'!AD9</f>
        <v>0.25</v>
      </c>
      <c r="AD6" s="86">
        <f>'29'!AD9+'29'!AD10</f>
        <v>0.41666666666666663</v>
      </c>
      <c r="AE6" s="86">
        <f>'30'!AD9</f>
        <v>0.375</v>
      </c>
      <c r="AF6" s="87">
        <f>'31'!AD9+'31'!AD10</f>
        <v>0.54166666666666663</v>
      </c>
      <c r="AG6" s="88">
        <f t="shared" si="0"/>
        <v>0.2811244185616838</v>
      </c>
    </row>
    <row r="7" spans="1:33" ht="21.75" customHeight="1">
      <c r="A7" s="118" t="s">
        <v>64</v>
      </c>
      <c r="B7" s="113">
        <f>'01'!AD11</f>
        <v>1</v>
      </c>
      <c r="C7" s="113">
        <f>'02'!AD12</f>
        <v>0.87462606837606838</v>
      </c>
      <c r="D7" s="86">
        <f>'03'!AD10</f>
        <v>0.29166666666666669</v>
      </c>
      <c r="E7" s="86"/>
      <c r="F7" s="86"/>
      <c r="G7" s="86">
        <f>'06'!AD10</f>
        <v>0</v>
      </c>
      <c r="H7" s="86">
        <f>'07'!AD10</f>
        <v>0.66609442060085833</v>
      </c>
      <c r="I7" s="86">
        <f>'08'!AD10</f>
        <v>1</v>
      </c>
      <c r="J7" s="86">
        <f>'09'!AD10</f>
        <v>1</v>
      </c>
      <c r="K7" s="86">
        <f>'10'!AD10</f>
        <v>0.20833333333333334</v>
      </c>
      <c r="L7" s="86"/>
      <c r="M7" s="86"/>
      <c r="N7" s="86">
        <f>'13'!AD10</f>
        <v>0.79157933443647721</v>
      </c>
      <c r="O7" s="86">
        <f>'14'!AD10</f>
        <v>0.25</v>
      </c>
      <c r="P7" s="86">
        <f>'15'!AD10</f>
        <v>0.79066137566137562</v>
      </c>
      <c r="Q7" s="86">
        <f>'16'!AD10</f>
        <v>0</v>
      </c>
      <c r="R7" s="86">
        <f>'17'!AD10</f>
        <v>0</v>
      </c>
      <c r="S7" s="86"/>
      <c r="T7" s="86"/>
      <c r="U7" s="86">
        <f>'20'!AD10</f>
        <v>0</v>
      </c>
      <c r="V7" s="86">
        <f>'21'!AD10</f>
        <v>0</v>
      </c>
      <c r="W7" s="86">
        <f>'22'!AD12</f>
        <v>0.74952494061757713</v>
      </c>
      <c r="X7" s="86">
        <f>'23'!AD10</f>
        <v>0.45833333333333331</v>
      </c>
      <c r="Y7" s="86">
        <f>'24'!AD10</f>
        <v>0.79166666666666663</v>
      </c>
      <c r="Z7" s="86"/>
      <c r="AA7" s="86"/>
      <c r="AB7" s="86">
        <f>'27'!AD10</f>
        <v>0.875</v>
      </c>
      <c r="AC7" s="86">
        <f>'28'!AD10</f>
        <v>0.16666666666666666</v>
      </c>
      <c r="AD7" s="86">
        <f>'29'!AD11</f>
        <v>0.91654295996401247</v>
      </c>
      <c r="AE7" s="86">
        <f>'30'!AD10</f>
        <v>1</v>
      </c>
      <c r="AF7" s="87">
        <f>'31'!AD11+'31'!AD12</f>
        <v>0.37477272727272726</v>
      </c>
      <c r="AG7" s="88">
        <f t="shared" si="0"/>
        <v>0.39372479011599232</v>
      </c>
    </row>
    <row r="8" spans="1:33" ht="21.75" customHeight="1">
      <c r="A8" s="118" t="s">
        <v>65</v>
      </c>
      <c r="B8" s="113">
        <f>'01'!$AD$12+'01'!$AD$13</f>
        <v>0.37375000000000003</v>
      </c>
      <c r="C8" s="113">
        <f>'02'!AD13</f>
        <v>0</v>
      </c>
      <c r="D8" s="86">
        <f>'03'!AD11</f>
        <v>0</v>
      </c>
      <c r="E8" s="86"/>
      <c r="F8" s="86"/>
      <c r="G8" s="86">
        <f>'06'!AD11</f>
        <v>0</v>
      </c>
      <c r="H8" s="86">
        <f>'07'!AD11</f>
        <v>0</v>
      </c>
      <c r="I8" s="86">
        <f>'08'!AD11</f>
        <v>0.83333333333333337</v>
      </c>
      <c r="J8" s="86">
        <f>'09'!AD11</f>
        <v>0.83333333333333337</v>
      </c>
      <c r="K8" s="86">
        <f>'10'!AD11</f>
        <v>0.41666666666666669</v>
      </c>
      <c r="L8" s="86"/>
      <c r="M8" s="86"/>
      <c r="N8" s="86">
        <f>'13'!AD11</f>
        <v>0</v>
      </c>
      <c r="O8" s="86">
        <f>'14'!AD11</f>
        <v>0</v>
      </c>
      <c r="P8" s="86">
        <f>'15'!AD11</f>
        <v>0</v>
      </c>
      <c r="Q8" s="86">
        <f>'16'!AD11</f>
        <v>0</v>
      </c>
      <c r="R8" s="86">
        <f>'17'!AD11</f>
        <v>0.66666666666666663</v>
      </c>
      <c r="S8" s="86"/>
      <c r="T8" s="86"/>
      <c r="U8" s="86">
        <f>'20'!AD11</f>
        <v>0.58286479250334677</v>
      </c>
      <c r="V8" s="86">
        <f>'21'!AD11</f>
        <v>0.25</v>
      </c>
      <c r="W8" s="86">
        <f>'22'!AD13</f>
        <v>0</v>
      </c>
      <c r="X8" s="86">
        <f>'23'!AD11</f>
        <v>1</v>
      </c>
      <c r="Y8" s="86">
        <f>'24'!AD11</f>
        <v>0.16666666666666666</v>
      </c>
      <c r="Z8" s="86"/>
      <c r="AA8" s="86"/>
      <c r="AB8" s="86">
        <f>'27'!AD11</f>
        <v>0.83215962441314562</v>
      </c>
      <c r="AC8" s="86">
        <f>'28'!AD11</f>
        <v>0.75</v>
      </c>
      <c r="AD8" s="86">
        <f>'29'!AD12</f>
        <v>0.9984509466437177</v>
      </c>
      <c r="AE8" s="86">
        <f>'30'!AD11</f>
        <v>0.41666666666666669</v>
      </c>
      <c r="AF8" s="87">
        <f>'31'!AD13</f>
        <v>0.74921874999999993</v>
      </c>
      <c r="AG8" s="88">
        <f t="shared" si="0"/>
        <v>0.28612185312559818</v>
      </c>
    </row>
    <row r="9" spans="1:33" ht="21.75" customHeight="1">
      <c r="A9" s="118" t="s">
        <v>66</v>
      </c>
      <c r="B9" s="113">
        <f>'01'!AD14</f>
        <v>0.99944029850746263</v>
      </c>
      <c r="C9" s="113">
        <f>'02'!AD14</f>
        <v>1</v>
      </c>
      <c r="D9" s="86">
        <f>'03'!AD12</f>
        <v>0.41666666666666669</v>
      </c>
      <c r="E9" s="86"/>
      <c r="F9" s="86"/>
      <c r="G9" s="86">
        <f>'06'!AD12</f>
        <v>0.33304843304843301</v>
      </c>
      <c r="H9" s="86">
        <f>'07'!AD12</f>
        <v>0.95752375923970434</v>
      </c>
      <c r="I9" s="86">
        <f>'08'!AD12</f>
        <v>1</v>
      </c>
      <c r="J9" s="86">
        <f>'09'!AD12</f>
        <v>0.25</v>
      </c>
      <c r="K9" s="86">
        <f>'10'!AD12</f>
        <v>0.24981617647058824</v>
      </c>
      <c r="L9" s="86"/>
      <c r="M9" s="86"/>
      <c r="N9" s="86">
        <f>'13'!AD12</f>
        <v>0</v>
      </c>
      <c r="O9" s="86">
        <f>'14'!AD12</f>
        <v>0.41666666666666669</v>
      </c>
      <c r="P9" s="86">
        <f>'15'!AD12</f>
        <v>0.91666666666666663</v>
      </c>
      <c r="Q9" s="86">
        <f>'16'!AD12</f>
        <v>0.99963503649635033</v>
      </c>
      <c r="R9" s="86">
        <f>'17'!AD12</f>
        <v>1.0613138686131387</v>
      </c>
      <c r="S9" s="86"/>
      <c r="T9" s="86"/>
      <c r="U9" s="86">
        <f>'20'!AD12</f>
        <v>0.16587301587301587</v>
      </c>
      <c r="V9" s="86">
        <f>'21'!AD12</f>
        <v>0.66568986568986566</v>
      </c>
      <c r="W9" s="86">
        <f>'22'!AD14</f>
        <v>0.74914529914529915</v>
      </c>
      <c r="X9" s="86">
        <f>'23'!AD12</f>
        <v>0.91517006802721079</v>
      </c>
      <c r="Y9" s="86">
        <f>'24'!AD12</f>
        <v>1</v>
      </c>
      <c r="Z9" s="86"/>
      <c r="AA9" s="86"/>
      <c r="AB9" s="86">
        <f>'27'!AD12</f>
        <v>0.99816666666666665</v>
      </c>
      <c r="AC9" s="86">
        <f>'28'!AD12</f>
        <v>1</v>
      </c>
      <c r="AD9" s="86">
        <f>'29'!AD13</f>
        <v>0.91666666666666663</v>
      </c>
      <c r="AE9" s="86">
        <f>'30'!AD12</f>
        <v>0.99996700758825474</v>
      </c>
      <c r="AF9" s="87">
        <f>'31'!AD14</f>
        <v>1</v>
      </c>
      <c r="AG9" s="88">
        <f t="shared" si="0"/>
        <v>0.54875665038815014</v>
      </c>
    </row>
    <row r="10" spans="1:33" ht="21.75" customHeight="1">
      <c r="A10" s="118" t="s">
        <v>67</v>
      </c>
      <c r="B10" s="113">
        <f>'01'!AD15</f>
        <v>0.83241758241758246</v>
      </c>
      <c r="C10" s="113">
        <f>'02'!AD15</f>
        <v>0.83250000000000002</v>
      </c>
      <c r="D10" s="86">
        <f>'03'!AD13</f>
        <v>0.41666666666666669</v>
      </c>
      <c r="E10" s="86"/>
      <c r="F10" s="86"/>
      <c r="G10" s="86">
        <f>'06'!AD13</f>
        <v>0.91666666666666663</v>
      </c>
      <c r="H10" s="86">
        <f>'07'!AD13</f>
        <v>0.99911660777385158</v>
      </c>
      <c r="I10" s="86">
        <f>'08'!AD13</f>
        <v>0.74863636363636366</v>
      </c>
      <c r="J10" s="86">
        <f>'09'!AD13</f>
        <v>0.875</v>
      </c>
      <c r="K10" s="86">
        <f>'10'!AD13</f>
        <v>0</v>
      </c>
      <c r="L10" s="86"/>
      <c r="M10" s="86"/>
      <c r="N10" s="86">
        <f>'13'!AD13</f>
        <v>0.66507936507936505</v>
      </c>
      <c r="O10" s="86">
        <f>'14'!AD13</f>
        <v>0.99896551724137927</v>
      </c>
      <c r="P10" s="86">
        <f>'15'!AD13</f>
        <v>0.7910576923076923</v>
      </c>
      <c r="Q10" s="86">
        <f>'16'!AD13</f>
        <v>0.83333333333333337</v>
      </c>
      <c r="R10" s="86">
        <f>'17'!AD13</f>
        <v>0.58333333333333337</v>
      </c>
      <c r="S10" s="86"/>
      <c r="T10" s="86"/>
      <c r="U10" s="86">
        <f>'20'!AD13</f>
        <v>0.87383333333333335</v>
      </c>
      <c r="V10" s="86">
        <f>'21'!AD13</f>
        <v>0.99947275922671353</v>
      </c>
      <c r="W10" s="86">
        <f>'22'!AD15</f>
        <v>0.54166666666666663</v>
      </c>
      <c r="X10" s="86">
        <f>'23'!AD13</f>
        <v>0.20833333333333334</v>
      </c>
      <c r="Y10" s="86">
        <f>'24'!AD13</f>
        <v>0.415994623655914</v>
      </c>
      <c r="Z10" s="86"/>
      <c r="AA10" s="86"/>
      <c r="AB10" s="86">
        <f>'27'!AD13</f>
        <v>0.74975165562913904</v>
      </c>
      <c r="AC10" s="86">
        <f>'28'!AD13</f>
        <v>0.83310217290799815</v>
      </c>
      <c r="AD10" s="86">
        <f>'29'!AD14</f>
        <v>0.95833333333333337</v>
      </c>
      <c r="AE10" s="86">
        <f>'30'!AD13</f>
        <v>0.99981132075471701</v>
      </c>
      <c r="AF10" s="87">
        <f>'31'!AD15</f>
        <v>0.25</v>
      </c>
      <c r="AG10" s="88">
        <f t="shared" si="0"/>
        <v>0.52655072023539951</v>
      </c>
    </row>
    <row r="11" spans="1:33" ht="21.75" customHeight="1">
      <c r="A11" s="117" t="s">
        <v>68</v>
      </c>
      <c r="B11" s="112">
        <f>'01'!AD16</f>
        <v>0</v>
      </c>
      <c r="C11" s="112">
        <f>'02'!AD16</f>
        <v>0</v>
      </c>
      <c r="D11" s="83">
        <f>'03'!AD14</f>
        <v>0</v>
      </c>
      <c r="E11" s="83"/>
      <c r="F11" s="83"/>
      <c r="G11" s="83">
        <f>'06'!AD14</f>
        <v>0</v>
      </c>
      <c r="H11" s="83">
        <f>'07'!AD14</f>
        <v>0</v>
      </c>
      <c r="I11" s="83">
        <f>'08'!AD14</f>
        <v>0</v>
      </c>
      <c r="J11" s="83">
        <f>'09'!AD14</f>
        <v>0.16666666666666666</v>
      </c>
      <c r="K11" s="83">
        <f>'10'!AD14</f>
        <v>0.33333333333333331</v>
      </c>
      <c r="L11" s="83"/>
      <c r="M11" s="83"/>
      <c r="N11" s="83">
        <f>'13'!AD14</f>
        <v>0</v>
      </c>
      <c r="O11" s="83">
        <f>'14'!AD14</f>
        <v>0</v>
      </c>
      <c r="P11" s="83">
        <f>'15'!AD14</f>
        <v>0</v>
      </c>
      <c r="Q11" s="83">
        <f>'16'!AD14</f>
        <v>0</v>
      </c>
      <c r="R11" s="83">
        <f>'17'!AD14</f>
        <v>0</v>
      </c>
      <c r="S11" s="83"/>
      <c r="T11" s="83"/>
      <c r="U11" s="83">
        <f>'20'!AD14</f>
        <v>0.5</v>
      </c>
      <c r="V11" s="83">
        <f>'21'!AD14</f>
        <v>0</v>
      </c>
      <c r="W11" s="83">
        <f>'22'!AD16</f>
        <v>0</v>
      </c>
      <c r="X11" s="83">
        <f>'23'!AD14</f>
        <v>0</v>
      </c>
      <c r="Y11" s="83">
        <f>'24'!AD14</f>
        <v>0</v>
      </c>
      <c r="Z11" s="83"/>
      <c r="AA11" s="83"/>
      <c r="AB11" s="83">
        <f>'27'!AD14</f>
        <v>0</v>
      </c>
      <c r="AC11" s="83">
        <f>'28'!AD14</f>
        <v>0</v>
      </c>
      <c r="AD11" s="83">
        <f>'29'!AD15</f>
        <v>0</v>
      </c>
      <c r="AE11" s="83">
        <f>'30'!AD14</f>
        <v>0</v>
      </c>
      <c r="AF11" s="84">
        <f>'31'!AD16</f>
        <v>0</v>
      </c>
      <c r="AG11" s="85">
        <f t="shared" si="0"/>
        <v>3.2258064516129031E-2</v>
      </c>
    </row>
    <row r="12" spans="1:33" ht="21.75" customHeight="1">
      <c r="A12" s="117" t="s">
        <v>69</v>
      </c>
      <c r="B12" s="112">
        <f>'01'!AD17</f>
        <v>0</v>
      </c>
      <c r="C12" s="112">
        <f>'02'!AD17</f>
        <v>0</v>
      </c>
      <c r="D12" s="83">
        <f>'03'!AD15</f>
        <v>0</v>
      </c>
      <c r="E12" s="83"/>
      <c r="F12" s="83"/>
      <c r="G12" s="83">
        <f>'06'!AD15</f>
        <v>0.87484978540772529</v>
      </c>
      <c r="H12" s="83">
        <f>'07'!AD15</f>
        <v>0.875</v>
      </c>
      <c r="I12" s="83">
        <f>'08'!AD15</f>
        <v>0</v>
      </c>
      <c r="J12" s="83">
        <f>'09'!AD15</f>
        <v>0</v>
      </c>
      <c r="K12" s="83">
        <f>'10'!AD15</f>
        <v>0</v>
      </c>
      <c r="L12" s="83"/>
      <c r="M12" s="83"/>
      <c r="N12" s="83">
        <f>'13'!AD15</f>
        <v>0</v>
      </c>
      <c r="O12" s="83">
        <f>'14'!AD15</f>
        <v>0</v>
      </c>
      <c r="P12" s="83">
        <f>'15'!AD15</f>
        <v>0</v>
      </c>
      <c r="Q12" s="83">
        <f>'16'!AD15</f>
        <v>0</v>
      </c>
      <c r="R12" s="83">
        <f>'17'!AD15</f>
        <v>0</v>
      </c>
      <c r="S12" s="83"/>
      <c r="T12" s="83"/>
      <c r="U12" s="83">
        <f>'20'!AD15</f>
        <v>0</v>
      </c>
      <c r="V12" s="83">
        <f>'21'!AD15</f>
        <v>0</v>
      </c>
      <c r="W12" s="83">
        <f>'22'!AD17</f>
        <v>0.58333333333333337</v>
      </c>
      <c r="X12" s="83">
        <f>'23'!AD15</f>
        <v>0.29166666666666669</v>
      </c>
      <c r="Y12" s="83">
        <f>'24'!AD15</f>
        <v>0</v>
      </c>
      <c r="Z12" s="83"/>
      <c r="AA12" s="83"/>
      <c r="AB12" s="83">
        <f>'27'!AD15</f>
        <v>0</v>
      </c>
      <c r="AC12" s="83">
        <f>'28'!AD15</f>
        <v>0</v>
      </c>
      <c r="AD12" s="83">
        <f>'29'!AD16</f>
        <v>0</v>
      </c>
      <c r="AE12" s="83">
        <f>'30'!AD15</f>
        <v>0</v>
      </c>
      <c r="AF12" s="84">
        <f>'31'!AD17</f>
        <v>0</v>
      </c>
      <c r="AG12" s="85">
        <f t="shared" si="0"/>
        <v>8.4672573722829853E-2</v>
      </c>
    </row>
    <row r="13" spans="1:33" ht="21.75" customHeight="1">
      <c r="A13" s="117" t="s">
        <v>70</v>
      </c>
      <c r="B13" s="112">
        <f>'01'!AD18</f>
        <v>0</v>
      </c>
      <c r="C13" s="112">
        <f>'02'!AD18</f>
        <v>0</v>
      </c>
      <c r="D13" s="83">
        <f>'03'!AD16</f>
        <v>0</v>
      </c>
      <c r="E13" s="83"/>
      <c r="F13" s="83"/>
      <c r="G13" s="83">
        <f>'06'!AD16</f>
        <v>0</v>
      </c>
      <c r="H13" s="83">
        <f>'07'!AD16</f>
        <v>0</v>
      </c>
      <c r="I13" s="83">
        <f>'08'!AD16</f>
        <v>0</v>
      </c>
      <c r="J13" s="83">
        <f>'09'!AD16</f>
        <v>0</v>
      </c>
      <c r="K13" s="83">
        <f>'10'!AD16</f>
        <v>0</v>
      </c>
      <c r="L13" s="83"/>
      <c r="M13" s="83"/>
      <c r="N13" s="83">
        <f>'13'!AD16</f>
        <v>0</v>
      </c>
      <c r="O13" s="83">
        <f>'14'!AD16</f>
        <v>0</v>
      </c>
      <c r="P13" s="83">
        <f>'15'!AD16</f>
        <v>0</v>
      </c>
      <c r="Q13" s="83">
        <f>'16'!AD16</f>
        <v>0</v>
      </c>
      <c r="R13" s="83">
        <f>'17'!AD16</f>
        <v>0</v>
      </c>
      <c r="S13" s="83"/>
      <c r="T13" s="83"/>
      <c r="U13" s="83">
        <f>'20'!AD16</f>
        <v>0</v>
      </c>
      <c r="V13" s="83">
        <f>'21'!AD16</f>
        <v>0</v>
      </c>
      <c r="W13" s="83">
        <f>'22'!AD18+'22'!AD19</f>
        <v>0.49978354978354977</v>
      </c>
      <c r="X13" s="83">
        <f>'23'!AD16</f>
        <v>0.16666666666666666</v>
      </c>
      <c r="Y13" s="83">
        <f>'24'!AD16</f>
        <v>0</v>
      </c>
      <c r="Z13" s="83"/>
      <c r="AA13" s="83"/>
      <c r="AB13" s="83">
        <f>'27'!AD16</f>
        <v>0.91646296296296292</v>
      </c>
      <c r="AC13" s="83">
        <f>'28'!AD16</f>
        <v>0.99885057471264371</v>
      </c>
      <c r="AD13" s="83">
        <f>'29'!AD17</f>
        <v>0</v>
      </c>
      <c r="AE13" s="83">
        <f>'30'!AD16</f>
        <v>0.74959677419354842</v>
      </c>
      <c r="AF13" s="84">
        <f>'31'!AD18</f>
        <v>1</v>
      </c>
      <c r="AG13" s="85">
        <f t="shared" si="0"/>
        <v>0.13972130736514102</v>
      </c>
    </row>
    <row r="14" spans="1:33" ht="21.75" customHeight="1">
      <c r="A14" s="117" t="s">
        <v>71</v>
      </c>
      <c r="B14" s="112">
        <f>'01'!AD19</f>
        <v>0</v>
      </c>
      <c r="C14" s="112">
        <f>'02'!AD19</f>
        <v>0</v>
      </c>
      <c r="D14" s="83">
        <f>'03'!AD17</f>
        <v>0</v>
      </c>
      <c r="E14" s="83"/>
      <c r="F14" s="83"/>
      <c r="G14" s="83">
        <f>'06'!AD17</f>
        <v>0.83294573643410863</v>
      </c>
      <c r="H14" s="83">
        <f>'07'!AD17</f>
        <v>0.74960629921259847</v>
      </c>
      <c r="I14" s="83">
        <f>'08'!AD17</f>
        <v>0</v>
      </c>
      <c r="J14" s="83">
        <f>'09'!AD17</f>
        <v>0.16666666666666666</v>
      </c>
      <c r="K14" s="83">
        <f>'10'!AD17+'10'!AD18</f>
        <v>0.61415882967607105</v>
      </c>
      <c r="L14" s="83"/>
      <c r="M14" s="83"/>
      <c r="N14" s="83">
        <f>'13'!AD17</f>
        <v>0.41666666666666669</v>
      </c>
      <c r="O14" s="83">
        <f>'14'!AD17</f>
        <v>0</v>
      </c>
      <c r="P14" s="83">
        <f>'15'!AD17</f>
        <v>0</v>
      </c>
      <c r="Q14" s="83">
        <f>'16'!AD17</f>
        <v>0</v>
      </c>
      <c r="R14" s="83">
        <f>'17'!AD17</f>
        <v>0</v>
      </c>
      <c r="S14" s="83"/>
      <c r="T14" s="83"/>
      <c r="U14" s="83">
        <f>'20'!AD17</f>
        <v>0</v>
      </c>
      <c r="V14" s="83">
        <f>'21'!AD17</f>
        <v>0</v>
      </c>
      <c r="W14" s="83">
        <f>'22'!AD20</f>
        <v>0.16666666666666666</v>
      </c>
      <c r="X14" s="83">
        <f>'23'!AD17</f>
        <v>0</v>
      </c>
      <c r="Y14" s="83">
        <f>'24'!AD17</f>
        <v>0</v>
      </c>
      <c r="Z14" s="83"/>
      <c r="AA14" s="83"/>
      <c r="AB14" s="83">
        <f>'27'!AD17</f>
        <v>0</v>
      </c>
      <c r="AC14" s="83">
        <f>'28'!AD17</f>
        <v>0.25</v>
      </c>
      <c r="AD14" s="83">
        <f>'29'!AD18</f>
        <v>0</v>
      </c>
      <c r="AE14" s="83">
        <f>'30'!AD17</f>
        <v>0</v>
      </c>
      <c r="AF14" s="84">
        <f>'31'!AD19</f>
        <v>0</v>
      </c>
      <c r="AG14" s="85">
        <f t="shared" si="0"/>
        <v>0.10311970533299283</v>
      </c>
    </row>
    <row r="15" spans="1:33" ht="21.75" customHeight="1">
      <c r="A15" s="118" t="s">
        <v>72</v>
      </c>
      <c r="B15" s="113">
        <f>'01'!AD20</f>
        <v>0.79041005291005284</v>
      </c>
      <c r="C15" s="113">
        <f>'02'!AD20</f>
        <v>0.58229537366548045</v>
      </c>
      <c r="D15" s="86">
        <f>'03'!AD18</f>
        <v>0.16666666666666666</v>
      </c>
      <c r="E15" s="86"/>
      <c r="F15" s="86"/>
      <c r="G15" s="86">
        <f>'06'!AD18</f>
        <v>0.58333333333333337</v>
      </c>
      <c r="H15" s="86">
        <f>'07'!AD18</f>
        <v>0.45712719298245613</v>
      </c>
      <c r="I15" s="86">
        <f>'08'!AD18</f>
        <v>0</v>
      </c>
      <c r="J15" s="86">
        <f>'09'!AD18+'09'!AD19+'09'!AD20</f>
        <v>0.875</v>
      </c>
      <c r="K15" s="86">
        <f>'10'!AD19</f>
        <v>0.41666666666666669</v>
      </c>
      <c r="L15" s="86"/>
      <c r="M15" s="86"/>
      <c r="N15" s="86">
        <f>'13'!AD18</f>
        <v>0.74900990099009901</v>
      </c>
      <c r="O15" s="86">
        <f>'14'!AD18</f>
        <v>0.99849056603773589</v>
      </c>
      <c r="P15" s="86">
        <f>'15'!AD18</f>
        <v>0.41527113237639551</v>
      </c>
      <c r="Q15" s="86">
        <f>'16'!AD18</f>
        <v>0.66666666666666663</v>
      </c>
      <c r="R15" s="86">
        <f>'17'!AD18</f>
        <v>0.83333333333333337</v>
      </c>
      <c r="S15" s="86"/>
      <c r="T15" s="86"/>
      <c r="U15" s="86">
        <f>'20'!AD18</f>
        <v>0.58333333333333337</v>
      </c>
      <c r="V15" s="86">
        <f>'21'!AD18</f>
        <v>0.83333333333333337</v>
      </c>
      <c r="W15" s="86">
        <f>'22'!AD21</f>
        <v>0.78863636363636358</v>
      </c>
      <c r="X15" s="86">
        <f>'23'!AD18</f>
        <v>0.91666666666666663</v>
      </c>
      <c r="Y15" s="86">
        <f>'24'!AD18</f>
        <v>0.91666666666666663</v>
      </c>
      <c r="Z15" s="86"/>
      <c r="AA15" s="86"/>
      <c r="AB15" s="86">
        <f>'27'!AD18</f>
        <v>0.958125</v>
      </c>
      <c r="AC15" s="86">
        <f>'28'!AD18</f>
        <v>1</v>
      </c>
      <c r="AD15" s="86">
        <f>'29'!AD19</f>
        <v>0.58333333333333337</v>
      </c>
      <c r="AE15" s="86">
        <f>'30'!AD18</f>
        <v>0.95692105263157901</v>
      </c>
      <c r="AF15" s="87">
        <f>'31'!AD20</f>
        <v>0.99891107078039931</v>
      </c>
      <c r="AG15" s="88">
        <f t="shared" si="0"/>
        <v>0.51839347438743755</v>
      </c>
    </row>
    <row r="16" spans="1:33" ht="21.75" customHeight="1">
      <c r="A16" s="118" t="s">
        <v>73</v>
      </c>
      <c r="B16" s="113">
        <f>'01'!AD21</f>
        <v>0</v>
      </c>
      <c r="C16" s="113">
        <f>'02'!AD21+'02'!AD22</f>
        <v>0.70667259786476877</v>
      </c>
      <c r="D16" s="86">
        <f>'03'!AD19</f>
        <v>0.41666666666666669</v>
      </c>
      <c r="E16" s="86"/>
      <c r="F16" s="86"/>
      <c r="G16" s="86">
        <f>'06'!AD19</f>
        <v>0</v>
      </c>
      <c r="H16" s="86">
        <f>'07'!AD19</f>
        <v>0.33268608414239481</v>
      </c>
      <c r="I16" s="86">
        <f>'08'!AD19</f>
        <v>0.16666666666666666</v>
      </c>
      <c r="J16" s="86">
        <f>'09'!AD21</f>
        <v>0.16666666666666666</v>
      </c>
      <c r="K16" s="86">
        <f>'10'!AD20</f>
        <v>0</v>
      </c>
      <c r="L16" s="86"/>
      <c r="M16" s="86"/>
      <c r="N16" s="86">
        <f>'13'!AD19</f>
        <v>0.33333333333333331</v>
      </c>
      <c r="O16" s="86">
        <f>'14'!AD19</f>
        <v>0.25</v>
      </c>
      <c r="P16" s="86">
        <f>'15'!AD19</f>
        <v>0</v>
      </c>
      <c r="Q16" s="86">
        <f>'16'!AD19</f>
        <v>0</v>
      </c>
      <c r="R16" s="86">
        <f>'17'!AD19</f>
        <v>0</v>
      </c>
      <c r="S16" s="86"/>
      <c r="T16" s="86"/>
      <c r="U16" s="86">
        <f>'20'!AD19</f>
        <v>0</v>
      </c>
      <c r="V16" s="86">
        <f>'21'!AD19</f>
        <v>0.375</v>
      </c>
      <c r="W16" s="86">
        <f>'22'!AD22</f>
        <v>0.58333333333333337</v>
      </c>
      <c r="X16" s="86">
        <f>'23'!AD19</f>
        <v>0.25</v>
      </c>
      <c r="Y16" s="86">
        <f>'24'!AD19</f>
        <v>0</v>
      </c>
      <c r="Z16" s="86"/>
      <c r="AA16" s="86"/>
      <c r="AB16" s="86">
        <f>'27'!AD19</f>
        <v>0</v>
      </c>
      <c r="AC16" s="86">
        <f>'28'!AD19</f>
        <v>0</v>
      </c>
      <c r="AD16" s="86">
        <f>'29'!AD20</f>
        <v>0.58333333333333337</v>
      </c>
      <c r="AE16" s="86">
        <f>'30'!AD19</f>
        <v>1</v>
      </c>
      <c r="AF16" s="87">
        <f>'31'!AD21</f>
        <v>0.75</v>
      </c>
      <c r="AG16" s="88">
        <f t="shared" si="0"/>
        <v>0.19078576393571495</v>
      </c>
    </row>
    <row r="17" spans="1:33" ht="21.75" customHeight="1" thickBot="1">
      <c r="A17" s="119" t="s">
        <v>111</v>
      </c>
      <c r="B17" s="114">
        <f>'01'!AD22</f>
        <v>1</v>
      </c>
      <c r="C17" s="114">
        <f>'02'!AD23</f>
        <v>0.66662649392387263</v>
      </c>
      <c r="D17" s="89">
        <f>'03'!AD20</f>
        <v>0</v>
      </c>
      <c r="E17" s="89"/>
      <c r="F17" s="89"/>
      <c r="G17" s="89">
        <f>'06'!AD20</f>
        <v>0</v>
      </c>
      <c r="H17" s="89">
        <f>'07'!AD20</f>
        <v>0</v>
      </c>
      <c r="I17" s="89">
        <f>'08'!AD20</f>
        <v>0</v>
      </c>
      <c r="J17" s="89">
        <f>'09'!AD22</f>
        <v>0</v>
      </c>
      <c r="K17" s="89">
        <f>'10'!AD21</f>
        <v>0</v>
      </c>
      <c r="L17" s="89"/>
      <c r="M17" s="89"/>
      <c r="N17" s="89">
        <f>'13'!AD20</f>
        <v>0.83324697754749577</v>
      </c>
      <c r="O17" s="89">
        <f>'14'!AD20</f>
        <v>0.91650627004957708</v>
      </c>
      <c r="P17" s="89">
        <f>'15'!AD20</f>
        <v>1.0006739345887017</v>
      </c>
      <c r="Q17" s="89">
        <f>'16'!AD20</f>
        <v>0.99988428158148501</v>
      </c>
      <c r="R17" s="89">
        <f>'17'!AD20</f>
        <v>0.99914396887159529</v>
      </c>
      <c r="S17" s="89"/>
      <c r="T17" s="89"/>
      <c r="U17" s="89">
        <f>'20'!AD20</f>
        <v>0.87496036240090591</v>
      </c>
      <c r="V17" s="89">
        <f>'21'!AD20</f>
        <v>0.99984202211690365</v>
      </c>
      <c r="W17" s="89">
        <f>'22'!AD23</f>
        <v>1</v>
      </c>
      <c r="X17" s="89">
        <f>'23'!AD20</f>
        <v>1</v>
      </c>
      <c r="Y17" s="89">
        <f>'24'!AD20</f>
        <v>1</v>
      </c>
      <c r="Z17" s="89"/>
      <c r="AA17" s="89"/>
      <c r="AB17" s="89">
        <f>'27'!AD20</f>
        <v>1</v>
      </c>
      <c r="AC17" s="89">
        <f>'28'!AD20</f>
        <v>0.99996124782018991</v>
      </c>
      <c r="AD17" s="89">
        <f>'29'!AD21</f>
        <v>0.58333333333333337</v>
      </c>
      <c r="AE17" s="89">
        <f>'30'!AD20</f>
        <v>0.5</v>
      </c>
      <c r="AF17" s="90">
        <f>'31'!AD22</f>
        <v>0</v>
      </c>
      <c r="AG17" s="91">
        <f t="shared" si="0"/>
        <v>0.46368319007206649</v>
      </c>
    </row>
    <row r="18" spans="1:33" s="92" customFormat="1" ht="21.75" customHeight="1">
      <c r="A18" s="96" t="s">
        <v>105</v>
      </c>
      <c r="B18" s="100">
        <f>'01'!AD23</f>
        <v>0.4580678622556732</v>
      </c>
      <c r="C18" s="100">
        <f>'02'!AD24</f>
        <v>0.38351723496562595</v>
      </c>
      <c r="D18" s="101">
        <f>'03'!AD21</f>
        <v>0.14165386584741427</v>
      </c>
      <c r="E18" s="101"/>
      <c r="F18" s="101"/>
      <c r="G18" s="101">
        <f>'06'!AD21</f>
        <v>0.29437627888005125</v>
      </c>
      <c r="H18" s="101">
        <f>'07'!AD21</f>
        <v>0.42190421991065119</v>
      </c>
      <c r="I18" s="101">
        <f>'08'!AD21</f>
        <v>0.27213131313131311</v>
      </c>
      <c r="J18" s="101">
        <f>'09'!AD23</f>
        <v>0.33333333333333337</v>
      </c>
      <c r="K18" s="101">
        <f>'10'!AD22</f>
        <v>0.26315388929866618</v>
      </c>
      <c r="L18" s="101"/>
      <c r="M18" s="101"/>
      <c r="N18" s="101">
        <f>'13'!AD21</f>
        <v>0.35255972500177296</v>
      </c>
      <c r="O18" s="101">
        <f>'14'!AD21</f>
        <v>0.2664863791108017</v>
      </c>
      <c r="P18" s="101">
        <f>'15'!AD21</f>
        <v>0.26095538677338875</v>
      </c>
      <c r="Q18" s="101">
        <f>'16'!AD21</f>
        <v>0.28607906564963342</v>
      </c>
      <c r="R18" s="101">
        <f>'17'!AD21</f>
        <v>0.27625274472120448</v>
      </c>
      <c r="S18" s="101"/>
      <c r="T18" s="101"/>
      <c r="U18" s="101">
        <f>'20'!AD21</f>
        <v>0.23872432249626238</v>
      </c>
      <c r="V18" s="101">
        <f>'21'!AD21</f>
        <v>0.29155586535778777</v>
      </c>
      <c r="W18" s="101">
        <f>'22'!AD24</f>
        <v>0.41636156576774147</v>
      </c>
      <c r="X18" s="101">
        <f>'23'!AD21</f>
        <v>0.35823356009070295</v>
      </c>
      <c r="Y18" s="101">
        <f>'24'!AD21</f>
        <v>0.32217741935483868</v>
      </c>
      <c r="Z18" s="101"/>
      <c r="AA18" s="101"/>
      <c r="AB18" s="101">
        <f>'27'!AD21</f>
        <v>0.483088838422572</v>
      </c>
      <c r="AC18" s="101">
        <f>'28'!AD21</f>
        <v>0.47490537747383327</v>
      </c>
      <c r="AD18" s="101">
        <f>'29'!AD22</f>
        <v>0.44155514932940415</v>
      </c>
      <c r="AE18" s="101">
        <f>'30'!AD21</f>
        <v>0.51930863256676218</v>
      </c>
      <c r="AF18" s="102">
        <f>'31'!AD23</f>
        <v>0.4443046143146529</v>
      </c>
      <c r="AG18" s="105">
        <f t="shared" si="0"/>
        <v>0.25808666593722862</v>
      </c>
    </row>
    <row r="19" spans="1:33" ht="21.75" customHeight="1" thickBot="1">
      <c r="A19" s="75" t="s">
        <v>109</v>
      </c>
      <c r="B19" s="76">
        <v>0.7</v>
      </c>
      <c r="C19" s="77">
        <v>0.7</v>
      </c>
      <c r="D19" s="77">
        <v>0.7</v>
      </c>
      <c r="E19" s="77">
        <v>0.7</v>
      </c>
      <c r="F19" s="77">
        <v>0.7</v>
      </c>
      <c r="G19" s="77">
        <v>0.7</v>
      </c>
      <c r="H19" s="77">
        <v>0.7</v>
      </c>
      <c r="I19" s="77">
        <v>0.7</v>
      </c>
      <c r="J19" s="77">
        <v>0.7</v>
      </c>
      <c r="K19" s="77">
        <v>0.7</v>
      </c>
      <c r="L19" s="77">
        <v>0.7</v>
      </c>
      <c r="M19" s="77">
        <v>0.7</v>
      </c>
      <c r="N19" s="77">
        <v>0.7</v>
      </c>
      <c r="O19" s="77">
        <v>0.7</v>
      </c>
      <c r="P19" s="77">
        <v>0.7</v>
      </c>
      <c r="Q19" s="77">
        <v>0.7</v>
      </c>
      <c r="R19" s="77">
        <v>0.7</v>
      </c>
      <c r="S19" s="77">
        <v>0.7</v>
      </c>
      <c r="T19" s="77">
        <v>0.7</v>
      </c>
      <c r="U19" s="77">
        <v>0.7</v>
      </c>
      <c r="V19" s="77">
        <v>0.7</v>
      </c>
      <c r="W19" s="77">
        <v>0.7</v>
      </c>
      <c r="X19" s="77">
        <v>0.7</v>
      </c>
      <c r="Y19" s="77">
        <v>0.7</v>
      </c>
      <c r="Z19" s="77">
        <v>0.7</v>
      </c>
      <c r="AA19" s="77">
        <v>0.7</v>
      </c>
      <c r="AB19" s="77">
        <v>0.7</v>
      </c>
      <c r="AC19" s="77">
        <v>0.7</v>
      </c>
      <c r="AD19" s="77">
        <v>0.7</v>
      </c>
      <c r="AE19" s="77">
        <v>0.7</v>
      </c>
      <c r="AF19" s="78">
        <v>0.7</v>
      </c>
      <c r="AG19" s="79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88"/>
  <sheetViews>
    <sheetView zoomScale="72" zoomScaleNormal="72" zoomScaleSheetLayoutView="70" workbookViewId="0">
      <selection activeCell="V62" sqref="V62:AD6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158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35" t="s">
        <v>17</v>
      </c>
      <c r="L5" s="135" t="s">
        <v>18</v>
      </c>
      <c r="M5" s="135" t="s">
        <v>19</v>
      </c>
      <c r="N5" s="13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0.4580678622556732</v>
      </c>
      <c r="AF6" s="93">
        <f t="shared" ref="AF6:AF22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0.4580678622556732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143</v>
      </c>
      <c r="D8" s="55" t="s">
        <v>159</v>
      </c>
      <c r="E8" s="57" t="s">
        <v>160</v>
      </c>
      <c r="F8" s="33" t="s">
        <v>161</v>
      </c>
      <c r="G8" s="36">
        <v>1</v>
      </c>
      <c r="H8" s="38">
        <v>25</v>
      </c>
      <c r="I8" s="7">
        <v>4000</v>
      </c>
      <c r="J8" s="5">
        <v>5281</v>
      </c>
      <c r="K8" s="15">
        <f>L8</f>
        <v>5281</v>
      </c>
      <c r="L8" s="15">
        <f>3094+2187</f>
        <v>5281</v>
      </c>
      <c r="M8" s="16">
        <f t="shared" si="0"/>
        <v>5281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0.4580678622556732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162</v>
      </c>
      <c r="D9" s="55" t="s">
        <v>163</v>
      </c>
      <c r="E9" s="57" t="s">
        <v>164</v>
      </c>
      <c r="F9" s="33" t="s">
        <v>165</v>
      </c>
      <c r="G9" s="36" t="s">
        <v>166</v>
      </c>
      <c r="H9" s="38">
        <v>25</v>
      </c>
      <c r="I9" s="7">
        <v>500</v>
      </c>
      <c r="J9" s="5">
        <v>772</v>
      </c>
      <c r="K9" s="15">
        <f>L9</f>
        <v>772</v>
      </c>
      <c r="L9" s="15">
        <f>772</f>
        <v>772</v>
      </c>
      <c r="M9" s="16">
        <f t="shared" si="0"/>
        <v>772</v>
      </c>
      <c r="N9" s="16">
        <v>0</v>
      </c>
      <c r="O9" s="62">
        <f t="shared" si="1"/>
        <v>0</v>
      </c>
      <c r="P9" s="42">
        <f t="shared" si="2"/>
        <v>5</v>
      </c>
      <c r="Q9" s="43">
        <f t="shared" si="3"/>
        <v>19</v>
      </c>
      <c r="R9" s="7"/>
      <c r="S9" s="6"/>
      <c r="T9" s="17"/>
      <c r="U9" s="17"/>
      <c r="V9" s="18"/>
      <c r="W9" s="19">
        <v>19</v>
      </c>
      <c r="X9" s="17"/>
      <c r="Y9" s="20"/>
      <c r="Z9" s="20"/>
      <c r="AA9" s="21"/>
      <c r="AB9" s="8">
        <f t="shared" si="4"/>
        <v>1</v>
      </c>
      <c r="AC9" s="9">
        <f t="shared" si="5"/>
        <v>0.20833333333333334</v>
      </c>
      <c r="AD9" s="10">
        <f t="shared" si="6"/>
        <v>0.20833333333333334</v>
      </c>
      <c r="AE9" s="39">
        <f t="shared" si="7"/>
        <v>0.4580678622556732</v>
      </c>
      <c r="AF9" s="93">
        <f t="shared" si="8"/>
        <v>4</v>
      </c>
    </row>
    <row r="10" spans="1:32" ht="27" customHeight="1">
      <c r="A10" s="109">
        <v>4</v>
      </c>
      <c r="B10" s="11" t="s">
        <v>57</v>
      </c>
      <c r="C10" s="37" t="s">
        <v>167</v>
      </c>
      <c r="D10" s="55" t="s">
        <v>168</v>
      </c>
      <c r="E10" s="57" t="s">
        <v>169</v>
      </c>
      <c r="F10" s="33" t="s">
        <v>170</v>
      </c>
      <c r="G10" s="36">
        <v>1</v>
      </c>
      <c r="H10" s="38">
        <v>25</v>
      </c>
      <c r="I10" s="7">
        <v>4500</v>
      </c>
      <c r="J10" s="5">
        <v>4015</v>
      </c>
      <c r="K10" s="15">
        <f>L10</f>
        <v>4015</v>
      </c>
      <c r="L10" s="15">
        <v>4015</v>
      </c>
      <c r="M10" s="16">
        <f t="shared" ref="M10" si="9">L10-N10</f>
        <v>4015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16</v>
      </c>
      <c r="Q10" s="43">
        <f t="shared" ref="Q10" si="12">SUM(R10:AA10)</f>
        <v>8</v>
      </c>
      <c r="R10" s="7"/>
      <c r="S10" s="6">
        <v>8</v>
      </c>
      <c r="T10" s="17"/>
      <c r="U10" s="17"/>
      <c r="V10" s="18"/>
      <c r="W10" s="19"/>
      <c r="X10" s="17"/>
      <c r="Y10" s="20"/>
      <c r="Z10" s="20"/>
      <c r="AA10" s="21"/>
      <c r="AB10" s="8">
        <f t="shared" ref="AB10" si="13">IF(J10=0,"0",(L10/J10))</f>
        <v>1</v>
      </c>
      <c r="AC10" s="9">
        <f t="shared" ref="AC10" si="14">IF(P10=0,"0",(P10/24))</f>
        <v>0.66666666666666663</v>
      </c>
      <c r="AD10" s="10">
        <f t="shared" ref="AD10" si="15">AC10*AB10*(1-O10)</f>
        <v>0.66666666666666663</v>
      </c>
      <c r="AE10" s="39">
        <f t="shared" si="7"/>
        <v>0.4580678622556732</v>
      </c>
      <c r="AF10" s="93">
        <f t="shared" ref="AF10" si="16">A10</f>
        <v>4</v>
      </c>
    </row>
    <row r="11" spans="1:32" ht="27" customHeight="1">
      <c r="A11" s="109">
        <v>5</v>
      </c>
      <c r="B11" s="11" t="s">
        <v>57</v>
      </c>
      <c r="C11" s="11" t="s">
        <v>143</v>
      </c>
      <c r="D11" s="55" t="s">
        <v>171</v>
      </c>
      <c r="E11" s="57" t="s">
        <v>172</v>
      </c>
      <c r="F11" s="12" t="s">
        <v>144</v>
      </c>
      <c r="G11" s="12">
        <v>1</v>
      </c>
      <c r="H11" s="13">
        <v>25</v>
      </c>
      <c r="I11" s="7">
        <v>4000</v>
      </c>
      <c r="J11" s="14">
        <v>5452</v>
      </c>
      <c r="K11" s="15">
        <f>L11</f>
        <v>5452</v>
      </c>
      <c r="L11" s="15">
        <f>2878+2574</f>
        <v>5452</v>
      </c>
      <c r="M11" s="16">
        <f t="shared" si="0"/>
        <v>5452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0.4580678622556732</v>
      </c>
      <c r="AF11" s="93">
        <f t="shared" si="8"/>
        <v>5</v>
      </c>
    </row>
    <row r="12" spans="1:32" ht="27" customHeight="1">
      <c r="A12" s="109">
        <v>6</v>
      </c>
      <c r="B12" s="11" t="s">
        <v>57</v>
      </c>
      <c r="C12" s="37" t="s">
        <v>148</v>
      </c>
      <c r="D12" s="55" t="s">
        <v>149</v>
      </c>
      <c r="E12" s="57" t="s">
        <v>150</v>
      </c>
      <c r="F12" s="12" t="s">
        <v>151</v>
      </c>
      <c r="G12" s="12">
        <v>1</v>
      </c>
      <c r="H12" s="13">
        <v>25</v>
      </c>
      <c r="I12" s="34">
        <v>4000</v>
      </c>
      <c r="J12" s="5">
        <v>1720</v>
      </c>
      <c r="K12" s="15">
        <f>L12+4857</f>
        <v>6577</v>
      </c>
      <c r="L12" s="15">
        <v>1720</v>
      </c>
      <c r="M12" s="16">
        <f t="shared" si="0"/>
        <v>1720</v>
      </c>
      <c r="N12" s="16">
        <v>0</v>
      </c>
      <c r="O12" s="62">
        <f t="shared" si="1"/>
        <v>0</v>
      </c>
      <c r="P12" s="42">
        <f t="shared" si="2"/>
        <v>5</v>
      </c>
      <c r="Q12" s="43">
        <f t="shared" si="3"/>
        <v>19</v>
      </c>
      <c r="R12" s="7"/>
      <c r="S12" s="6"/>
      <c r="T12" s="17"/>
      <c r="U12" s="17"/>
      <c r="V12" s="18"/>
      <c r="W12" s="19">
        <v>19</v>
      </c>
      <c r="X12" s="17"/>
      <c r="Y12" s="20"/>
      <c r="Z12" s="20"/>
      <c r="AA12" s="21"/>
      <c r="AB12" s="8">
        <f t="shared" si="4"/>
        <v>1</v>
      </c>
      <c r="AC12" s="9">
        <f t="shared" si="5"/>
        <v>0.20833333333333334</v>
      </c>
      <c r="AD12" s="10">
        <f t="shared" si="6"/>
        <v>0.20833333333333334</v>
      </c>
      <c r="AE12" s="39">
        <f t="shared" si="7"/>
        <v>0.4580678622556732</v>
      </c>
      <c r="AF12" s="93">
        <f t="shared" si="8"/>
        <v>6</v>
      </c>
    </row>
    <row r="13" spans="1:32" ht="27" customHeight="1">
      <c r="A13" s="109">
        <v>6</v>
      </c>
      <c r="B13" s="11" t="s">
        <v>57</v>
      </c>
      <c r="C13" s="37" t="s">
        <v>162</v>
      </c>
      <c r="D13" s="55" t="s">
        <v>173</v>
      </c>
      <c r="E13" s="57" t="s">
        <v>174</v>
      </c>
      <c r="F13" s="12" t="s">
        <v>133</v>
      </c>
      <c r="G13" s="12">
        <v>1</v>
      </c>
      <c r="H13" s="13">
        <v>25</v>
      </c>
      <c r="I13" s="34">
        <v>250</v>
      </c>
      <c r="J13" s="5">
        <v>400</v>
      </c>
      <c r="K13" s="15">
        <f>L13</f>
        <v>397</v>
      </c>
      <c r="L13" s="15">
        <v>397</v>
      </c>
      <c r="M13" s="16">
        <f t="shared" ref="M13" si="17">L13-N13</f>
        <v>397</v>
      </c>
      <c r="N13" s="16">
        <v>0</v>
      </c>
      <c r="O13" s="62">
        <f t="shared" ref="O13" si="18">IF(L13=0,"0",N13/L13)</f>
        <v>0</v>
      </c>
      <c r="P13" s="42">
        <f t="shared" ref="P13" si="19">IF(L13=0,"0",(24-Q13))</f>
        <v>4</v>
      </c>
      <c r="Q13" s="43">
        <f t="shared" ref="Q13" si="20">SUM(R13:AA13)</f>
        <v>20</v>
      </c>
      <c r="R13" s="7"/>
      <c r="S13" s="6"/>
      <c r="T13" s="17"/>
      <c r="U13" s="17"/>
      <c r="V13" s="18"/>
      <c r="W13" s="19">
        <v>20</v>
      </c>
      <c r="X13" s="17"/>
      <c r="Y13" s="20"/>
      <c r="Z13" s="20"/>
      <c r="AA13" s="21"/>
      <c r="AB13" s="8">
        <f t="shared" ref="AB13" si="21">IF(J13=0,"0",(L13/J13))</f>
        <v>0.99250000000000005</v>
      </c>
      <c r="AC13" s="9">
        <f t="shared" ref="AC13" si="22">IF(P13=0,"0",(P13/24))</f>
        <v>0.16666666666666666</v>
      </c>
      <c r="AD13" s="10">
        <f t="shared" ref="AD13" si="23">AC13*AB13*(1-O13)</f>
        <v>0.16541666666666666</v>
      </c>
      <c r="AE13" s="39">
        <f t="shared" si="7"/>
        <v>0.4580678622556732</v>
      </c>
      <c r="AF13" s="93">
        <f t="shared" ref="AF13" si="24">A13</f>
        <v>6</v>
      </c>
    </row>
    <row r="14" spans="1:32" ht="27" customHeight="1">
      <c r="A14" s="109">
        <v>7</v>
      </c>
      <c r="B14" s="11" t="s">
        <v>57</v>
      </c>
      <c r="C14" s="11" t="s">
        <v>147</v>
      </c>
      <c r="D14" s="55" t="s">
        <v>152</v>
      </c>
      <c r="E14" s="57" t="s">
        <v>153</v>
      </c>
      <c r="F14" s="12" t="s">
        <v>154</v>
      </c>
      <c r="G14" s="12">
        <v>1</v>
      </c>
      <c r="H14" s="13">
        <v>25</v>
      </c>
      <c r="I14" s="7">
        <v>36000</v>
      </c>
      <c r="J14" s="14">
        <v>5360</v>
      </c>
      <c r="K14" s="15">
        <f>L14+2996</f>
        <v>8353</v>
      </c>
      <c r="L14" s="15">
        <f>2787+2570</f>
        <v>5357</v>
      </c>
      <c r="M14" s="16">
        <f t="shared" ref="M14" si="25">L14-N14</f>
        <v>5357</v>
      </c>
      <c r="N14" s="16">
        <v>0</v>
      </c>
      <c r="O14" s="62">
        <f t="shared" ref="O14" si="26">IF(L14=0,"0",N14/L14)</f>
        <v>0</v>
      </c>
      <c r="P14" s="42">
        <f t="shared" ref="P14" si="27">IF(L14=0,"0",(24-Q14))</f>
        <v>24</v>
      </c>
      <c r="Q14" s="43">
        <f t="shared" ref="Q14" si="28">SUM(R14:AA14)</f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ref="AB14" si="29">IF(J14=0,"0",(L14/J14))</f>
        <v>0.99944029850746263</v>
      </c>
      <c r="AC14" s="9">
        <f t="shared" ref="AC14" si="30">IF(P14=0,"0",(P14/24))</f>
        <v>1</v>
      </c>
      <c r="AD14" s="10">
        <f t="shared" ref="AD14" si="31">AC14*AB14*(1-O14)</f>
        <v>0.99944029850746263</v>
      </c>
      <c r="AE14" s="39">
        <f t="shared" si="7"/>
        <v>0.4580678622556732</v>
      </c>
      <c r="AF14" s="93">
        <f t="shared" ref="AF14" si="32">A14</f>
        <v>7</v>
      </c>
    </row>
    <row r="15" spans="1:32" ht="27" customHeight="1">
      <c r="A15" s="109">
        <v>8</v>
      </c>
      <c r="B15" s="11" t="s">
        <v>57</v>
      </c>
      <c r="C15" s="11" t="s">
        <v>125</v>
      </c>
      <c r="D15" s="55" t="s">
        <v>123</v>
      </c>
      <c r="E15" s="57" t="s">
        <v>145</v>
      </c>
      <c r="F15" s="12" t="s">
        <v>132</v>
      </c>
      <c r="G15" s="12">
        <v>1</v>
      </c>
      <c r="H15" s="13">
        <v>25</v>
      </c>
      <c r="I15" s="7">
        <v>40000</v>
      </c>
      <c r="J15" s="14">
        <v>3640</v>
      </c>
      <c r="K15" s="15">
        <f>L15+689+4617</f>
        <v>8942</v>
      </c>
      <c r="L15" s="15">
        <f>2650+986</f>
        <v>3636</v>
      </c>
      <c r="M15" s="16">
        <f t="shared" si="0"/>
        <v>3636</v>
      </c>
      <c r="N15" s="16">
        <v>0</v>
      </c>
      <c r="O15" s="62">
        <f t="shared" si="1"/>
        <v>0</v>
      </c>
      <c r="P15" s="42">
        <f t="shared" si="2"/>
        <v>20</v>
      </c>
      <c r="Q15" s="43">
        <f t="shared" si="3"/>
        <v>4</v>
      </c>
      <c r="R15" s="7"/>
      <c r="S15" s="6">
        <v>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0.99890109890109891</v>
      </c>
      <c r="AC15" s="9">
        <f t="shared" si="5"/>
        <v>0.83333333333333337</v>
      </c>
      <c r="AD15" s="10">
        <f t="shared" si="6"/>
        <v>0.83241758241758246</v>
      </c>
      <c r="AE15" s="39">
        <f t="shared" si="7"/>
        <v>0.4580678622556732</v>
      </c>
      <c r="AF15" s="93">
        <f t="shared" si="8"/>
        <v>8</v>
      </c>
    </row>
    <row r="16" spans="1:32" ht="27" customHeight="1">
      <c r="A16" s="108">
        <v>9</v>
      </c>
      <c r="B16" s="11" t="s">
        <v>57</v>
      </c>
      <c r="C16" s="37" t="s">
        <v>114</v>
      </c>
      <c r="D16" s="55" t="s">
        <v>123</v>
      </c>
      <c r="E16" s="57" t="s">
        <v>137</v>
      </c>
      <c r="F16" s="33" t="s">
        <v>129</v>
      </c>
      <c r="G16" s="36">
        <v>1</v>
      </c>
      <c r="H16" s="38">
        <v>25</v>
      </c>
      <c r="I16" s="7">
        <v>200</v>
      </c>
      <c r="J16" s="5">
        <v>280</v>
      </c>
      <c r="K16" s="15">
        <f>L16+280</f>
        <v>280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0.4580678622556732</v>
      </c>
      <c r="AF16" s="93">
        <f t="shared" si="8"/>
        <v>9</v>
      </c>
    </row>
    <row r="17" spans="1:32" ht="27" customHeight="1">
      <c r="A17" s="108">
        <v>10</v>
      </c>
      <c r="B17" s="11" t="s">
        <v>57</v>
      </c>
      <c r="C17" s="11" t="s">
        <v>125</v>
      </c>
      <c r="D17" s="55" t="s">
        <v>126</v>
      </c>
      <c r="E17" s="57" t="s">
        <v>136</v>
      </c>
      <c r="F17" s="12" t="s">
        <v>135</v>
      </c>
      <c r="G17" s="12">
        <v>1</v>
      </c>
      <c r="H17" s="13">
        <v>24</v>
      </c>
      <c r="I17" s="34">
        <v>1100</v>
      </c>
      <c r="J17" s="14">
        <v>1430</v>
      </c>
      <c r="K17" s="15">
        <f>L17+1423</f>
        <v>1423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0.4580678622556732</v>
      </c>
      <c r="AF17" s="93">
        <f t="shared" si="8"/>
        <v>10</v>
      </c>
    </row>
    <row r="18" spans="1:32" ht="27" customHeight="1">
      <c r="A18" s="108">
        <v>11</v>
      </c>
      <c r="B18" s="11" t="s">
        <v>57</v>
      </c>
      <c r="C18" s="37" t="s">
        <v>114</v>
      </c>
      <c r="D18" s="55" t="s">
        <v>138</v>
      </c>
      <c r="E18" s="57" t="s">
        <v>139</v>
      </c>
      <c r="F18" s="33" t="s">
        <v>134</v>
      </c>
      <c r="G18" s="36">
        <v>1</v>
      </c>
      <c r="H18" s="38">
        <v>25</v>
      </c>
      <c r="I18" s="7">
        <v>12000</v>
      </c>
      <c r="J18" s="5">
        <v>4150</v>
      </c>
      <c r="K18" s="15">
        <f>L18+4095+4538+4147</f>
        <v>12780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0.4580678622556732</v>
      </c>
      <c r="AF18" s="93">
        <f t="shared" si="8"/>
        <v>11</v>
      </c>
    </row>
    <row r="19" spans="1:32" ht="27" customHeight="1">
      <c r="A19" s="108">
        <v>12</v>
      </c>
      <c r="B19" s="11" t="s">
        <v>57</v>
      </c>
      <c r="C19" s="11" t="s">
        <v>114</v>
      </c>
      <c r="D19" s="55" t="s">
        <v>141</v>
      </c>
      <c r="E19" s="57" t="s">
        <v>142</v>
      </c>
      <c r="F19" s="12">
        <v>8301</v>
      </c>
      <c r="G19" s="12">
        <v>1</v>
      </c>
      <c r="H19" s="13">
        <v>24</v>
      </c>
      <c r="I19" s="34">
        <v>6800</v>
      </c>
      <c r="J19" s="14">
        <v>3960</v>
      </c>
      <c r="K19" s="15">
        <f>L19</f>
        <v>0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>
        <v>24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0.4580678622556732</v>
      </c>
      <c r="AF19" s="93">
        <f t="shared" si="8"/>
        <v>12</v>
      </c>
    </row>
    <row r="20" spans="1:32" ht="27" customHeight="1">
      <c r="A20" s="109">
        <v>13</v>
      </c>
      <c r="B20" s="11" t="s">
        <v>57</v>
      </c>
      <c r="C20" s="37" t="s">
        <v>175</v>
      </c>
      <c r="D20" s="55" t="s">
        <v>176</v>
      </c>
      <c r="E20" s="57" t="s">
        <v>177</v>
      </c>
      <c r="F20" s="12" t="s">
        <v>178</v>
      </c>
      <c r="G20" s="36">
        <v>1</v>
      </c>
      <c r="H20" s="38">
        <v>30</v>
      </c>
      <c r="I20" s="7">
        <v>4000</v>
      </c>
      <c r="J20" s="5">
        <v>3150</v>
      </c>
      <c r="K20" s="15">
        <f>L20</f>
        <v>3145</v>
      </c>
      <c r="L20" s="15">
        <f>298+2847</f>
        <v>3145</v>
      </c>
      <c r="M20" s="16">
        <f t="shared" si="0"/>
        <v>3145</v>
      </c>
      <c r="N20" s="16">
        <v>0</v>
      </c>
      <c r="O20" s="62">
        <f t="shared" si="1"/>
        <v>0</v>
      </c>
      <c r="P20" s="42">
        <f t="shared" si="2"/>
        <v>19</v>
      </c>
      <c r="Q20" s="43">
        <f t="shared" si="3"/>
        <v>5</v>
      </c>
      <c r="R20" s="7"/>
      <c r="S20" s="6">
        <v>5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0.99841269841269842</v>
      </c>
      <c r="AC20" s="9">
        <f t="shared" si="5"/>
        <v>0.79166666666666663</v>
      </c>
      <c r="AD20" s="10">
        <f t="shared" si="6"/>
        <v>0.79041005291005284</v>
      </c>
      <c r="AE20" s="39">
        <f t="shared" si="7"/>
        <v>0.4580678622556732</v>
      </c>
      <c r="AF20" s="93">
        <f t="shared" si="8"/>
        <v>13</v>
      </c>
    </row>
    <row r="21" spans="1:32" ht="27" customHeight="1">
      <c r="A21" s="109">
        <v>14</v>
      </c>
      <c r="B21" s="11" t="s">
        <v>57</v>
      </c>
      <c r="C21" s="37" t="s">
        <v>148</v>
      </c>
      <c r="D21" s="55" t="s">
        <v>152</v>
      </c>
      <c r="E21" s="57" t="s">
        <v>155</v>
      </c>
      <c r="F21" s="33" t="s">
        <v>154</v>
      </c>
      <c r="G21" s="12">
        <v>1</v>
      </c>
      <c r="H21" s="13">
        <v>25</v>
      </c>
      <c r="I21" s="34">
        <v>4000</v>
      </c>
      <c r="J21" s="5">
        <v>5440</v>
      </c>
      <c r="K21" s="15">
        <f>L21+5440</f>
        <v>5440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/>
      <c r="X21" s="17"/>
      <c r="Y21" s="20"/>
      <c r="Z21" s="20"/>
      <c r="AA21" s="21">
        <v>24</v>
      </c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0.4580678622556732</v>
      </c>
      <c r="AF21" s="93">
        <f t="shared" si="8"/>
        <v>14</v>
      </c>
    </row>
    <row r="22" spans="1:32" ht="27" customHeight="1" thickBot="1">
      <c r="A22" s="109">
        <v>15</v>
      </c>
      <c r="B22" s="11" t="s">
        <v>57</v>
      </c>
      <c r="C22" s="11" t="s">
        <v>121</v>
      </c>
      <c r="D22" s="55"/>
      <c r="E22" s="56" t="s">
        <v>140</v>
      </c>
      <c r="F22" s="12" t="s">
        <v>122</v>
      </c>
      <c r="G22" s="12">
        <v>4</v>
      </c>
      <c r="H22" s="38">
        <v>20</v>
      </c>
      <c r="I22" s="7">
        <v>500000</v>
      </c>
      <c r="J22" s="14">
        <v>51820</v>
      </c>
      <c r="K22" s="15">
        <f>L22+45528+23236+46280+51612</f>
        <v>218476</v>
      </c>
      <c r="L22" s="15">
        <f>6209*4+6746*4</f>
        <v>51820</v>
      </c>
      <c r="M22" s="16">
        <f t="shared" si="0"/>
        <v>51820</v>
      </c>
      <c r="N22" s="16">
        <v>0</v>
      </c>
      <c r="O22" s="62">
        <f t="shared" si="1"/>
        <v>0</v>
      </c>
      <c r="P22" s="42">
        <f t="shared" si="2"/>
        <v>24</v>
      </c>
      <c r="Q22" s="43">
        <f t="shared" si="3"/>
        <v>0</v>
      </c>
      <c r="R22" s="7"/>
      <c r="S22" s="6"/>
      <c r="T22" s="17"/>
      <c r="U22" s="17"/>
      <c r="V22" s="18"/>
      <c r="W22" s="19"/>
      <c r="X22" s="17"/>
      <c r="Y22" s="20"/>
      <c r="Z22" s="20"/>
      <c r="AA22" s="21"/>
      <c r="AB22" s="8">
        <f t="shared" si="4"/>
        <v>1</v>
      </c>
      <c r="AC22" s="9">
        <f t="shared" si="5"/>
        <v>1</v>
      </c>
      <c r="AD22" s="10">
        <f t="shared" si="6"/>
        <v>1</v>
      </c>
      <c r="AE22" s="39">
        <f t="shared" si="7"/>
        <v>0.4580678622556732</v>
      </c>
      <c r="AF22" s="93">
        <f t="shared" si="8"/>
        <v>15</v>
      </c>
    </row>
    <row r="23" spans="1:32" ht="31.5" customHeight="1" thickBot="1">
      <c r="A23" s="450" t="s">
        <v>34</v>
      </c>
      <c r="B23" s="451"/>
      <c r="C23" s="451"/>
      <c r="D23" s="451"/>
      <c r="E23" s="451"/>
      <c r="F23" s="451"/>
      <c r="G23" s="451"/>
      <c r="H23" s="452"/>
      <c r="I23" s="25">
        <f t="shared" ref="I23:N23" si="33">SUM(I6:I22)</f>
        <v>822350</v>
      </c>
      <c r="J23" s="22">
        <f t="shared" si="33"/>
        <v>134510</v>
      </c>
      <c r="K23" s="23">
        <f t="shared" si="33"/>
        <v>468611</v>
      </c>
      <c r="L23" s="24">
        <f t="shared" si="33"/>
        <v>81595</v>
      </c>
      <c r="M23" s="23">
        <f t="shared" si="33"/>
        <v>81595</v>
      </c>
      <c r="N23" s="24">
        <f t="shared" si="33"/>
        <v>0</v>
      </c>
      <c r="O23" s="44">
        <f t="shared" si="1"/>
        <v>0</v>
      </c>
      <c r="P23" s="45">
        <f t="shared" ref="P23:AA23" si="34">SUM(P6:P22)</f>
        <v>165</v>
      </c>
      <c r="Q23" s="46">
        <f t="shared" si="34"/>
        <v>243</v>
      </c>
      <c r="R23" s="26">
        <f t="shared" si="34"/>
        <v>24</v>
      </c>
      <c r="S23" s="27">
        <f t="shared" si="34"/>
        <v>41</v>
      </c>
      <c r="T23" s="27">
        <f t="shared" si="34"/>
        <v>0</v>
      </c>
      <c r="U23" s="27">
        <f t="shared" si="34"/>
        <v>0</v>
      </c>
      <c r="V23" s="28">
        <f t="shared" si="34"/>
        <v>0</v>
      </c>
      <c r="W23" s="29">
        <f t="shared" si="34"/>
        <v>154</v>
      </c>
      <c r="X23" s="30">
        <f t="shared" si="34"/>
        <v>0</v>
      </c>
      <c r="Y23" s="30">
        <f t="shared" si="34"/>
        <v>0</v>
      </c>
      <c r="Z23" s="30">
        <f t="shared" si="34"/>
        <v>0</v>
      </c>
      <c r="AA23" s="30">
        <f t="shared" si="34"/>
        <v>24</v>
      </c>
      <c r="AB23" s="31">
        <f>SUM(AB6:AB22)/15</f>
        <v>0.66595027305475063</v>
      </c>
      <c r="AC23" s="4">
        <f>SUM(AC6:AC22)/15</f>
        <v>0.45833333333333331</v>
      </c>
      <c r="AD23" s="4">
        <f>SUM(AD6:AD22)/15</f>
        <v>0.4580678622556732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4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453" t="s">
        <v>45</v>
      </c>
      <c r="B50" s="453"/>
      <c r="C50" s="453"/>
      <c r="D50" s="453"/>
      <c r="E50" s="453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454" t="s">
        <v>180</v>
      </c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6"/>
      <c r="N51" s="457" t="s">
        <v>197</v>
      </c>
      <c r="O51" s="458"/>
      <c r="P51" s="458"/>
      <c r="Q51" s="458"/>
      <c r="R51" s="458"/>
      <c r="S51" s="458"/>
      <c r="T51" s="458"/>
      <c r="U51" s="458"/>
      <c r="V51" s="458"/>
      <c r="W51" s="458"/>
      <c r="X51" s="458"/>
      <c r="Y51" s="458"/>
      <c r="Z51" s="458"/>
      <c r="AA51" s="458"/>
      <c r="AB51" s="458"/>
      <c r="AC51" s="458"/>
      <c r="AD51" s="459"/>
    </row>
    <row r="52" spans="1:32" ht="27" customHeight="1">
      <c r="A52" s="460" t="s">
        <v>2</v>
      </c>
      <c r="B52" s="461"/>
      <c r="C52" s="134" t="s">
        <v>46</v>
      </c>
      <c r="D52" s="134" t="s">
        <v>47</v>
      </c>
      <c r="E52" s="134" t="s">
        <v>108</v>
      </c>
      <c r="F52" s="461" t="s">
        <v>107</v>
      </c>
      <c r="G52" s="461"/>
      <c r="H52" s="461"/>
      <c r="I52" s="461"/>
      <c r="J52" s="461"/>
      <c r="K52" s="461"/>
      <c r="L52" s="461"/>
      <c r="M52" s="462"/>
      <c r="N52" s="73" t="s">
        <v>112</v>
      </c>
      <c r="O52" s="134" t="s">
        <v>46</v>
      </c>
      <c r="P52" s="463" t="s">
        <v>47</v>
      </c>
      <c r="Q52" s="464"/>
      <c r="R52" s="463" t="s">
        <v>38</v>
      </c>
      <c r="S52" s="465"/>
      <c r="T52" s="465"/>
      <c r="U52" s="464"/>
      <c r="V52" s="463" t="s">
        <v>48</v>
      </c>
      <c r="W52" s="465"/>
      <c r="X52" s="465"/>
      <c r="Y52" s="465"/>
      <c r="Z52" s="465"/>
      <c r="AA52" s="465"/>
      <c r="AB52" s="465"/>
      <c r="AC52" s="465"/>
      <c r="AD52" s="466"/>
    </row>
    <row r="53" spans="1:32" ht="27" customHeight="1">
      <c r="A53" s="439" t="s">
        <v>175</v>
      </c>
      <c r="B53" s="440"/>
      <c r="C53" s="131" t="s">
        <v>181</v>
      </c>
      <c r="D53" s="131" t="s">
        <v>159</v>
      </c>
      <c r="E53" s="131" t="s">
        <v>160</v>
      </c>
      <c r="F53" s="431" t="s">
        <v>146</v>
      </c>
      <c r="G53" s="431"/>
      <c r="H53" s="431"/>
      <c r="I53" s="431"/>
      <c r="J53" s="431"/>
      <c r="K53" s="431"/>
      <c r="L53" s="431"/>
      <c r="M53" s="441"/>
      <c r="N53" s="130" t="s">
        <v>199</v>
      </c>
      <c r="O53" s="124" t="s">
        <v>184</v>
      </c>
      <c r="P53" s="440" t="s">
        <v>200</v>
      </c>
      <c r="Q53" s="440"/>
      <c r="R53" s="440" t="s">
        <v>198</v>
      </c>
      <c r="S53" s="440"/>
      <c r="T53" s="440"/>
      <c r="U53" s="440"/>
      <c r="V53" s="431" t="s">
        <v>130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131</v>
      </c>
      <c r="B54" s="440"/>
      <c r="C54" s="131" t="s">
        <v>182</v>
      </c>
      <c r="D54" s="131" t="s">
        <v>163</v>
      </c>
      <c r="E54" s="131" t="s">
        <v>164</v>
      </c>
      <c r="F54" s="431" t="s">
        <v>130</v>
      </c>
      <c r="G54" s="431"/>
      <c r="H54" s="431"/>
      <c r="I54" s="431"/>
      <c r="J54" s="431"/>
      <c r="K54" s="431"/>
      <c r="L54" s="431"/>
      <c r="M54" s="441"/>
      <c r="N54" s="130" t="s">
        <v>202</v>
      </c>
      <c r="O54" s="124" t="s">
        <v>188</v>
      </c>
      <c r="P54" s="440" t="s">
        <v>201</v>
      </c>
      <c r="Q54" s="440"/>
      <c r="R54" s="440"/>
      <c r="S54" s="440"/>
      <c r="T54" s="440"/>
      <c r="U54" s="440"/>
      <c r="V54" s="431" t="s">
        <v>130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167</v>
      </c>
      <c r="B55" s="440"/>
      <c r="C55" s="131" t="s">
        <v>184</v>
      </c>
      <c r="D55" s="131" t="s">
        <v>185</v>
      </c>
      <c r="E55" s="131" t="s">
        <v>183</v>
      </c>
      <c r="F55" s="431" t="s">
        <v>186</v>
      </c>
      <c r="G55" s="431"/>
      <c r="H55" s="431"/>
      <c r="I55" s="431"/>
      <c r="J55" s="431"/>
      <c r="K55" s="431"/>
      <c r="L55" s="431"/>
      <c r="M55" s="441"/>
      <c r="N55" s="130" t="s">
        <v>199</v>
      </c>
      <c r="O55" s="124" t="s">
        <v>204</v>
      </c>
      <c r="P55" s="440" t="s">
        <v>195</v>
      </c>
      <c r="Q55" s="440"/>
      <c r="R55" s="440" t="s">
        <v>203</v>
      </c>
      <c r="S55" s="440"/>
      <c r="T55" s="440"/>
      <c r="U55" s="440"/>
      <c r="V55" s="431" t="s">
        <v>205</v>
      </c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175</v>
      </c>
      <c r="B56" s="440"/>
      <c r="C56" s="131" t="s">
        <v>188</v>
      </c>
      <c r="D56" s="131" t="s">
        <v>189</v>
      </c>
      <c r="E56" s="131" t="s">
        <v>187</v>
      </c>
      <c r="F56" s="431" t="s">
        <v>130</v>
      </c>
      <c r="G56" s="431"/>
      <c r="H56" s="431"/>
      <c r="I56" s="431"/>
      <c r="J56" s="431"/>
      <c r="K56" s="431"/>
      <c r="L56" s="431"/>
      <c r="M56" s="441"/>
      <c r="N56" s="130" t="s">
        <v>208</v>
      </c>
      <c r="O56" s="124" t="s">
        <v>209</v>
      </c>
      <c r="P56" s="440" t="s">
        <v>189</v>
      </c>
      <c r="Q56" s="440"/>
      <c r="R56" s="440" t="s">
        <v>207</v>
      </c>
      <c r="S56" s="440"/>
      <c r="T56" s="440"/>
      <c r="U56" s="440"/>
      <c r="V56" s="431" t="s">
        <v>130</v>
      </c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 t="s">
        <v>162</v>
      </c>
      <c r="B57" s="440"/>
      <c r="C57" s="131" t="s">
        <v>191</v>
      </c>
      <c r="D57" s="131" t="s">
        <v>192</v>
      </c>
      <c r="E57" s="131" t="s">
        <v>190</v>
      </c>
      <c r="F57" s="431" t="s">
        <v>130</v>
      </c>
      <c r="G57" s="431"/>
      <c r="H57" s="431"/>
      <c r="I57" s="431"/>
      <c r="J57" s="431"/>
      <c r="K57" s="431"/>
      <c r="L57" s="431"/>
      <c r="M57" s="441"/>
      <c r="N57" s="130" t="s">
        <v>199</v>
      </c>
      <c r="O57" s="124" t="s">
        <v>209</v>
      </c>
      <c r="P57" s="440" t="s">
        <v>195</v>
      </c>
      <c r="Q57" s="440"/>
      <c r="R57" s="440" t="s">
        <v>210</v>
      </c>
      <c r="S57" s="440"/>
      <c r="T57" s="440"/>
      <c r="U57" s="440"/>
      <c r="V57" s="431" t="s">
        <v>130</v>
      </c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 t="s">
        <v>175</v>
      </c>
      <c r="B58" s="440"/>
      <c r="C58" s="131" t="s">
        <v>194</v>
      </c>
      <c r="D58" s="131" t="s">
        <v>195</v>
      </c>
      <c r="E58" s="131" t="s">
        <v>193</v>
      </c>
      <c r="F58" s="431" t="s">
        <v>196</v>
      </c>
      <c r="G58" s="431"/>
      <c r="H58" s="431"/>
      <c r="I58" s="431"/>
      <c r="J58" s="431"/>
      <c r="K58" s="431"/>
      <c r="L58" s="431"/>
      <c r="M58" s="441"/>
      <c r="N58" s="130"/>
      <c r="O58" s="124"/>
      <c r="P58" s="440"/>
      <c r="Q58" s="440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 t="s">
        <v>167</v>
      </c>
      <c r="B59" s="440"/>
      <c r="C59" s="131" t="s">
        <v>204</v>
      </c>
      <c r="D59" s="131" t="s">
        <v>195</v>
      </c>
      <c r="E59" s="131" t="s">
        <v>203</v>
      </c>
      <c r="F59" s="431" t="s">
        <v>206</v>
      </c>
      <c r="G59" s="431"/>
      <c r="H59" s="431"/>
      <c r="I59" s="431"/>
      <c r="J59" s="431"/>
      <c r="K59" s="431"/>
      <c r="L59" s="431"/>
      <c r="M59" s="441"/>
      <c r="N59" s="130"/>
      <c r="O59" s="124"/>
      <c r="P59" s="446"/>
      <c r="Q59" s="447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</row>
    <row r="60" spans="1:32" ht="27" customHeight="1">
      <c r="A60" s="439"/>
      <c r="B60" s="440"/>
      <c r="C60" s="131"/>
      <c r="D60" s="131"/>
      <c r="E60" s="131"/>
      <c r="F60" s="431"/>
      <c r="G60" s="431"/>
      <c r="H60" s="431"/>
      <c r="I60" s="431"/>
      <c r="J60" s="431"/>
      <c r="K60" s="431"/>
      <c r="L60" s="431"/>
      <c r="M60" s="441"/>
      <c r="N60" s="130"/>
      <c r="O60" s="124"/>
      <c r="P60" s="446"/>
      <c r="Q60" s="447"/>
      <c r="R60" s="440"/>
      <c r="S60" s="440"/>
      <c r="T60" s="440"/>
      <c r="U60" s="440"/>
      <c r="V60" s="431"/>
      <c r="W60" s="431"/>
      <c r="X60" s="431"/>
      <c r="Y60" s="431"/>
      <c r="Z60" s="431"/>
      <c r="AA60" s="431"/>
      <c r="AB60" s="431"/>
      <c r="AC60" s="431"/>
      <c r="AD60" s="441"/>
    </row>
    <row r="61" spans="1:32" ht="27" customHeight="1">
      <c r="A61" s="439"/>
      <c r="B61" s="440"/>
      <c r="C61" s="131"/>
      <c r="D61" s="131"/>
      <c r="E61" s="131"/>
      <c r="F61" s="431"/>
      <c r="G61" s="431"/>
      <c r="H61" s="431"/>
      <c r="I61" s="431"/>
      <c r="J61" s="431"/>
      <c r="K61" s="431"/>
      <c r="L61" s="431"/>
      <c r="M61" s="441"/>
      <c r="N61" s="130"/>
      <c r="O61" s="124"/>
      <c r="P61" s="440"/>
      <c r="Q61" s="440"/>
      <c r="R61" s="440"/>
      <c r="S61" s="440"/>
      <c r="T61" s="440"/>
      <c r="U61" s="440"/>
      <c r="V61" s="431"/>
      <c r="W61" s="431"/>
      <c r="X61" s="431"/>
      <c r="Y61" s="431"/>
      <c r="Z61" s="431"/>
      <c r="AA61" s="431"/>
      <c r="AB61" s="431"/>
      <c r="AC61" s="431"/>
      <c r="AD61" s="441"/>
      <c r="AF61" s="93">
        <f>8*3000</f>
        <v>24000</v>
      </c>
    </row>
    <row r="62" spans="1:32" ht="27" customHeight="1" thickBot="1">
      <c r="A62" s="442"/>
      <c r="B62" s="443"/>
      <c r="C62" s="133"/>
      <c r="D62" s="133"/>
      <c r="E62" s="133"/>
      <c r="F62" s="444"/>
      <c r="G62" s="444"/>
      <c r="H62" s="444"/>
      <c r="I62" s="444"/>
      <c r="J62" s="444"/>
      <c r="K62" s="444"/>
      <c r="L62" s="444"/>
      <c r="M62" s="445"/>
      <c r="N62" s="132"/>
      <c r="O62" s="120"/>
      <c r="P62" s="443"/>
      <c r="Q62" s="443"/>
      <c r="R62" s="443"/>
      <c r="S62" s="443"/>
      <c r="T62" s="443"/>
      <c r="U62" s="443"/>
      <c r="V62" s="444"/>
      <c r="W62" s="444"/>
      <c r="X62" s="444"/>
      <c r="Y62" s="444"/>
      <c r="Z62" s="444"/>
      <c r="AA62" s="444"/>
      <c r="AB62" s="444"/>
      <c r="AC62" s="444"/>
      <c r="AD62" s="445"/>
      <c r="AF62" s="93">
        <f>16*3000</f>
        <v>48000</v>
      </c>
    </row>
    <row r="63" spans="1:32" ht="27.75" thickBot="1">
      <c r="A63" s="437" t="s">
        <v>211</v>
      </c>
      <c r="B63" s="437"/>
      <c r="C63" s="437"/>
      <c r="D63" s="437"/>
      <c r="E63" s="437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3">
        <v>24000</v>
      </c>
    </row>
    <row r="64" spans="1:32" ht="29.25" customHeight="1" thickBot="1">
      <c r="A64" s="438" t="s">
        <v>113</v>
      </c>
      <c r="B64" s="435"/>
      <c r="C64" s="129" t="s">
        <v>2</v>
      </c>
      <c r="D64" s="129" t="s">
        <v>37</v>
      </c>
      <c r="E64" s="129" t="s">
        <v>3</v>
      </c>
      <c r="F64" s="435" t="s">
        <v>110</v>
      </c>
      <c r="G64" s="435"/>
      <c r="H64" s="435"/>
      <c r="I64" s="435"/>
      <c r="J64" s="435"/>
      <c r="K64" s="435" t="s">
        <v>39</v>
      </c>
      <c r="L64" s="435"/>
      <c r="M64" s="129" t="s">
        <v>40</v>
      </c>
      <c r="N64" s="435" t="s">
        <v>41</v>
      </c>
      <c r="O64" s="435"/>
      <c r="P64" s="432" t="s">
        <v>42</v>
      </c>
      <c r="Q64" s="434"/>
      <c r="R64" s="432" t="s">
        <v>43</v>
      </c>
      <c r="S64" s="433"/>
      <c r="T64" s="433"/>
      <c r="U64" s="433"/>
      <c r="V64" s="433"/>
      <c r="W64" s="433"/>
      <c r="X64" s="433"/>
      <c r="Y64" s="433"/>
      <c r="Z64" s="433"/>
      <c r="AA64" s="434"/>
      <c r="AB64" s="435" t="s">
        <v>44</v>
      </c>
      <c r="AC64" s="435"/>
      <c r="AD64" s="436"/>
      <c r="AF64" s="93">
        <f>SUM(AF61:AF63)</f>
        <v>96000</v>
      </c>
    </row>
    <row r="65" spans="1:32" ht="25.5" customHeight="1">
      <c r="A65" s="427">
        <v>1</v>
      </c>
      <c r="B65" s="428"/>
      <c r="C65" s="123" t="s">
        <v>162</v>
      </c>
      <c r="D65" s="125"/>
      <c r="E65" s="128" t="s">
        <v>212</v>
      </c>
      <c r="F65" s="429" t="s">
        <v>213</v>
      </c>
      <c r="G65" s="421"/>
      <c r="H65" s="421"/>
      <c r="I65" s="421"/>
      <c r="J65" s="421"/>
      <c r="K65" s="421" t="s">
        <v>216</v>
      </c>
      <c r="L65" s="421"/>
      <c r="M65" s="54" t="s">
        <v>215</v>
      </c>
      <c r="N65" s="421">
        <v>14</v>
      </c>
      <c r="O65" s="421"/>
      <c r="P65" s="430">
        <v>50</v>
      </c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2</v>
      </c>
      <c r="B66" s="428"/>
      <c r="C66" s="123" t="s">
        <v>162</v>
      </c>
      <c r="D66" s="125"/>
      <c r="E66" s="128" t="s">
        <v>218</v>
      </c>
      <c r="F66" s="429" t="s">
        <v>217</v>
      </c>
      <c r="G66" s="421"/>
      <c r="H66" s="421"/>
      <c r="I66" s="421"/>
      <c r="J66" s="421"/>
      <c r="K66" s="421" t="s">
        <v>216</v>
      </c>
      <c r="L66" s="421"/>
      <c r="M66" s="54" t="s">
        <v>215</v>
      </c>
      <c r="N66" s="421">
        <v>14</v>
      </c>
      <c r="O66" s="421"/>
      <c r="P66" s="430">
        <v>100</v>
      </c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3</v>
      </c>
      <c r="B67" s="428"/>
      <c r="C67" s="123" t="s">
        <v>162</v>
      </c>
      <c r="D67" s="125"/>
      <c r="E67" s="136" t="s">
        <v>219</v>
      </c>
      <c r="F67" s="429" t="s">
        <v>220</v>
      </c>
      <c r="G67" s="421"/>
      <c r="H67" s="421"/>
      <c r="I67" s="421"/>
      <c r="J67" s="421"/>
      <c r="K67" s="421" t="s">
        <v>216</v>
      </c>
      <c r="L67" s="421"/>
      <c r="M67" s="54" t="s">
        <v>215</v>
      </c>
      <c r="N67" s="421">
        <v>14</v>
      </c>
      <c r="O67" s="421"/>
      <c r="P67" s="430">
        <v>100</v>
      </c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4</v>
      </c>
      <c r="B68" s="428"/>
      <c r="C68" s="123" t="s">
        <v>162</v>
      </c>
      <c r="D68" s="125"/>
      <c r="E68" s="128" t="s">
        <v>195</v>
      </c>
      <c r="F68" s="429" t="s">
        <v>221</v>
      </c>
      <c r="G68" s="421"/>
      <c r="H68" s="421"/>
      <c r="I68" s="421"/>
      <c r="J68" s="421"/>
      <c r="K68" s="421" t="s">
        <v>214</v>
      </c>
      <c r="L68" s="421"/>
      <c r="M68" s="54" t="s">
        <v>215</v>
      </c>
      <c r="N68" s="421">
        <v>14</v>
      </c>
      <c r="O68" s="421"/>
      <c r="P68" s="430">
        <v>50</v>
      </c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5</v>
      </c>
      <c r="B69" s="428"/>
      <c r="C69" s="123"/>
      <c r="D69" s="125"/>
      <c r="E69" s="128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6</v>
      </c>
      <c r="B70" s="428"/>
      <c r="C70" s="123"/>
      <c r="D70" s="125"/>
      <c r="E70" s="128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5.5" customHeight="1">
      <c r="A71" s="427">
        <v>7</v>
      </c>
      <c r="B71" s="428"/>
      <c r="C71" s="123"/>
      <c r="D71" s="125"/>
      <c r="E71" s="128"/>
      <c r="F71" s="429"/>
      <c r="G71" s="421"/>
      <c r="H71" s="421"/>
      <c r="I71" s="421"/>
      <c r="J71" s="421"/>
      <c r="K71" s="421"/>
      <c r="L71" s="421"/>
      <c r="M71" s="54"/>
      <c r="N71" s="421"/>
      <c r="O71" s="421"/>
      <c r="P71" s="430"/>
      <c r="Q71" s="430"/>
      <c r="R71" s="431"/>
      <c r="S71" s="431"/>
      <c r="T71" s="431"/>
      <c r="U71" s="431"/>
      <c r="V71" s="431"/>
      <c r="W71" s="431"/>
      <c r="X71" s="431"/>
      <c r="Y71" s="431"/>
      <c r="Z71" s="431"/>
      <c r="AA71" s="431"/>
      <c r="AB71" s="421"/>
      <c r="AC71" s="421"/>
      <c r="AD71" s="422"/>
      <c r="AF71" s="53"/>
    </row>
    <row r="72" spans="1:32" ht="25.5" customHeight="1">
      <c r="A72" s="427">
        <v>8</v>
      </c>
      <c r="B72" s="428"/>
      <c r="C72" s="123"/>
      <c r="D72" s="125"/>
      <c r="E72" s="128"/>
      <c r="F72" s="429"/>
      <c r="G72" s="421"/>
      <c r="H72" s="421"/>
      <c r="I72" s="421"/>
      <c r="J72" s="421"/>
      <c r="K72" s="421"/>
      <c r="L72" s="421"/>
      <c r="M72" s="54"/>
      <c r="N72" s="421"/>
      <c r="O72" s="421"/>
      <c r="P72" s="430"/>
      <c r="Q72" s="430"/>
      <c r="R72" s="431"/>
      <c r="S72" s="431"/>
      <c r="T72" s="431"/>
      <c r="U72" s="431"/>
      <c r="V72" s="431"/>
      <c r="W72" s="431"/>
      <c r="X72" s="431"/>
      <c r="Y72" s="431"/>
      <c r="Z72" s="431"/>
      <c r="AA72" s="431"/>
      <c r="AB72" s="421"/>
      <c r="AC72" s="421"/>
      <c r="AD72" s="422"/>
      <c r="AF72" s="53"/>
    </row>
    <row r="73" spans="1:32" ht="26.25" customHeight="1" thickBot="1">
      <c r="A73" s="401" t="s">
        <v>156</v>
      </c>
      <c r="B73" s="401"/>
      <c r="C73" s="401"/>
      <c r="D73" s="401"/>
      <c r="E73" s="401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02" t="s">
        <v>113</v>
      </c>
      <c r="B74" s="403"/>
      <c r="C74" s="127" t="s">
        <v>2</v>
      </c>
      <c r="D74" s="127" t="s">
        <v>37</v>
      </c>
      <c r="E74" s="127" t="s">
        <v>3</v>
      </c>
      <c r="F74" s="403" t="s">
        <v>38</v>
      </c>
      <c r="G74" s="403"/>
      <c r="H74" s="403"/>
      <c r="I74" s="403"/>
      <c r="J74" s="403"/>
      <c r="K74" s="423" t="s">
        <v>58</v>
      </c>
      <c r="L74" s="424"/>
      <c r="M74" s="424"/>
      <c r="N74" s="424"/>
      <c r="O74" s="424"/>
      <c r="P74" s="424"/>
      <c r="Q74" s="424"/>
      <c r="R74" s="424"/>
      <c r="S74" s="425"/>
      <c r="T74" s="403" t="s">
        <v>49</v>
      </c>
      <c r="U74" s="403"/>
      <c r="V74" s="423" t="s">
        <v>50</v>
      </c>
      <c r="W74" s="425"/>
      <c r="X74" s="424" t="s">
        <v>51</v>
      </c>
      <c r="Y74" s="424"/>
      <c r="Z74" s="424"/>
      <c r="AA74" s="424"/>
      <c r="AB74" s="424"/>
      <c r="AC74" s="424"/>
      <c r="AD74" s="426"/>
      <c r="AF74" s="53"/>
    </row>
    <row r="75" spans="1:32" ht="33.75" customHeight="1">
      <c r="A75" s="395">
        <v>1</v>
      </c>
      <c r="B75" s="396"/>
      <c r="C75" s="126" t="s">
        <v>114</v>
      </c>
      <c r="D75" s="126"/>
      <c r="E75" s="71" t="s">
        <v>119</v>
      </c>
      <c r="F75" s="410" t="s">
        <v>120</v>
      </c>
      <c r="G75" s="411"/>
      <c r="H75" s="411"/>
      <c r="I75" s="411"/>
      <c r="J75" s="412"/>
      <c r="K75" s="413" t="s">
        <v>115</v>
      </c>
      <c r="L75" s="414"/>
      <c r="M75" s="414"/>
      <c r="N75" s="414"/>
      <c r="O75" s="414"/>
      <c r="P75" s="414"/>
      <c r="Q75" s="414"/>
      <c r="R75" s="414"/>
      <c r="S75" s="415"/>
      <c r="T75" s="416">
        <v>42901</v>
      </c>
      <c r="U75" s="417"/>
      <c r="V75" s="418"/>
      <c r="W75" s="418"/>
      <c r="X75" s="419"/>
      <c r="Y75" s="419"/>
      <c r="Z75" s="419"/>
      <c r="AA75" s="419"/>
      <c r="AB75" s="419"/>
      <c r="AC75" s="419"/>
      <c r="AD75" s="420"/>
      <c r="AF75" s="53"/>
    </row>
    <row r="76" spans="1:32" ht="30" customHeight="1">
      <c r="A76" s="388">
        <f>A75+1</f>
        <v>2</v>
      </c>
      <c r="B76" s="389"/>
      <c r="C76" s="125" t="s">
        <v>114</v>
      </c>
      <c r="D76" s="125"/>
      <c r="E76" s="35" t="s">
        <v>116</v>
      </c>
      <c r="F76" s="389" t="s">
        <v>117</v>
      </c>
      <c r="G76" s="389"/>
      <c r="H76" s="389"/>
      <c r="I76" s="389"/>
      <c r="J76" s="389"/>
      <c r="K76" s="404" t="s">
        <v>118</v>
      </c>
      <c r="L76" s="405"/>
      <c r="M76" s="405"/>
      <c r="N76" s="405"/>
      <c r="O76" s="405"/>
      <c r="P76" s="405"/>
      <c r="Q76" s="405"/>
      <c r="R76" s="405"/>
      <c r="S76" s="406"/>
      <c r="T76" s="407">
        <v>42867</v>
      </c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ref="A77:A83" si="35">A76+1</f>
        <v>3</v>
      </c>
      <c r="B77" s="389"/>
      <c r="C77" s="125"/>
      <c r="D77" s="125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35"/>
        <v>4</v>
      </c>
      <c r="B78" s="389"/>
      <c r="C78" s="125"/>
      <c r="D78" s="125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35"/>
        <v>5</v>
      </c>
      <c r="B79" s="389"/>
      <c r="C79" s="125"/>
      <c r="D79" s="125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35"/>
        <v>6</v>
      </c>
      <c r="B80" s="389"/>
      <c r="C80" s="125"/>
      <c r="D80" s="125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35"/>
        <v>7</v>
      </c>
      <c r="B81" s="389"/>
      <c r="C81" s="125"/>
      <c r="D81" s="125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0" customHeight="1">
      <c r="A82" s="388">
        <f t="shared" si="35"/>
        <v>8</v>
      </c>
      <c r="B82" s="389"/>
      <c r="C82" s="125"/>
      <c r="D82" s="125"/>
      <c r="E82" s="35"/>
      <c r="F82" s="389"/>
      <c r="G82" s="389"/>
      <c r="H82" s="389"/>
      <c r="I82" s="389"/>
      <c r="J82" s="389"/>
      <c r="K82" s="404"/>
      <c r="L82" s="405"/>
      <c r="M82" s="405"/>
      <c r="N82" s="405"/>
      <c r="O82" s="405"/>
      <c r="P82" s="405"/>
      <c r="Q82" s="405"/>
      <c r="R82" s="405"/>
      <c r="S82" s="406"/>
      <c r="T82" s="407"/>
      <c r="U82" s="407"/>
      <c r="V82" s="407"/>
      <c r="W82" s="407"/>
      <c r="X82" s="408"/>
      <c r="Y82" s="408"/>
      <c r="Z82" s="408"/>
      <c r="AA82" s="408"/>
      <c r="AB82" s="408"/>
      <c r="AC82" s="408"/>
      <c r="AD82" s="409"/>
      <c r="AF82" s="53"/>
    </row>
    <row r="83" spans="1:32" ht="30" customHeight="1">
      <c r="A83" s="388">
        <f t="shared" si="35"/>
        <v>9</v>
      </c>
      <c r="B83" s="389"/>
      <c r="C83" s="125"/>
      <c r="D83" s="125"/>
      <c r="E83" s="35"/>
      <c r="F83" s="389"/>
      <c r="G83" s="389"/>
      <c r="H83" s="389"/>
      <c r="I83" s="389"/>
      <c r="J83" s="389"/>
      <c r="K83" s="404"/>
      <c r="L83" s="405"/>
      <c r="M83" s="405"/>
      <c r="N83" s="405"/>
      <c r="O83" s="405"/>
      <c r="P83" s="405"/>
      <c r="Q83" s="405"/>
      <c r="R83" s="405"/>
      <c r="S83" s="406"/>
      <c r="T83" s="407"/>
      <c r="U83" s="407"/>
      <c r="V83" s="407"/>
      <c r="W83" s="407"/>
      <c r="X83" s="408"/>
      <c r="Y83" s="408"/>
      <c r="Z83" s="408"/>
      <c r="AA83" s="408"/>
      <c r="AB83" s="408"/>
      <c r="AC83" s="408"/>
      <c r="AD83" s="409"/>
      <c r="AF83" s="53"/>
    </row>
    <row r="84" spans="1:32" ht="36" thickBot="1">
      <c r="A84" s="401" t="s">
        <v>157</v>
      </c>
      <c r="B84" s="401"/>
      <c r="C84" s="401"/>
      <c r="D84" s="401"/>
      <c r="E84" s="401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02" t="s">
        <v>113</v>
      </c>
      <c r="B85" s="403"/>
      <c r="C85" s="393" t="s">
        <v>52</v>
      </c>
      <c r="D85" s="393"/>
      <c r="E85" s="393" t="s">
        <v>53</v>
      </c>
      <c r="F85" s="393"/>
      <c r="G85" s="393"/>
      <c r="H85" s="393"/>
      <c r="I85" s="393"/>
      <c r="J85" s="393"/>
      <c r="K85" s="393" t="s">
        <v>54</v>
      </c>
      <c r="L85" s="393"/>
      <c r="M85" s="393"/>
      <c r="N85" s="393"/>
      <c r="O85" s="393"/>
      <c r="P85" s="393"/>
      <c r="Q85" s="393"/>
      <c r="R85" s="393"/>
      <c r="S85" s="393"/>
      <c r="T85" s="393" t="s">
        <v>55</v>
      </c>
      <c r="U85" s="393"/>
      <c r="V85" s="393" t="s">
        <v>56</v>
      </c>
      <c r="W85" s="393"/>
      <c r="X85" s="393"/>
      <c r="Y85" s="393" t="s">
        <v>51</v>
      </c>
      <c r="Z85" s="393"/>
      <c r="AA85" s="393"/>
      <c r="AB85" s="393"/>
      <c r="AC85" s="393"/>
      <c r="AD85" s="394"/>
      <c r="AF85" s="53"/>
    </row>
    <row r="86" spans="1:32" ht="30.75" customHeight="1">
      <c r="A86" s="395">
        <v>1</v>
      </c>
      <c r="B86" s="396"/>
      <c r="C86" s="397"/>
      <c r="D86" s="397"/>
      <c r="E86" s="397"/>
      <c r="F86" s="397"/>
      <c r="G86" s="397"/>
      <c r="H86" s="397"/>
      <c r="I86" s="397"/>
      <c r="J86" s="397"/>
      <c r="K86" s="397"/>
      <c r="L86" s="397"/>
      <c r="M86" s="397"/>
      <c r="N86" s="397"/>
      <c r="O86" s="397"/>
      <c r="P86" s="397"/>
      <c r="Q86" s="397"/>
      <c r="R86" s="397"/>
      <c r="S86" s="397"/>
      <c r="T86" s="397"/>
      <c r="U86" s="397"/>
      <c r="V86" s="398"/>
      <c r="W86" s="398"/>
      <c r="X86" s="398"/>
      <c r="Y86" s="399"/>
      <c r="Z86" s="399"/>
      <c r="AA86" s="399"/>
      <c r="AB86" s="399"/>
      <c r="AC86" s="399"/>
      <c r="AD86" s="400"/>
      <c r="AF86" s="53"/>
    </row>
    <row r="87" spans="1:32" ht="30.75" customHeight="1">
      <c r="A87" s="388">
        <v>2</v>
      </c>
      <c r="B87" s="389"/>
      <c r="C87" s="390"/>
      <c r="D87" s="390"/>
      <c r="E87" s="390"/>
      <c r="F87" s="390"/>
      <c r="G87" s="390"/>
      <c r="H87" s="390"/>
      <c r="I87" s="390"/>
      <c r="J87" s="390"/>
      <c r="K87" s="390"/>
      <c r="L87" s="390"/>
      <c r="M87" s="390"/>
      <c r="N87" s="390"/>
      <c r="O87" s="390"/>
      <c r="P87" s="390"/>
      <c r="Q87" s="390"/>
      <c r="R87" s="390"/>
      <c r="S87" s="390"/>
      <c r="T87" s="391"/>
      <c r="U87" s="391"/>
      <c r="V87" s="392"/>
      <c r="W87" s="392"/>
      <c r="X87" s="392"/>
      <c r="Y87" s="381"/>
      <c r="Z87" s="381"/>
      <c r="AA87" s="381"/>
      <c r="AB87" s="381"/>
      <c r="AC87" s="381"/>
      <c r="AD87" s="382"/>
      <c r="AF87" s="53"/>
    </row>
    <row r="88" spans="1:32" ht="30.75" customHeight="1" thickBot="1">
      <c r="A88" s="383">
        <v>3</v>
      </c>
      <c r="B88" s="384"/>
      <c r="C88" s="385"/>
      <c r="D88" s="385"/>
      <c r="E88" s="385"/>
      <c r="F88" s="385"/>
      <c r="G88" s="385"/>
      <c r="H88" s="385"/>
      <c r="I88" s="385"/>
      <c r="J88" s="385"/>
      <c r="K88" s="385"/>
      <c r="L88" s="385"/>
      <c r="M88" s="385"/>
      <c r="N88" s="385"/>
      <c r="O88" s="385"/>
      <c r="P88" s="385"/>
      <c r="Q88" s="385"/>
      <c r="R88" s="385"/>
      <c r="S88" s="385"/>
      <c r="T88" s="385"/>
      <c r="U88" s="385"/>
      <c r="V88" s="385"/>
      <c r="W88" s="385"/>
      <c r="X88" s="385"/>
      <c r="Y88" s="386"/>
      <c r="Z88" s="386"/>
      <c r="AA88" s="386"/>
      <c r="AB88" s="386"/>
      <c r="AC88" s="386"/>
      <c r="AD88" s="387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F89"/>
  <sheetViews>
    <sheetView zoomScale="72" zoomScaleNormal="72" zoomScaleSheetLayoutView="70" workbookViewId="0">
      <selection activeCell="A86" sqref="A86:B8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222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47" t="s">
        <v>17</v>
      </c>
      <c r="L5" s="147" t="s">
        <v>18</v>
      </c>
      <c r="M5" s="147" t="s">
        <v>19</v>
      </c>
      <c r="N5" s="14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3" si="0">L6-N6</f>
        <v>0</v>
      </c>
      <c r="N6" s="16">
        <v>0</v>
      </c>
      <c r="O6" s="62" t="str">
        <f t="shared" ref="O6:O24" si="1">IF(L6=0,"0",N6/L6)</f>
        <v>0</v>
      </c>
      <c r="P6" s="42" t="str">
        <f t="shared" ref="P6:P23" si="2">IF(L6=0,"0",(24-Q6))</f>
        <v>0</v>
      </c>
      <c r="Q6" s="43">
        <f t="shared" ref="Q6:Q23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3" si="4">IF(J6=0,"0",(L6/J6))</f>
        <v>0</v>
      </c>
      <c r="AC6" s="9">
        <f t="shared" ref="AC6:AC23" si="5">IF(P6=0,"0",(P6/24))</f>
        <v>0</v>
      </c>
      <c r="AD6" s="10">
        <f t="shared" ref="AD6:AD23" si="6">AC6*AB6*(1-O6)</f>
        <v>0</v>
      </c>
      <c r="AE6" s="39">
        <f t="shared" ref="AE6:AE23" si="7">$AD$24</f>
        <v>0.38351723496562595</v>
      </c>
      <c r="AF6" s="93">
        <f t="shared" ref="AF6:AF23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0.38351723496562595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143</v>
      </c>
      <c r="D8" s="55" t="s">
        <v>159</v>
      </c>
      <c r="E8" s="57" t="s">
        <v>160</v>
      </c>
      <c r="F8" s="33" t="s">
        <v>161</v>
      </c>
      <c r="G8" s="36">
        <v>1</v>
      </c>
      <c r="H8" s="38">
        <v>25</v>
      </c>
      <c r="I8" s="7">
        <v>4000</v>
      </c>
      <c r="J8" s="5">
        <v>2510</v>
      </c>
      <c r="K8" s="15">
        <f>L8+5281</f>
        <v>7789</v>
      </c>
      <c r="L8" s="15">
        <v>2508</v>
      </c>
      <c r="M8" s="16">
        <f t="shared" si="0"/>
        <v>2508</v>
      </c>
      <c r="N8" s="16">
        <v>0</v>
      </c>
      <c r="O8" s="62">
        <f t="shared" si="1"/>
        <v>0</v>
      </c>
      <c r="P8" s="42">
        <f t="shared" si="2"/>
        <v>14</v>
      </c>
      <c r="Q8" s="43">
        <f t="shared" si="3"/>
        <v>10</v>
      </c>
      <c r="R8" s="7"/>
      <c r="S8" s="6"/>
      <c r="T8" s="17"/>
      <c r="U8" s="17"/>
      <c r="V8" s="18"/>
      <c r="W8" s="19">
        <v>10</v>
      </c>
      <c r="X8" s="17"/>
      <c r="Y8" s="20"/>
      <c r="Z8" s="20"/>
      <c r="AA8" s="21"/>
      <c r="AB8" s="8">
        <f t="shared" si="4"/>
        <v>0.99920318725099599</v>
      </c>
      <c r="AC8" s="9">
        <f t="shared" si="5"/>
        <v>0.58333333333333337</v>
      </c>
      <c r="AD8" s="10">
        <f t="shared" si="6"/>
        <v>0.58286852589641436</v>
      </c>
      <c r="AE8" s="39">
        <f t="shared" si="7"/>
        <v>0.38351723496562595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223</v>
      </c>
      <c r="D9" s="55" t="s">
        <v>224</v>
      </c>
      <c r="E9" s="57" t="s">
        <v>225</v>
      </c>
      <c r="F9" s="33" t="s">
        <v>226</v>
      </c>
      <c r="G9" s="36">
        <v>4</v>
      </c>
      <c r="H9" s="38">
        <v>25</v>
      </c>
      <c r="I9" s="7">
        <v>5000</v>
      </c>
      <c r="J9" s="5">
        <v>5320</v>
      </c>
      <c r="K9" s="15">
        <f>L9</f>
        <v>5316</v>
      </c>
      <c r="L9" s="15">
        <f>1329*4</f>
        <v>5316</v>
      </c>
      <c r="M9" s="16">
        <f t="shared" si="0"/>
        <v>5316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/>
      <c r="T9" s="17"/>
      <c r="U9" s="17"/>
      <c r="V9" s="18"/>
      <c r="W9" s="19">
        <v>16</v>
      </c>
      <c r="X9" s="17"/>
      <c r="Y9" s="20"/>
      <c r="Z9" s="20"/>
      <c r="AA9" s="21"/>
      <c r="AB9" s="8">
        <f t="shared" si="4"/>
        <v>0.99924812030075183</v>
      </c>
      <c r="AC9" s="9">
        <f t="shared" si="5"/>
        <v>0.33333333333333331</v>
      </c>
      <c r="AD9" s="10">
        <f t="shared" si="6"/>
        <v>0.33308270676691726</v>
      </c>
      <c r="AE9" s="39">
        <f t="shared" si="7"/>
        <v>0.38351723496562595</v>
      </c>
      <c r="AF9" s="93">
        <f t="shared" si="8"/>
        <v>4</v>
      </c>
    </row>
    <row r="10" spans="1:32" ht="27" customHeight="1">
      <c r="A10" s="109">
        <v>4</v>
      </c>
      <c r="B10" s="11" t="s">
        <v>57</v>
      </c>
      <c r="C10" s="37" t="s">
        <v>125</v>
      </c>
      <c r="D10" s="55" t="s">
        <v>168</v>
      </c>
      <c r="E10" s="57" t="s">
        <v>169</v>
      </c>
      <c r="F10" s="33" t="s">
        <v>170</v>
      </c>
      <c r="G10" s="36">
        <v>1</v>
      </c>
      <c r="H10" s="38">
        <v>25</v>
      </c>
      <c r="I10" s="7">
        <v>4500</v>
      </c>
      <c r="J10" s="5">
        <v>4015</v>
      </c>
      <c r="K10" s="15">
        <f>L10+4015</f>
        <v>4961</v>
      </c>
      <c r="L10" s="15">
        <v>946</v>
      </c>
      <c r="M10" s="16">
        <f t="shared" si="0"/>
        <v>946</v>
      </c>
      <c r="N10" s="16">
        <v>0</v>
      </c>
      <c r="O10" s="62">
        <f t="shared" si="1"/>
        <v>0</v>
      </c>
      <c r="P10" s="42">
        <f t="shared" si="2"/>
        <v>5</v>
      </c>
      <c r="Q10" s="43">
        <f t="shared" si="3"/>
        <v>19</v>
      </c>
      <c r="R10" s="7"/>
      <c r="S10" s="6"/>
      <c r="T10" s="17"/>
      <c r="U10" s="17"/>
      <c r="V10" s="18"/>
      <c r="W10" s="19">
        <v>19</v>
      </c>
      <c r="X10" s="17"/>
      <c r="Y10" s="20"/>
      <c r="Z10" s="20"/>
      <c r="AA10" s="21"/>
      <c r="AB10" s="8">
        <f t="shared" si="4"/>
        <v>0.23561643835616439</v>
      </c>
      <c r="AC10" s="9">
        <f t="shared" si="5"/>
        <v>0.20833333333333334</v>
      </c>
      <c r="AD10" s="10">
        <f t="shared" si="6"/>
        <v>4.9086757990867584E-2</v>
      </c>
      <c r="AE10" s="39">
        <f t="shared" si="7"/>
        <v>0.38351723496562595</v>
      </c>
      <c r="AF10" s="93">
        <f t="shared" si="8"/>
        <v>4</v>
      </c>
    </row>
    <row r="11" spans="1:32" ht="27" customHeight="1">
      <c r="A11" s="109">
        <v>4</v>
      </c>
      <c r="B11" s="11" t="s">
        <v>57</v>
      </c>
      <c r="C11" s="37" t="s">
        <v>227</v>
      </c>
      <c r="D11" s="55" t="s">
        <v>228</v>
      </c>
      <c r="E11" s="57" t="s">
        <v>229</v>
      </c>
      <c r="F11" s="33" t="s">
        <v>230</v>
      </c>
      <c r="G11" s="36">
        <v>1</v>
      </c>
      <c r="H11" s="38">
        <v>25</v>
      </c>
      <c r="I11" s="7">
        <v>250</v>
      </c>
      <c r="J11" s="5">
        <v>334</v>
      </c>
      <c r="K11" s="15">
        <f>L11</f>
        <v>334</v>
      </c>
      <c r="L11" s="15">
        <v>334</v>
      </c>
      <c r="M11" s="16">
        <f t="shared" ref="M11" si="9">L11-N11</f>
        <v>334</v>
      </c>
      <c r="N11" s="16">
        <v>0</v>
      </c>
      <c r="O11" s="62">
        <f t="shared" ref="O11" si="10">IF(L11=0,"0",N11/L11)</f>
        <v>0</v>
      </c>
      <c r="P11" s="42">
        <f t="shared" ref="P11" si="11">IF(L11=0,"0",(24-Q11))</f>
        <v>3</v>
      </c>
      <c r="Q11" s="43">
        <f t="shared" ref="Q11" si="12">SUM(R11:AA11)</f>
        <v>21</v>
      </c>
      <c r="R11" s="7"/>
      <c r="S11" s="6"/>
      <c r="T11" s="17"/>
      <c r="U11" s="17"/>
      <c r="V11" s="18"/>
      <c r="W11" s="19">
        <v>21</v>
      </c>
      <c r="X11" s="17"/>
      <c r="Y11" s="20"/>
      <c r="Z11" s="20"/>
      <c r="AA11" s="21"/>
      <c r="AB11" s="8">
        <f t="shared" ref="AB11" si="13">IF(J11=0,"0",(L11/J11))</f>
        <v>1</v>
      </c>
      <c r="AC11" s="9">
        <f t="shared" ref="AC11" si="14">IF(P11=0,"0",(P11/24))</f>
        <v>0.125</v>
      </c>
      <c r="AD11" s="10">
        <f t="shared" ref="AD11" si="15">AC11*AB11*(1-O11)</f>
        <v>0.125</v>
      </c>
      <c r="AE11" s="39">
        <f t="shared" si="7"/>
        <v>0.38351723496562595</v>
      </c>
      <c r="AF11" s="93">
        <f t="shared" ref="AF11" si="16">A11</f>
        <v>4</v>
      </c>
    </row>
    <row r="12" spans="1:32" ht="27" customHeight="1">
      <c r="A12" s="109">
        <v>5</v>
      </c>
      <c r="B12" s="11" t="s">
        <v>57</v>
      </c>
      <c r="C12" s="11" t="s">
        <v>231</v>
      </c>
      <c r="D12" s="55"/>
      <c r="E12" s="57" t="s">
        <v>232</v>
      </c>
      <c r="F12" s="12">
        <v>7301</v>
      </c>
      <c r="G12" s="12">
        <v>1</v>
      </c>
      <c r="H12" s="13">
        <v>25</v>
      </c>
      <c r="I12" s="7">
        <v>1500</v>
      </c>
      <c r="J12" s="14">
        <v>4680</v>
      </c>
      <c r="K12" s="15">
        <f>L12</f>
        <v>4678</v>
      </c>
      <c r="L12" s="15">
        <f>3110+1568</f>
        <v>4678</v>
      </c>
      <c r="M12" s="16">
        <f t="shared" si="0"/>
        <v>4678</v>
      </c>
      <c r="N12" s="16">
        <v>0</v>
      </c>
      <c r="O12" s="62">
        <f t="shared" si="1"/>
        <v>0</v>
      </c>
      <c r="P12" s="42">
        <f t="shared" si="2"/>
        <v>21</v>
      </c>
      <c r="Q12" s="43">
        <f t="shared" si="3"/>
        <v>3</v>
      </c>
      <c r="R12" s="7"/>
      <c r="S12" s="6"/>
      <c r="T12" s="17">
        <v>3</v>
      </c>
      <c r="U12" s="17"/>
      <c r="V12" s="18"/>
      <c r="W12" s="19"/>
      <c r="X12" s="17"/>
      <c r="Y12" s="20"/>
      <c r="Z12" s="20"/>
      <c r="AA12" s="21"/>
      <c r="AB12" s="8">
        <f t="shared" si="4"/>
        <v>0.99957264957264957</v>
      </c>
      <c r="AC12" s="9">
        <f t="shared" si="5"/>
        <v>0.875</v>
      </c>
      <c r="AD12" s="10">
        <f t="shared" si="6"/>
        <v>0.87462606837606838</v>
      </c>
      <c r="AE12" s="39">
        <f t="shared" si="7"/>
        <v>0.38351723496562595</v>
      </c>
      <c r="AF12" s="93">
        <f t="shared" si="8"/>
        <v>5</v>
      </c>
    </row>
    <row r="13" spans="1:32" ht="27" customHeight="1">
      <c r="A13" s="109">
        <v>6</v>
      </c>
      <c r="B13" s="11" t="s">
        <v>57</v>
      </c>
      <c r="C13" s="37" t="s">
        <v>143</v>
      </c>
      <c r="D13" s="55" t="s">
        <v>149</v>
      </c>
      <c r="E13" s="57" t="s">
        <v>150</v>
      </c>
      <c r="F13" s="12" t="s">
        <v>133</v>
      </c>
      <c r="G13" s="12">
        <v>1</v>
      </c>
      <c r="H13" s="13">
        <v>25</v>
      </c>
      <c r="I13" s="34">
        <v>4000</v>
      </c>
      <c r="J13" s="5">
        <v>1720</v>
      </c>
      <c r="K13" s="15">
        <f>L13+4857+1720</f>
        <v>6577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0.38351723496562595</v>
      </c>
      <c r="AF13" s="93">
        <f t="shared" si="8"/>
        <v>6</v>
      </c>
    </row>
    <row r="14" spans="1:32" ht="27" customHeight="1">
      <c r="A14" s="109">
        <v>7</v>
      </c>
      <c r="B14" s="11" t="s">
        <v>57</v>
      </c>
      <c r="C14" s="11" t="s">
        <v>125</v>
      </c>
      <c r="D14" s="55" t="s">
        <v>152</v>
      </c>
      <c r="E14" s="57" t="s">
        <v>153</v>
      </c>
      <c r="F14" s="12" t="s">
        <v>129</v>
      </c>
      <c r="G14" s="12">
        <v>1</v>
      </c>
      <c r="H14" s="13">
        <v>25</v>
      </c>
      <c r="I14" s="7">
        <v>36000</v>
      </c>
      <c r="J14" s="14">
        <v>5330</v>
      </c>
      <c r="K14" s="15">
        <f>L14+2996+5357</f>
        <v>13683</v>
      </c>
      <c r="L14" s="15">
        <f>2811+2519</f>
        <v>5330</v>
      </c>
      <c r="M14" s="16">
        <f t="shared" si="0"/>
        <v>5330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1</v>
      </c>
      <c r="AD14" s="10">
        <f t="shared" si="6"/>
        <v>1</v>
      </c>
      <c r="AE14" s="39">
        <f t="shared" si="7"/>
        <v>0.38351723496562595</v>
      </c>
      <c r="AF14" s="93">
        <f t="shared" si="8"/>
        <v>7</v>
      </c>
    </row>
    <row r="15" spans="1:32" ht="27" customHeight="1">
      <c r="A15" s="109">
        <v>8</v>
      </c>
      <c r="B15" s="11" t="s">
        <v>57</v>
      </c>
      <c r="C15" s="11" t="s">
        <v>125</v>
      </c>
      <c r="D15" s="55" t="s">
        <v>123</v>
      </c>
      <c r="E15" s="57" t="s">
        <v>145</v>
      </c>
      <c r="F15" s="12" t="s">
        <v>132</v>
      </c>
      <c r="G15" s="12">
        <v>1</v>
      </c>
      <c r="H15" s="13">
        <v>25</v>
      </c>
      <c r="I15" s="7">
        <v>40000</v>
      </c>
      <c r="J15" s="14">
        <v>4000</v>
      </c>
      <c r="K15" s="15">
        <f>L15+689+4617+3636</f>
        <v>12938</v>
      </c>
      <c r="L15" s="15">
        <f>2941+1055</f>
        <v>3996</v>
      </c>
      <c r="M15" s="16">
        <f t="shared" si="0"/>
        <v>3996</v>
      </c>
      <c r="N15" s="16">
        <v>0</v>
      </c>
      <c r="O15" s="62">
        <f t="shared" si="1"/>
        <v>0</v>
      </c>
      <c r="P15" s="42">
        <f t="shared" si="2"/>
        <v>20</v>
      </c>
      <c r="Q15" s="43">
        <f t="shared" si="3"/>
        <v>4</v>
      </c>
      <c r="R15" s="7"/>
      <c r="S15" s="6">
        <v>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</v>
      </c>
      <c r="AC15" s="9">
        <f t="shared" si="5"/>
        <v>0.83333333333333337</v>
      </c>
      <c r="AD15" s="10">
        <f t="shared" si="6"/>
        <v>0.83250000000000002</v>
      </c>
      <c r="AE15" s="39">
        <f t="shared" si="7"/>
        <v>0.38351723496562595</v>
      </c>
      <c r="AF15" s="93">
        <f t="shared" si="8"/>
        <v>8</v>
      </c>
    </row>
    <row r="16" spans="1:32" ht="27" customHeight="1">
      <c r="A16" s="108">
        <v>9</v>
      </c>
      <c r="B16" s="11" t="s">
        <v>57</v>
      </c>
      <c r="C16" s="37" t="s">
        <v>114</v>
      </c>
      <c r="D16" s="55" t="s">
        <v>123</v>
      </c>
      <c r="E16" s="57" t="s">
        <v>137</v>
      </c>
      <c r="F16" s="33" t="s">
        <v>129</v>
      </c>
      <c r="G16" s="36">
        <v>1</v>
      </c>
      <c r="H16" s="38">
        <v>25</v>
      </c>
      <c r="I16" s="7">
        <v>200</v>
      </c>
      <c r="J16" s="5">
        <v>280</v>
      </c>
      <c r="K16" s="15">
        <f>L16+280</f>
        <v>280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0.38351723496562595</v>
      </c>
      <c r="AF16" s="93">
        <f t="shared" si="8"/>
        <v>9</v>
      </c>
    </row>
    <row r="17" spans="1:32" ht="27" customHeight="1">
      <c r="A17" s="108">
        <v>10</v>
      </c>
      <c r="B17" s="11" t="s">
        <v>57</v>
      </c>
      <c r="C17" s="11" t="s">
        <v>125</v>
      </c>
      <c r="D17" s="55" t="s">
        <v>126</v>
      </c>
      <c r="E17" s="57" t="s">
        <v>136</v>
      </c>
      <c r="F17" s="12" t="s">
        <v>133</v>
      </c>
      <c r="G17" s="12">
        <v>1</v>
      </c>
      <c r="H17" s="13">
        <v>24</v>
      </c>
      <c r="I17" s="34">
        <v>1100</v>
      </c>
      <c r="J17" s="14">
        <v>1430</v>
      </c>
      <c r="K17" s="15">
        <f>L17+1423</f>
        <v>1423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0.38351723496562595</v>
      </c>
      <c r="AF17" s="93">
        <f t="shared" si="8"/>
        <v>10</v>
      </c>
    </row>
    <row r="18" spans="1:32" ht="27" customHeight="1">
      <c r="A18" s="108">
        <v>11</v>
      </c>
      <c r="B18" s="11" t="s">
        <v>57</v>
      </c>
      <c r="C18" s="37" t="s">
        <v>114</v>
      </c>
      <c r="D18" s="55" t="s">
        <v>138</v>
      </c>
      <c r="E18" s="57" t="s">
        <v>139</v>
      </c>
      <c r="F18" s="33" t="s">
        <v>134</v>
      </c>
      <c r="G18" s="36">
        <v>1</v>
      </c>
      <c r="H18" s="38">
        <v>25</v>
      </c>
      <c r="I18" s="7">
        <v>12000</v>
      </c>
      <c r="J18" s="5">
        <v>4150</v>
      </c>
      <c r="K18" s="15">
        <f>L18+4095+4538+4147</f>
        <v>12780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0.38351723496562595</v>
      </c>
      <c r="AF18" s="93">
        <f t="shared" si="8"/>
        <v>11</v>
      </c>
    </row>
    <row r="19" spans="1:32" ht="27" customHeight="1">
      <c r="A19" s="108">
        <v>12</v>
      </c>
      <c r="B19" s="11" t="s">
        <v>57</v>
      </c>
      <c r="C19" s="11" t="s">
        <v>114</v>
      </c>
      <c r="D19" s="55" t="s">
        <v>141</v>
      </c>
      <c r="E19" s="57" t="s">
        <v>142</v>
      </c>
      <c r="F19" s="12">
        <v>8301</v>
      </c>
      <c r="G19" s="12">
        <v>1</v>
      </c>
      <c r="H19" s="13">
        <v>24</v>
      </c>
      <c r="I19" s="34">
        <v>6800</v>
      </c>
      <c r="J19" s="14">
        <v>3960</v>
      </c>
      <c r="K19" s="15">
        <f>L19</f>
        <v>0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>
        <v>24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0.38351723496562595</v>
      </c>
      <c r="AF19" s="93">
        <f t="shared" si="8"/>
        <v>12</v>
      </c>
    </row>
    <row r="20" spans="1:32" ht="27" customHeight="1">
      <c r="A20" s="109">
        <v>13</v>
      </c>
      <c r="B20" s="11" t="s">
        <v>57</v>
      </c>
      <c r="C20" s="37" t="s">
        <v>175</v>
      </c>
      <c r="D20" s="55" t="s">
        <v>123</v>
      </c>
      <c r="E20" s="57" t="s">
        <v>177</v>
      </c>
      <c r="F20" s="12" t="s">
        <v>129</v>
      </c>
      <c r="G20" s="36">
        <v>1</v>
      </c>
      <c r="H20" s="38">
        <v>30</v>
      </c>
      <c r="I20" s="7">
        <v>4000</v>
      </c>
      <c r="J20" s="5">
        <v>2810</v>
      </c>
      <c r="K20" s="15">
        <f>L20+3145</f>
        <v>5950</v>
      </c>
      <c r="L20" s="15">
        <f>2563+242</f>
        <v>2805</v>
      </c>
      <c r="M20" s="16">
        <f t="shared" si="0"/>
        <v>2805</v>
      </c>
      <c r="N20" s="16">
        <v>0</v>
      </c>
      <c r="O20" s="62">
        <f t="shared" si="1"/>
        <v>0</v>
      </c>
      <c r="P20" s="42">
        <f t="shared" si="2"/>
        <v>14</v>
      </c>
      <c r="Q20" s="43">
        <f t="shared" si="3"/>
        <v>10</v>
      </c>
      <c r="R20" s="7"/>
      <c r="S20" s="6"/>
      <c r="T20" s="17"/>
      <c r="U20" s="17"/>
      <c r="V20" s="18"/>
      <c r="W20" s="19">
        <v>10</v>
      </c>
      <c r="X20" s="17"/>
      <c r="Y20" s="20"/>
      <c r="Z20" s="20"/>
      <c r="AA20" s="21"/>
      <c r="AB20" s="8">
        <f t="shared" si="4"/>
        <v>0.99822064056939497</v>
      </c>
      <c r="AC20" s="9">
        <f t="shared" si="5"/>
        <v>0.58333333333333337</v>
      </c>
      <c r="AD20" s="10">
        <f t="shared" si="6"/>
        <v>0.58229537366548045</v>
      </c>
      <c r="AE20" s="39">
        <f t="shared" si="7"/>
        <v>0.38351723496562595</v>
      </c>
      <c r="AF20" s="93">
        <f t="shared" si="8"/>
        <v>13</v>
      </c>
    </row>
    <row r="21" spans="1:32" ht="27" customHeight="1">
      <c r="A21" s="109">
        <v>14</v>
      </c>
      <c r="B21" s="11" t="s">
        <v>57</v>
      </c>
      <c r="C21" s="37" t="s">
        <v>227</v>
      </c>
      <c r="D21" s="55" t="s">
        <v>228</v>
      </c>
      <c r="E21" s="57" t="s">
        <v>229</v>
      </c>
      <c r="F21" s="33" t="s">
        <v>230</v>
      </c>
      <c r="G21" s="36">
        <v>1</v>
      </c>
      <c r="H21" s="38">
        <v>25</v>
      </c>
      <c r="I21" s="7">
        <v>250</v>
      </c>
      <c r="J21" s="5">
        <v>386</v>
      </c>
      <c r="K21" s="15">
        <f>L21</f>
        <v>386</v>
      </c>
      <c r="L21" s="15">
        <v>386</v>
      </c>
      <c r="M21" s="16">
        <f t="shared" si="0"/>
        <v>386</v>
      </c>
      <c r="N21" s="16">
        <v>0</v>
      </c>
      <c r="O21" s="62">
        <f t="shared" si="1"/>
        <v>0</v>
      </c>
      <c r="P21" s="42">
        <f t="shared" si="2"/>
        <v>3</v>
      </c>
      <c r="Q21" s="43">
        <f t="shared" si="3"/>
        <v>21</v>
      </c>
      <c r="R21" s="7"/>
      <c r="S21" s="6"/>
      <c r="T21" s="17"/>
      <c r="U21" s="17"/>
      <c r="V21" s="18"/>
      <c r="W21" s="19">
        <v>21</v>
      </c>
      <c r="X21" s="17"/>
      <c r="Y21" s="20"/>
      <c r="Z21" s="20"/>
      <c r="AA21" s="21"/>
      <c r="AB21" s="8">
        <f t="shared" si="4"/>
        <v>1</v>
      </c>
      <c r="AC21" s="9">
        <f t="shared" si="5"/>
        <v>0.125</v>
      </c>
      <c r="AD21" s="10">
        <f t="shared" si="6"/>
        <v>0.125</v>
      </c>
      <c r="AE21" s="39">
        <f t="shared" si="7"/>
        <v>0.38351723496562595</v>
      </c>
      <c r="AF21" s="93">
        <f t="shared" si="8"/>
        <v>14</v>
      </c>
    </row>
    <row r="22" spans="1:32" ht="27" customHeight="1">
      <c r="A22" s="109">
        <v>14</v>
      </c>
      <c r="B22" s="11" t="s">
        <v>57</v>
      </c>
      <c r="C22" s="37" t="s">
        <v>223</v>
      </c>
      <c r="D22" s="55" t="s">
        <v>233</v>
      </c>
      <c r="E22" s="57" t="s">
        <v>234</v>
      </c>
      <c r="F22" s="33" t="s">
        <v>235</v>
      </c>
      <c r="G22" s="12">
        <v>1</v>
      </c>
      <c r="H22" s="13">
        <v>25</v>
      </c>
      <c r="I22" s="34">
        <v>1000</v>
      </c>
      <c r="J22" s="5">
        <v>2810</v>
      </c>
      <c r="K22" s="15">
        <f>L22</f>
        <v>2802</v>
      </c>
      <c r="L22" s="15">
        <f>2802</f>
        <v>2802</v>
      </c>
      <c r="M22" s="16">
        <f t="shared" si="0"/>
        <v>2802</v>
      </c>
      <c r="N22" s="16">
        <v>0</v>
      </c>
      <c r="O22" s="62">
        <f t="shared" si="1"/>
        <v>0</v>
      </c>
      <c r="P22" s="42">
        <f t="shared" si="2"/>
        <v>14</v>
      </c>
      <c r="Q22" s="43">
        <f t="shared" si="3"/>
        <v>10</v>
      </c>
      <c r="R22" s="7"/>
      <c r="S22" s="6"/>
      <c r="T22" s="17">
        <v>10</v>
      </c>
      <c r="U22" s="17"/>
      <c r="V22" s="18"/>
      <c r="W22" s="19"/>
      <c r="X22" s="17"/>
      <c r="Y22" s="20"/>
      <c r="Z22" s="20"/>
      <c r="AA22" s="21"/>
      <c r="AB22" s="8">
        <f t="shared" si="4"/>
        <v>0.99715302491103208</v>
      </c>
      <c r="AC22" s="9">
        <f t="shared" si="5"/>
        <v>0.58333333333333337</v>
      </c>
      <c r="AD22" s="10">
        <f t="shared" si="6"/>
        <v>0.58167259786476877</v>
      </c>
      <c r="AE22" s="39">
        <f t="shared" si="7"/>
        <v>0.38351723496562595</v>
      </c>
      <c r="AF22" s="93">
        <f t="shared" si="8"/>
        <v>14</v>
      </c>
    </row>
    <row r="23" spans="1:32" ht="27" customHeight="1" thickBot="1">
      <c r="A23" s="109">
        <v>15</v>
      </c>
      <c r="B23" s="11" t="s">
        <v>57</v>
      </c>
      <c r="C23" s="11" t="s">
        <v>121</v>
      </c>
      <c r="D23" s="55"/>
      <c r="E23" s="56" t="s">
        <v>140</v>
      </c>
      <c r="F23" s="12" t="s">
        <v>122</v>
      </c>
      <c r="G23" s="12">
        <v>4</v>
      </c>
      <c r="H23" s="38">
        <v>20</v>
      </c>
      <c r="I23" s="7">
        <v>500000</v>
      </c>
      <c r="J23" s="14">
        <v>33190</v>
      </c>
      <c r="K23" s="15">
        <f>L23+45528+23236+46280+51612+51820</f>
        <v>251664</v>
      </c>
      <c r="L23" s="15">
        <f>2203*4+6094*4</f>
        <v>33188</v>
      </c>
      <c r="M23" s="16">
        <f t="shared" si="0"/>
        <v>33188</v>
      </c>
      <c r="N23" s="16">
        <v>0</v>
      </c>
      <c r="O23" s="62">
        <f t="shared" si="1"/>
        <v>0</v>
      </c>
      <c r="P23" s="42">
        <f t="shared" si="2"/>
        <v>16</v>
      </c>
      <c r="Q23" s="43">
        <f t="shared" si="3"/>
        <v>8</v>
      </c>
      <c r="R23" s="7"/>
      <c r="S23" s="6">
        <v>8</v>
      </c>
      <c r="T23" s="17"/>
      <c r="U23" s="17"/>
      <c r="V23" s="18"/>
      <c r="W23" s="19"/>
      <c r="X23" s="17"/>
      <c r="Y23" s="20"/>
      <c r="Z23" s="20"/>
      <c r="AA23" s="21"/>
      <c r="AB23" s="8">
        <f t="shared" si="4"/>
        <v>0.99993974088580895</v>
      </c>
      <c r="AC23" s="9">
        <f t="shared" si="5"/>
        <v>0.66666666666666663</v>
      </c>
      <c r="AD23" s="10">
        <f t="shared" si="6"/>
        <v>0.66662649392387263</v>
      </c>
      <c r="AE23" s="39">
        <f t="shared" si="7"/>
        <v>0.38351723496562595</v>
      </c>
      <c r="AF23" s="93">
        <f t="shared" si="8"/>
        <v>15</v>
      </c>
    </row>
    <row r="24" spans="1:32" ht="31.5" customHeight="1" thickBot="1">
      <c r="A24" s="450" t="s">
        <v>34</v>
      </c>
      <c r="B24" s="451"/>
      <c r="C24" s="451"/>
      <c r="D24" s="451"/>
      <c r="E24" s="451"/>
      <c r="F24" s="451"/>
      <c r="G24" s="451"/>
      <c r="H24" s="452"/>
      <c r="I24" s="25">
        <f t="shared" ref="I24:N24" si="17">SUM(I6:I23)</f>
        <v>821600</v>
      </c>
      <c r="J24" s="22">
        <f t="shared" si="17"/>
        <v>114565</v>
      </c>
      <c r="K24" s="23">
        <f t="shared" si="17"/>
        <v>518839</v>
      </c>
      <c r="L24" s="24">
        <f t="shared" si="17"/>
        <v>62289</v>
      </c>
      <c r="M24" s="23">
        <f t="shared" si="17"/>
        <v>62289</v>
      </c>
      <c r="N24" s="24">
        <f t="shared" si="17"/>
        <v>0</v>
      </c>
      <c r="O24" s="44">
        <f t="shared" si="1"/>
        <v>0</v>
      </c>
      <c r="P24" s="45">
        <f t="shared" ref="P24:AA24" si="18">SUM(P6:P23)</f>
        <v>142</v>
      </c>
      <c r="Q24" s="46">
        <f t="shared" si="18"/>
        <v>290</v>
      </c>
      <c r="R24" s="26">
        <f t="shared" si="18"/>
        <v>24</v>
      </c>
      <c r="S24" s="27">
        <f t="shared" si="18"/>
        <v>36</v>
      </c>
      <c r="T24" s="27">
        <f t="shared" si="18"/>
        <v>13</v>
      </c>
      <c r="U24" s="27">
        <f t="shared" si="18"/>
        <v>0</v>
      </c>
      <c r="V24" s="28">
        <f t="shared" si="18"/>
        <v>0</v>
      </c>
      <c r="W24" s="29">
        <f t="shared" si="18"/>
        <v>217</v>
      </c>
      <c r="X24" s="30">
        <f t="shared" si="18"/>
        <v>0</v>
      </c>
      <c r="Y24" s="30">
        <f t="shared" si="18"/>
        <v>0</v>
      </c>
      <c r="Z24" s="30">
        <f t="shared" si="18"/>
        <v>0</v>
      </c>
      <c r="AA24" s="30">
        <f t="shared" si="18"/>
        <v>0</v>
      </c>
      <c r="AB24" s="31">
        <f>SUM(AB6:AB23)/15</f>
        <v>0.68186358678978642</v>
      </c>
      <c r="AC24" s="4">
        <f>SUM(AC6:AC23)/15</f>
        <v>0.39444444444444449</v>
      </c>
      <c r="AD24" s="4">
        <f>SUM(AD6:AD23)/15</f>
        <v>0.38351723496562595</v>
      </c>
      <c r="AE24" s="32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1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</row>
    <row r="35" spans="1:32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94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F40" s="53"/>
    </row>
    <row r="41" spans="1:32" ht="27">
      <c r="A41" s="63"/>
      <c r="B41" s="63"/>
      <c r="C41" s="63"/>
      <c r="D41" s="63"/>
      <c r="E41" s="63"/>
      <c r="F41" s="64"/>
      <c r="G41" s="64"/>
      <c r="H41" s="65"/>
      <c r="I41" s="65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F41" s="53"/>
    </row>
    <row r="42" spans="1:32" ht="29.25" customHeight="1">
      <c r="A42" s="66"/>
      <c r="B42" s="66"/>
      <c r="C42" s="67"/>
      <c r="D42" s="67"/>
      <c r="E42" s="67"/>
      <c r="F42" s="66"/>
      <c r="G42" s="66"/>
      <c r="H42" s="66"/>
      <c r="I42" s="66"/>
      <c r="J42" s="66"/>
      <c r="K42" s="66"/>
      <c r="L42" s="66"/>
      <c r="M42" s="67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29.25" customHeight="1">
      <c r="A49" s="66"/>
      <c r="B49" s="66"/>
      <c r="C49" s="68"/>
      <c r="D49" s="67"/>
      <c r="E49" s="67"/>
      <c r="F49" s="66"/>
      <c r="G49" s="66"/>
      <c r="H49" s="66"/>
      <c r="I49" s="66"/>
      <c r="J49" s="66"/>
      <c r="K49" s="66"/>
      <c r="L49" s="66"/>
      <c r="M49" s="68"/>
      <c r="N49" s="66"/>
      <c r="O49" s="66"/>
      <c r="P49" s="69"/>
      <c r="Q49" s="69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66"/>
      <c r="AC49" s="66"/>
      <c r="AD49" s="66"/>
      <c r="AF49" s="53"/>
    </row>
    <row r="50" spans="1:32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36" thickBot="1">
      <c r="A51" s="453" t="s">
        <v>45</v>
      </c>
      <c r="B51" s="453"/>
      <c r="C51" s="453"/>
      <c r="D51" s="453"/>
      <c r="E51" s="453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F51" s="53"/>
    </row>
    <row r="52" spans="1:32" ht="26.25" thickBot="1">
      <c r="A52" s="454" t="s">
        <v>236</v>
      </c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6"/>
      <c r="N52" s="457" t="s">
        <v>242</v>
      </c>
      <c r="O52" s="458"/>
      <c r="P52" s="458"/>
      <c r="Q52" s="458"/>
      <c r="R52" s="458"/>
      <c r="S52" s="458"/>
      <c r="T52" s="458"/>
      <c r="U52" s="458"/>
      <c r="V52" s="458"/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60" t="s">
        <v>2</v>
      </c>
      <c r="B53" s="461"/>
      <c r="C53" s="146" t="s">
        <v>46</v>
      </c>
      <c r="D53" s="146" t="s">
        <v>47</v>
      </c>
      <c r="E53" s="146" t="s">
        <v>108</v>
      </c>
      <c r="F53" s="461" t="s">
        <v>107</v>
      </c>
      <c r="G53" s="461"/>
      <c r="H53" s="461"/>
      <c r="I53" s="461"/>
      <c r="J53" s="461"/>
      <c r="K53" s="461"/>
      <c r="L53" s="461"/>
      <c r="M53" s="462"/>
      <c r="N53" s="73" t="s">
        <v>112</v>
      </c>
      <c r="O53" s="146" t="s">
        <v>46</v>
      </c>
      <c r="P53" s="463" t="s">
        <v>47</v>
      </c>
      <c r="Q53" s="464"/>
      <c r="R53" s="463" t="s">
        <v>38</v>
      </c>
      <c r="S53" s="465"/>
      <c r="T53" s="465"/>
      <c r="U53" s="464"/>
      <c r="V53" s="463" t="s">
        <v>48</v>
      </c>
      <c r="W53" s="465"/>
      <c r="X53" s="465"/>
      <c r="Y53" s="465"/>
      <c r="Z53" s="465"/>
      <c r="AA53" s="465"/>
      <c r="AB53" s="465"/>
      <c r="AC53" s="465"/>
      <c r="AD53" s="466"/>
    </row>
    <row r="54" spans="1:32" ht="27" customHeight="1">
      <c r="A54" s="439" t="s">
        <v>237</v>
      </c>
      <c r="B54" s="440"/>
      <c r="C54" s="143" t="s">
        <v>238</v>
      </c>
      <c r="D54" s="143" t="s">
        <v>239</v>
      </c>
      <c r="E54" s="143" t="s">
        <v>229</v>
      </c>
      <c r="F54" s="431" t="s">
        <v>240</v>
      </c>
      <c r="G54" s="431"/>
      <c r="H54" s="431"/>
      <c r="I54" s="431"/>
      <c r="J54" s="431"/>
      <c r="K54" s="431"/>
      <c r="L54" s="431"/>
      <c r="M54" s="441"/>
      <c r="N54" s="142" t="s">
        <v>125</v>
      </c>
      <c r="O54" s="124" t="s">
        <v>182</v>
      </c>
      <c r="P54" s="440" t="s">
        <v>243</v>
      </c>
      <c r="Q54" s="440"/>
      <c r="R54" s="440" t="s">
        <v>244</v>
      </c>
      <c r="S54" s="440"/>
      <c r="T54" s="440"/>
      <c r="U54" s="440"/>
      <c r="V54" s="431" t="s">
        <v>130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231</v>
      </c>
      <c r="B55" s="440"/>
      <c r="C55" s="143" t="s">
        <v>188</v>
      </c>
      <c r="D55" s="143"/>
      <c r="E55" s="143" t="s">
        <v>232</v>
      </c>
      <c r="F55" s="431" t="s">
        <v>130</v>
      </c>
      <c r="G55" s="431"/>
      <c r="H55" s="431"/>
      <c r="I55" s="431"/>
      <c r="J55" s="431"/>
      <c r="K55" s="431"/>
      <c r="L55" s="431"/>
      <c r="M55" s="441"/>
      <c r="N55" s="142" t="s">
        <v>237</v>
      </c>
      <c r="O55" s="124" t="s">
        <v>188</v>
      </c>
      <c r="P55" s="440" t="s">
        <v>245</v>
      </c>
      <c r="Q55" s="440"/>
      <c r="R55" s="440" t="s">
        <v>246</v>
      </c>
      <c r="S55" s="440"/>
      <c r="T55" s="440"/>
      <c r="U55" s="440"/>
      <c r="V55" s="431" t="s">
        <v>130</v>
      </c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125</v>
      </c>
      <c r="B56" s="440"/>
      <c r="C56" s="143" t="s">
        <v>182</v>
      </c>
      <c r="D56" s="143" t="s">
        <v>224</v>
      </c>
      <c r="E56" s="143" t="s">
        <v>225</v>
      </c>
      <c r="F56" s="431" t="s">
        <v>241</v>
      </c>
      <c r="G56" s="431"/>
      <c r="H56" s="431"/>
      <c r="I56" s="431"/>
      <c r="J56" s="431"/>
      <c r="K56" s="431"/>
      <c r="L56" s="431"/>
      <c r="M56" s="441"/>
      <c r="N56" s="142" t="s">
        <v>237</v>
      </c>
      <c r="O56" s="124" t="s">
        <v>247</v>
      </c>
      <c r="P56" s="440" t="s">
        <v>245</v>
      </c>
      <c r="Q56" s="440"/>
      <c r="R56" s="440" t="s">
        <v>248</v>
      </c>
      <c r="S56" s="440"/>
      <c r="T56" s="440"/>
      <c r="U56" s="440"/>
      <c r="V56" s="431" t="s">
        <v>130</v>
      </c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 t="s">
        <v>125</v>
      </c>
      <c r="B57" s="440"/>
      <c r="C57" s="143" t="s">
        <v>204</v>
      </c>
      <c r="D57" s="143" t="s">
        <v>195</v>
      </c>
      <c r="E57" s="143" t="s">
        <v>203</v>
      </c>
      <c r="F57" s="431" t="s">
        <v>206</v>
      </c>
      <c r="G57" s="431"/>
      <c r="H57" s="431"/>
      <c r="I57" s="431"/>
      <c r="J57" s="431"/>
      <c r="K57" s="431"/>
      <c r="L57" s="431"/>
      <c r="M57" s="441"/>
      <c r="N57" s="142"/>
      <c r="O57" s="124"/>
      <c r="P57" s="440"/>
      <c r="Q57" s="440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 t="s">
        <v>223</v>
      </c>
      <c r="B58" s="440"/>
      <c r="C58" s="143" t="s">
        <v>238</v>
      </c>
      <c r="D58" s="143" t="s">
        <v>233</v>
      </c>
      <c r="E58" s="143" t="s">
        <v>234</v>
      </c>
      <c r="F58" s="431" t="s">
        <v>130</v>
      </c>
      <c r="G58" s="431"/>
      <c r="H58" s="431"/>
      <c r="I58" s="431"/>
      <c r="J58" s="431"/>
      <c r="K58" s="431"/>
      <c r="L58" s="431"/>
      <c r="M58" s="441"/>
      <c r="N58" s="142"/>
      <c r="O58" s="124"/>
      <c r="P58" s="440"/>
      <c r="Q58" s="440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 t="s">
        <v>249</v>
      </c>
      <c r="B59" s="440"/>
      <c r="C59" s="143" t="s">
        <v>250</v>
      </c>
      <c r="D59" s="143"/>
      <c r="E59" s="143" t="s">
        <v>251</v>
      </c>
      <c r="F59" s="431" t="s">
        <v>252</v>
      </c>
      <c r="G59" s="431"/>
      <c r="H59" s="431"/>
      <c r="I59" s="431"/>
      <c r="J59" s="431"/>
      <c r="K59" s="431"/>
      <c r="L59" s="431"/>
      <c r="M59" s="441"/>
      <c r="N59" s="142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</row>
    <row r="60" spans="1:32" ht="27" customHeight="1">
      <c r="A60" s="439"/>
      <c r="B60" s="440"/>
      <c r="C60" s="143"/>
      <c r="D60" s="143"/>
      <c r="E60" s="143"/>
      <c r="F60" s="431"/>
      <c r="G60" s="431"/>
      <c r="H60" s="431"/>
      <c r="I60" s="431"/>
      <c r="J60" s="431"/>
      <c r="K60" s="431"/>
      <c r="L60" s="431"/>
      <c r="M60" s="441"/>
      <c r="N60" s="142"/>
      <c r="O60" s="124"/>
      <c r="P60" s="446"/>
      <c r="Q60" s="447"/>
      <c r="R60" s="440"/>
      <c r="S60" s="440"/>
      <c r="T60" s="440"/>
      <c r="U60" s="440"/>
      <c r="V60" s="431"/>
      <c r="W60" s="431"/>
      <c r="X60" s="431"/>
      <c r="Y60" s="431"/>
      <c r="Z60" s="431"/>
      <c r="AA60" s="431"/>
      <c r="AB60" s="431"/>
      <c r="AC60" s="431"/>
      <c r="AD60" s="441"/>
    </row>
    <row r="61" spans="1:32" ht="27" customHeight="1">
      <c r="A61" s="439"/>
      <c r="B61" s="440"/>
      <c r="C61" s="143"/>
      <c r="D61" s="143"/>
      <c r="E61" s="143"/>
      <c r="F61" s="431"/>
      <c r="G61" s="431"/>
      <c r="H61" s="431"/>
      <c r="I61" s="431"/>
      <c r="J61" s="431"/>
      <c r="K61" s="431"/>
      <c r="L61" s="431"/>
      <c r="M61" s="441"/>
      <c r="N61" s="142"/>
      <c r="O61" s="124"/>
      <c r="P61" s="446"/>
      <c r="Q61" s="447"/>
      <c r="R61" s="440"/>
      <c r="S61" s="440"/>
      <c r="T61" s="440"/>
      <c r="U61" s="440"/>
      <c r="V61" s="431"/>
      <c r="W61" s="431"/>
      <c r="X61" s="431"/>
      <c r="Y61" s="431"/>
      <c r="Z61" s="431"/>
      <c r="AA61" s="431"/>
      <c r="AB61" s="431"/>
      <c r="AC61" s="431"/>
      <c r="AD61" s="441"/>
    </row>
    <row r="62" spans="1:32" ht="27" customHeight="1">
      <c r="A62" s="439"/>
      <c r="B62" s="440"/>
      <c r="C62" s="143"/>
      <c r="D62" s="143"/>
      <c r="E62" s="143"/>
      <c r="F62" s="431"/>
      <c r="G62" s="431"/>
      <c r="H62" s="431"/>
      <c r="I62" s="431"/>
      <c r="J62" s="431"/>
      <c r="K62" s="431"/>
      <c r="L62" s="431"/>
      <c r="M62" s="441"/>
      <c r="N62" s="142"/>
      <c r="O62" s="124"/>
      <c r="P62" s="440"/>
      <c r="Q62" s="440"/>
      <c r="R62" s="440"/>
      <c r="S62" s="440"/>
      <c r="T62" s="440"/>
      <c r="U62" s="440"/>
      <c r="V62" s="431"/>
      <c r="W62" s="431"/>
      <c r="X62" s="431"/>
      <c r="Y62" s="431"/>
      <c r="Z62" s="431"/>
      <c r="AA62" s="431"/>
      <c r="AB62" s="431"/>
      <c r="AC62" s="431"/>
      <c r="AD62" s="441"/>
      <c r="AF62" s="93">
        <f>8*3000</f>
        <v>24000</v>
      </c>
    </row>
    <row r="63" spans="1:32" ht="27" customHeight="1" thickBot="1">
      <c r="A63" s="442"/>
      <c r="B63" s="443"/>
      <c r="C63" s="145"/>
      <c r="D63" s="145"/>
      <c r="E63" s="145"/>
      <c r="F63" s="444"/>
      <c r="G63" s="444"/>
      <c r="H63" s="444"/>
      <c r="I63" s="444"/>
      <c r="J63" s="444"/>
      <c r="K63" s="444"/>
      <c r="L63" s="444"/>
      <c r="M63" s="445"/>
      <c r="N63" s="144"/>
      <c r="O63" s="120"/>
      <c r="P63" s="443"/>
      <c r="Q63" s="443"/>
      <c r="R63" s="443"/>
      <c r="S63" s="443"/>
      <c r="T63" s="443"/>
      <c r="U63" s="443"/>
      <c r="V63" s="444"/>
      <c r="W63" s="444"/>
      <c r="X63" s="444"/>
      <c r="Y63" s="444"/>
      <c r="Z63" s="444"/>
      <c r="AA63" s="444"/>
      <c r="AB63" s="444"/>
      <c r="AC63" s="444"/>
      <c r="AD63" s="445"/>
      <c r="AF63" s="93">
        <f>16*3000</f>
        <v>48000</v>
      </c>
    </row>
    <row r="64" spans="1:32" ht="27.75" thickBot="1">
      <c r="A64" s="437" t="s">
        <v>253</v>
      </c>
      <c r="B64" s="437"/>
      <c r="C64" s="437"/>
      <c r="D64" s="437"/>
      <c r="E64" s="437"/>
      <c r="F64" s="40"/>
      <c r="G64" s="40"/>
      <c r="H64" s="41"/>
      <c r="I64" s="41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F64" s="93">
        <v>24000</v>
      </c>
    </row>
    <row r="65" spans="1:32" ht="29.25" customHeight="1" thickBot="1">
      <c r="A65" s="438" t="s">
        <v>113</v>
      </c>
      <c r="B65" s="435"/>
      <c r="C65" s="141" t="s">
        <v>2</v>
      </c>
      <c r="D65" s="141" t="s">
        <v>37</v>
      </c>
      <c r="E65" s="141" t="s">
        <v>3</v>
      </c>
      <c r="F65" s="435" t="s">
        <v>110</v>
      </c>
      <c r="G65" s="435"/>
      <c r="H65" s="435"/>
      <c r="I65" s="435"/>
      <c r="J65" s="435"/>
      <c r="K65" s="435" t="s">
        <v>39</v>
      </c>
      <c r="L65" s="435"/>
      <c r="M65" s="141" t="s">
        <v>40</v>
      </c>
      <c r="N65" s="435" t="s">
        <v>41</v>
      </c>
      <c r="O65" s="435"/>
      <c r="P65" s="432" t="s">
        <v>42</v>
      </c>
      <c r="Q65" s="434"/>
      <c r="R65" s="432" t="s">
        <v>43</v>
      </c>
      <c r="S65" s="433"/>
      <c r="T65" s="433"/>
      <c r="U65" s="433"/>
      <c r="V65" s="433"/>
      <c r="W65" s="433"/>
      <c r="X65" s="433"/>
      <c r="Y65" s="433"/>
      <c r="Z65" s="433"/>
      <c r="AA65" s="434"/>
      <c r="AB65" s="435" t="s">
        <v>44</v>
      </c>
      <c r="AC65" s="435"/>
      <c r="AD65" s="436"/>
      <c r="AF65" s="93">
        <f>SUM(AF62:AF64)</f>
        <v>96000</v>
      </c>
    </row>
    <row r="66" spans="1:32" ht="25.5" customHeight="1">
      <c r="A66" s="427">
        <v>1</v>
      </c>
      <c r="B66" s="428"/>
      <c r="C66" s="123" t="s">
        <v>223</v>
      </c>
      <c r="D66" s="137"/>
      <c r="E66" s="140" t="s">
        <v>254</v>
      </c>
      <c r="F66" s="429" t="s">
        <v>255</v>
      </c>
      <c r="G66" s="421"/>
      <c r="H66" s="421"/>
      <c r="I66" s="421"/>
      <c r="J66" s="421"/>
      <c r="K66" s="421" t="s">
        <v>256</v>
      </c>
      <c r="L66" s="421"/>
      <c r="M66" s="54" t="s">
        <v>257</v>
      </c>
      <c r="N66" s="421">
        <v>5</v>
      </c>
      <c r="O66" s="421"/>
      <c r="P66" s="430">
        <v>100</v>
      </c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2</v>
      </c>
      <c r="B67" s="428"/>
      <c r="C67" s="123"/>
      <c r="D67" s="137"/>
      <c r="E67" s="140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3</v>
      </c>
      <c r="B68" s="428"/>
      <c r="C68" s="123"/>
      <c r="D68" s="137"/>
      <c r="E68" s="140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4</v>
      </c>
      <c r="B69" s="428"/>
      <c r="C69" s="123"/>
      <c r="D69" s="137"/>
      <c r="E69" s="140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5</v>
      </c>
      <c r="B70" s="428"/>
      <c r="C70" s="123"/>
      <c r="D70" s="137"/>
      <c r="E70" s="140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5.5" customHeight="1">
      <c r="A71" s="427">
        <v>6</v>
      </c>
      <c r="B71" s="428"/>
      <c r="C71" s="123"/>
      <c r="D71" s="137"/>
      <c r="E71" s="140"/>
      <c r="F71" s="429"/>
      <c r="G71" s="421"/>
      <c r="H71" s="421"/>
      <c r="I71" s="421"/>
      <c r="J71" s="421"/>
      <c r="K71" s="421"/>
      <c r="L71" s="421"/>
      <c r="M71" s="54"/>
      <c r="N71" s="421"/>
      <c r="O71" s="421"/>
      <c r="P71" s="430"/>
      <c r="Q71" s="430"/>
      <c r="R71" s="431"/>
      <c r="S71" s="431"/>
      <c r="T71" s="431"/>
      <c r="U71" s="431"/>
      <c r="V71" s="431"/>
      <c r="W71" s="431"/>
      <c r="X71" s="431"/>
      <c r="Y71" s="431"/>
      <c r="Z71" s="431"/>
      <c r="AA71" s="431"/>
      <c r="AB71" s="421"/>
      <c r="AC71" s="421"/>
      <c r="AD71" s="422"/>
      <c r="AF71" s="53"/>
    </row>
    <row r="72" spans="1:32" ht="25.5" customHeight="1">
      <c r="A72" s="427">
        <v>7</v>
      </c>
      <c r="B72" s="428"/>
      <c r="C72" s="123"/>
      <c r="D72" s="137"/>
      <c r="E72" s="140"/>
      <c r="F72" s="429"/>
      <c r="G72" s="421"/>
      <c r="H72" s="421"/>
      <c r="I72" s="421"/>
      <c r="J72" s="421"/>
      <c r="K72" s="421"/>
      <c r="L72" s="421"/>
      <c r="M72" s="54"/>
      <c r="N72" s="421"/>
      <c r="O72" s="421"/>
      <c r="P72" s="430"/>
      <c r="Q72" s="430"/>
      <c r="R72" s="431"/>
      <c r="S72" s="431"/>
      <c r="T72" s="431"/>
      <c r="U72" s="431"/>
      <c r="V72" s="431"/>
      <c r="W72" s="431"/>
      <c r="X72" s="431"/>
      <c r="Y72" s="431"/>
      <c r="Z72" s="431"/>
      <c r="AA72" s="431"/>
      <c r="AB72" s="421"/>
      <c r="AC72" s="421"/>
      <c r="AD72" s="422"/>
      <c r="AF72" s="53"/>
    </row>
    <row r="73" spans="1:32" ht="25.5" customHeight="1">
      <c r="A73" s="427">
        <v>8</v>
      </c>
      <c r="B73" s="428"/>
      <c r="C73" s="123"/>
      <c r="D73" s="137"/>
      <c r="E73" s="140"/>
      <c r="F73" s="429"/>
      <c r="G73" s="421"/>
      <c r="H73" s="421"/>
      <c r="I73" s="421"/>
      <c r="J73" s="421"/>
      <c r="K73" s="421"/>
      <c r="L73" s="421"/>
      <c r="M73" s="54"/>
      <c r="N73" s="421"/>
      <c r="O73" s="421"/>
      <c r="P73" s="430"/>
      <c r="Q73" s="430"/>
      <c r="R73" s="431"/>
      <c r="S73" s="431"/>
      <c r="T73" s="431"/>
      <c r="U73" s="431"/>
      <c r="V73" s="431"/>
      <c r="W73" s="431"/>
      <c r="X73" s="431"/>
      <c r="Y73" s="431"/>
      <c r="Z73" s="431"/>
      <c r="AA73" s="431"/>
      <c r="AB73" s="421"/>
      <c r="AC73" s="421"/>
      <c r="AD73" s="422"/>
      <c r="AF73" s="53"/>
    </row>
    <row r="74" spans="1:32" ht="26.25" customHeight="1" thickBot="1">
      <c r="A74" s="401" t="s">
        <v>258</v>
      </c>
      <c r="B74" s="401"/>
      <c r="C74" s="401"/>
      <c r="D74" s="401"/>
      <c r="E74" s="401"/>
      <c r="F74" s="40"/>
      <c r="G74" s="40"/>
      <c r="H74" s="41"/>
      <c r="I74" s="41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F74" s="53"/>
    </row>
    <row r="75" spans="1:32" ht="23.25" thickBot="1">
      <c r="A75" s="402" t="s">
        <v>113</v>
      </c>
      <c r="B75" s="403"/>
      <c r="C75" s="139" t="s">
        <v>2</v>
      </c>
      <c r="D75" s="139" t="s">
        <v>37</v>
      </c>
      <c r="E75" s="139" t="s">
        <v>3</v>
      </c>
      <c r="F75" s="403" t="s">
        <v>38</v>
      </c>
      <c r="G75" s="403"/>
      <c r="H75" s="403"/>
      <c r="I75" s="403"/>
      <c r="J75" s="403"/>
      <c r="K75" s="423" t="s">
        <v>58</v>
      </c>
      <c r="L75" s="424"/>
      <c r="M75" s="424"/>
      <c r="N75" s="424"/>
      <c r="O75" s="424"/>
      <c r="P75" s="424"/>
      <c r="Q75" s="424"/>
      <c r="R75" s="424"/>
      <c r="S75" s="425"/>
      <c r="T75" s="403" t="s">
        <v>49</v>
      </c>
      <c r="U75" s="403"/>
      <c r="V75" s="423" t="s">
        <v>50</v>
      </c>
      <c r="W75" s="425"/>
      <c r="X75" s="424" t="s">
        <v>51</v>
      </c>
      <c r="Y75" s="424"/>
      <c r="Z75" s="424"/>
      <c r="AA75" s="424"/>
      <c r="AB75" s="424"/>
      <c r="AC75" s="424"/>
      <c r="AD75" s="426"/>
      <c r="AF75" s="53"/>
    </row>
    <row r="76" spans="1:32" ht="33.75" customHeight="1">
      <c r="A76" s="395">
        <v>1</v>
      </c>
      <c r="B76" s="396"/>
      <c r="C76" s="138" t="s">
        <v>114</v>
      </c>
      <c r="D76" s="138"/>
      <c r="E76" s="71" t="s">
        <v>119</v>
      </c>
      <c r="F76" s="410" t="s">
        <v>120</v>
      </c>
      <c r="G76" s="411"/>
      <c r="H76" s="411"/>
      <c r="I76" s="411"/>
      <c r="J76" s="412"/>
      <c r="K76" s="413" t="s">
        <v>115</v>
      </c>
      <c r="L76" s="414"/>
      <c r="M76" s="414"/>
      <c r="N76" s="414"/>
      <c r="O76" s="414"/>
      <c r="P76" s="414"/>
      <c r="Q76" s="414"/>
      <c r="R76" s="414"/>
      <c r="S76" s="415"/>
      <c r="T76" s="416">
        <v>42901</v>
      </c>
      <c r="U76" s="417"/>
      <c r="V76" s="418"/>
      <c r="W76" s="418"/>
      <c r="X76" s="419"/>
      <c r="Y76" s="419"/>
      <c r="Z76" s="419"/>
      <c r="AA76" s="419"/>
      <c r="AB76" s="419"/>
      <c r="AC76" s="419"/>
      <c r="AD76" s="420"/>
      <c r="AF76" s="53"/>
    </row>
    <row r="77" spans="1:32" ht="30" customHeight="1">
      <c r="A77" s="388">
        <f>A76+1</f>
        <v>2</v>
      </c>
      <c r="B77" s="389"/>
      <c r="C77" s="137" t="s">
        <v>114</v>
      </c>
      <c r="D77" s="137"/>
      <c r="E77" s="35" t="s">
        <v>116</v>
      </c>
      <c r="F77" s="389" t="s">
        <v>117</v>
      </c>
      <c r="G77" s="389"/>
      <c r="H77" s="389"/>
      <c r="I77" s="389"/>
      <c r="J77" s="389"/>
      <c r="K77" s="404" t="s">
        <v>118</v>
      </c>
      <c r="L77" s="405"/>
      <c r="M77" s="405"/>
      <c r="N77" s="405"/>
      <c r="O77" s="405"/>
      <c r="P77" s="405"/>
      <c r="Q77" s="405"/>
      <c r="R77" s="405"/>
      <c r="S77" s="406"/>
      <c r="T77" s="407">
        <v>42867</v>
      </c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ref="A78:A84" si="19">A77+1</f>
        <v>3</v>
      </c>
      <c r="B78" s="389"/>
      <c r="C78" s="137"/>
      <c r="D78" s="137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9"/>
        <v>4</v>
      </c>
      <c r="B79" s="389"/>
      <c r="C79" s="137"/>
      <c r="D79" s="137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9"/>
        <v>5</v>
      </c>
      <c r="B80" s="389"/>
      <c r="C80" s="137"/>
      <c r="D80" s="137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9"/>
        <v>6</v>
      </c>
      <c r="B81" s="389"/>
      <c r="C81" s="137"/>
      <c r="D81" s="137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0" customHeight="1">
      <c r="A82" s="388">
        <f t="shared" si="19"/>
        <v>7</v>
      </c>
      <c r="B82" s="389"/>
      <c r="C82" s="137"/>
      <c r="D82" s="137"/>
      <c r="E82" s="35"/>
      <c r="F82" s="389"/>
      <c r="G82" s="389"/>
      <c r="H82" s="389"/>
      <c r="I82" s="389"/>
      <c r="J82" s="389"/>
      <c r="K82" s="404"/>
      <c r="L82" s="405"/>
      <c r="M82" s="405"/>
      <c r="N82" s="405"/>
      <c r="O82" s="405"/>
      <c r="P82" s="405"/>
      <c r="Q82" s="405"/>
      <c r="R82" s="405"/>
      <c r="S82" s="406"/>
      <c r="T82" s="407"/>
      <c r="U82" s="407"/>
      <c r="V82" s="407"/>
      <c r="W82" s="407"/>
      <c r="X82" s="408"/>
      <c r="Y82" s="408"/>
      <c r="Z82" s="408"/>
      <c r="AA82" s="408"/>
      <c r="AB82" s="408"/>
      <c r="AC82" s="408"/>
      <c r="AD82" s="409"/>
      <c r="AF82" s="53"/>
    </row>
    <row r="83" spans="1:32" ht="30" customHeight="1">
      <c r="A83" s="388">
        <f t="shared" si="19"/>
        <v>8</v>
      </c>
      <c r="B83" s="389"/>
      <c r="C83" s="137"/>
      <c r="D83" s="137"/>
      <c r="E83" s="35"/>
      <c r="F83" s="389"/>
      <c r="G83" s="389"/>
      <c r="H83" s="389"/>
      <c r="I83" s="389"/>
      <c r="J83" s="389"/>
      <c r="K83" s="404"/>
      <c r="L83" s="405"/>
      <c r="M83" s="405"/>
      <c r="N83" s="405"/>
      <c r="O83" s="405"/>
      <c r="P83" s="405"/>
      <c r="Q83" s="405"/>
      <c r="R83" s="405"/>
      <c r="S83" s="406"/>
      <c r="T83" s="407"/>
      <c r="U83" s="407"/>
      <c r="V83" s="407"/>
      <c r="W83" s="407"/>
      <c r="X83" s="408"/>
      <c r="Y83" s="408"/>
      <c r="Z83" s="408"/>
      <c r="AA83" s="408"/>
      <c r="AB83" s="408"/>
      <c r="AC83" s="408"/>
      <c r="AD83" s="409"/>
      <c r="AF83" s="53"/>
    </row>
    <row r="84" spans="1:32" ht="30" customHeight="1">
      <c r="A84" s="388">
        <f t="shared" si="19"/>
        <v>9</v>
      </c>
      <c r="B84" s="389"/>
      <c r="C84" s="137"/>
      <c r="D84" s="137"/>
      <c r="E84" s="35"/>
      <c r="F84" s="389"/>
      <c r="G84" s="389"/>
      <c r="H84" s="389"/>
      <c r="I84" s="389"/>
      <c r="J84" s="389"/>
      <c r="K84" s="404"/>
      <c r="L84" s="405"/>
      <c r="M84" s="405"/>
      <c r="N84" s="405"/>
      <c r="O84" s="405"/>
      <c r="P84" s="405"/>
      <c r="Q84" s="405"/>
      <c r="R84" s="405"/>
      <c r="S84" s="406"/>
      <c r="T84" s="407"/>
      <c r="U84" s="407"/>
      <c r="V84" s="407"/>
      <c r="W84" s="407"/>
      <c r="X84" s="408"/>
      <c r="Y84" s="408"/>
      <c r="Z84" s="408"/>
      <c r="AA84" s="408"/>
      <c r="AB84" s="408"/>
      <c r="AC84" s="408"/>
      <c r="AD84" s="409"/>
      <c r="AF84" s="53"/>
    </row>
    <row r="85" spans="1:32" ht="36" thickBot="1">
      <c r="A85" s="401" t="s">
        <v>259</v>
      </c>
      <c r="B85" s="401"/>
      <c r="C85" s="401"/>
      <c r="D85" s="401"/>
      <c r="E85" s="401"/>
      <c r="F85" s="40"/>
      <c r="G85" s="40"/>
      <c r="H85" s="41"/>
      <c r="I85" s="41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F85" s="53"/>
    </row>
    <row r="86" spans="1:32" ht="30.75" customHeight="1" thickBot="1">
      <c r="A86" s="402" t="s">
        <v>113</v>
      </c>
      <c r="B86" s="403"/>
      <c r="C86" s="393" t="s">
        <v>52</v>
      </c>
      <c r="D86" s="393"/>
      <c r="E86" s="393" t="s">
        <v>53</v>
      </c>
      <c r="F86" s="393"/>
      <c r="G86" s="393"/>
      <c r="H86" s="393"/>
      <c r="I86" s="393"/>
      <c r="J86" s="393"/>
      <c r="K86" s="393" t="s">
        <v>54</v>
      </c>
      <c r="L86" s="393"/>
      <c r="M86" s="393"/>
      <c r="N86" s="393"/>
      <c r="O86" s="393"/>
      <c r="P86" s="393"/>
      <c r="Q86" s="393"/>
      <c r="R86" s="393"/>
      <c r="S86" s="393"/>
      <c r="T86" s="393" t="s">
        <v>55</v>
      </c>
      <c r="U86" s="393"/>
      <c r="V86" s="393" t="s">
        <v>56</v>
      </c>
      <c r="W86" s="393"/>
      <c r="X86" s="393"/>
      <c r="Y86" s="393" t="s">
        <v>51</v>
      </c>
      <c r="Z86" s="393"/>
      <c r="AA86" s="393"/>
      <c r="AB86" s="393"/>
      <c r="AC86" s="393"/>
      <c r="AD86" s="394"/>
      <c r="AF86" s="53"/>
    </row>
    <row r="87" spans="1:32" ht="30.75" customHeight="1">
      <c r="A87" s="395">
        <v>1</v>
      </c>
      <c r="B87" s="396"/>
      <c r="C87" s="397"/>
      <c r="D87" s="397"/>
      <c r="E87" s="397"/>
      <c r="F87" s="397"/>
      <c r="G87" s="397"/>
      <c r="H87" s="397"/>
      <c r="I87" s="397"/>
      <c r="J87" s="397"/>
      <c r="K87" s="397"/>
      <c r="L87" s="397"/>
      <c r="M87" s="397"/>
      <c r="N87" s="397"/>
      <c r="O87" s="397"/>
      <c r="P87" s="397"/>
      <c r="Q87" s="397"/>
      <c r="R87" s="397"/>
      <c r="S87" s="397"/>
      <c r="T87" s="397"/>
      <c r="U87" s="397"/>
      <c r="V87" s="398"/>
      <c r="W87" s="398"/>
      <c r="X87" s="398"/>
      <c r="Y87" s="399"/>
      <c r="Z87" s="399"/>
      <c r="AA87" s="399"/>
      <c r="AB87" s="399"/>
      <c r="AC87" s="399"/>
      <c r="AD87" s="400"/>
      <c r="AF87" s="53"/>
    </row>
    <row r="88" spans="1:32" ht="30.75" customHeight="1">
      <c r="A88" s="388">
        <v>2</v>
      </c>
      <c r="B88" s="389"/>
      <c r="C88" s="390"/>
      <c r="D88" s="390"/>
      <c r="E88" s="390"/>
      <c r="F88" s="390"/>
      <c r="G88" s="390"/>
      <c r="H88" s="390"/>
      <c r="I88" s="390"/>
      <c r="J88" s="390"/>
      <c r="K88" s="390"/>
      <c r="L88" s="390"/>
      <c r="M88" s="390"/>
      <c r="N88" s="390"/>
      <c r="O88" s="390"/>
      <c r="P88" s="390"/>
      <c r="Q88" s="390"/>
      <c r="R88" s="390"/>
      <c r="S88" s="390"/>
      <c r="T88" s="391"/>
      <c r="U88" s="391"/>
      <c r="V88" s="392"/>
      <c r="W88" s="392"/>
      <c r="X88" s="392"/>
      <c r="Y88" s="381"/>
      <c r="Z88" s="381"/>
      <c r="AA88" s="381"/>
      <c r="AB88" s="381"/>
      <c r="AC88" s="381"/>
      <c r="AD88" s="382"/>
      <c r="AF88" s="53"/>
    </row>
    <row r="89" spans="1:32" ht="30.75" customHeight="1" thickBot="1">
      <c r="A89" s="383">
        <v>3</v>
      </c>
      <c r="B89" s="384"/>
      <c r="C89" s="385"/>
      <c r="D89" s="385"/>
      <c r="E89" s="385"/>
      <c r="F89" s="385"/>
      <c r="G89" s="385"/>
      <c r="H89" s="385"/>
      <c r="I89" s="385"/>
      <c r="J89" s="385"/>
      <c r="K89" s="385"/>
      <c r="L89" s="385"/>
      <c r="M89" s="385"/>
      <c r="N89" s="385"/>
      <c r="O89" s="385"/>
      <c r="P89" s="385"/>
      <c r="Q89" s="385"/>
      <c r="R89" s="385"/>
      <c r="S89" s="385"/>
      <c r="T89" s="385"/>
      <c r="U89" s="385"/>
      <c r="V89" s="385"/>
      <c r="W89" s="385"/>
      <c r="X89" s="385"/>
      <c r="Y89" s="386"/>
      <c r="Z89" s="386"/>
      <c r="AA89" s="386"/>
      <c r="AB89" s="386"/>
      <c r="AC89" s="386"/>
      <c r="AD89" s="387"/>
      <c r="AF89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5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F86"/>
  <sheetViews>
    <sheetView zoomScale="72" zoomScaleNormal="72" zoomScaleSheetLayoutView="70" workbookViewId="0">
      <selection activeCell="F64" sqref="F64:J6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260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47" t="s">
        <v>17</v>
      </c>
      <c r="L5" s="147" t="s">
        <v>18</v>
      </c>
      <c r="M5" s="147" t="s">
        <v>19</v>
      </c>
      <c r="N5" s="14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0.14165386584741427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0.14165386584741427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143</v>
      </c>
      <c r="D8" s="55" t="s">
        <v>159</v>
      </c>
      <c r="E8" s="57" t="s">
        <v>160</v>
      </c>
      <c r="F8" s="33" t="s">
        <v>161</v>
      </c>
      <c r="G8" s="36">
        <v>1</v>
      </c>
      <c r="H8" s="38">
        <v>25</v>
      </c>
      <c r="I8" s="7">
        <v>4000</v>
      </c>
      <c r="J8" s="5">
        <v>2510</v>
      </c>
      <c r="K8" s="15">
        <f>L8+5281+2508</f>
        <v>7789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0.14165386584741427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223</v>
      </c>
      <c r="D9" s="55" t="s">
        <v>243</v>
      </c>
      <c r="E9" s="57" t="s">
        <v>244</v>
      </c>
      <c r="F9" s="33" t="s">
        <v>261</v>
      </c>
      <c r="G9" s="36">
        <v>1</v>
      </c>
      <c r="H9" s="38">
        <v>25</v>
      </c>
      <c r="I9" s="7">
        <v>1000</v>
      </c>
      <c r="J9" s="5">
        <v>2170</v>
      </c>
      <c r="K9" s="15">
        <f>L9</f>
        <v>2169</v>
      </c>
      <c r="L9" s="15">
        <f>2169</f>
        <v>2169</v>
      </c>
      <c r="M9" s="16">
        <f t="shared" si="0"/>
        <v>2169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/>
      <c r="T9" s="17"/>
      <c r="U9" s="17"/>
      <c r="V9" s="18">
        <v>14</v>
      </c>
      <c r="W9" s="19"/>
      <c r="X9" s="17"/>
      <c r="Y9" s="20"/>
      <c r="Z9" s="20"/>
      <c r="AA9" s="21"/>
      <c r="AB9" s="8">
        <f t="shared" si="4"/>
        <v>0.99953917050691243</v>
      </c>
      <c r="AC9" s="9">
        <f t="shared" si="5"/>
        <v>0.41666666666666669</v>
      </c>
      <c r="AD9" s="10">
        <f t="shared" si="6"/>
        <v>0.41647465437788023</v>
      </c>
      <c r="AE9" s="39">
        <f t="shared" si="7"/>
        <v>0.14165386584741427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237</v>
      </c>
      <c r="D10" s="55" t="s">
        <v>245</v>
      </c>
      <c r="E10" s="57" t="s">
        <v>246</v>
      </c>
      <c r="F10" s="12" t="s">
        <v>261</v>
      </c>
      <c r="G10" s="12">
        <v>1</v>
      </c>
      <c r="H10" s="13">
        <v>25</v>
      </c>
      <c r="I10" s="7">
        <v>2000</v>
      </c>
      <c r="J10" s="14">
        <v>1402</v>
      </c>
      <c r="K10" s="15">
        <f>L10</f>
        <v>1402</v>
      </c>
      <c r="L10" s="15">
        <v>1402</v>
      </c>
      <c r="M10" s="16">
        <f t="shared" si="0"/>
        <v>1402</v>
      </c>
      <c r="N10" s="16">
        <v>0</v>
      </c>
      <c r="O10" s="62">
        <f t="shared" si="1"/>
        <v>0</v>
      </c>
      <c r="P10" s="42">
        <f t="shared" si="2"/>
        <v>7</v>
      </c>
      <c r="Q10" s="43">
        <f t="shared" si="3"/>
        <v>17</v>
      </c>
      <c r="R10" s="7"/>
      <c r="S10" s="6">
        <v>17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0.29166666666666669</v>
      </c>
      <c r="AD10" s="10">
        <f t="shared" si="6"/>
        <v>0.29166666666666669</v>
      </c>
      <c r="AE10" s="39">
        <f t="shared" si="7"/>
        <v>0.14165386584741427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143</v>
      </c>
      <c r="D11" s="55" t="s">
        <v>149</v>
      </c>
      <c r="E11" s="57" t="s">
        <v>150</v>
      </c>
      <c r="F11" s="12" t="s">
        <v>133</v>
      </c>
      <c r="G11" s="12">
        <v>1</v>
      </c>
      <c r="H11" s="13">
        <v>25</v>
      </c>
      <c r="I11" s="34">
        <v>4000</v>
      </c>
      <c r="J11" s="5">
        <v>1720</v>
      </c>
      <c r="K11" s="15">
        <f>L11+4857+1720</f>
        <v>6577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0.14165386584741427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125</v>
      </c>
      <c r="D12" s="55" t="s">
        <v>152</v>
      </c>
      <c r="E12" s="57" t="s">
        <v>153</v>
      </c>
      <c r="F12" s="12" t="s">
        <v>129</v>
      </c>
      <c r="G12" s="12">
        <v>1</v>
      </c>
      <c r="H12" s="13">
        <v>25</v>
      </c>
      <c r="I12" s="7">
        <v>36000</v>
      </c>
      <c r="J12" s="14">
        <v>2494</v>
      </c>
      <c r="K12" s="15">
        <f>L12+2996+5357+5330</f>
        <v>16177</v>
      </c>
      <c r="L12" s="15">
        <f>2494</f>
        <v>2494</v>
      </c>
      <c r="M12" s="16">
        <f t="shared" si="0"/>
        <v>2494</v>
      </c>
      <c r="N12" s="16">
        <v>0</v>
      </c>
      <c r="O12" s="62">
        <f t="shared" si="1"/>
        <v>0</v>
      </c>
      <c r="P12" s="42">
        <f t="shared" si="2"/>
        <v>10</v>
      </c>
      <c r="Q12" s="43">
        <f t="shared" si="3"/>
        <v>14</v>
      </c>
      <c r="R12" s="7"/>
      <c r="S12" s="6"/>
      <c r="T12" s="17"/>
      <c r="U12" s="17"/>
      <c r="V12" s="18">
        <v>14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0.41666666666666669</v>
      </c>
      <c r="AD12" s="10">
        <f t="shared" si="6"/>
        <v>0.41666666666666669</v>
      </c>
      <c r="AE12" s="39">
        <f t="shared" si="7"/>
        <v>0.14165386584741427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123</v>
      </c>
      <c r="E13" s="57" t="s">
        <v>145</v>
      </c>
      <c r="F13" s="12" t="s">
        <v>132</v>
      </c>
      <c r="G13" s="12">
        <v>1</v>
      </c>
      <c r="H13" s="13">
        <v>25</v>
      </c>
      <c r="I13" s="7">
        <v>40000</v>
      </c>
      <c r="J13" s="14">
        <v>2571</v>
      </c>
      <c r="K13" s="15">
        <f>L13+689+4617+3636+3996</f>
        <v>15509</v>
      </c>
      <c r="L13" s="15">
        <v>2571</v>
      </c>
      <c r="M13" s="16">
        <f t="shared" si="0"/>
        <v>2571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/>
      <c r="T13" s="17"/>
      <c r="U13" s="17"/>
      <c r="V13" s="18">
        <v>14</v>
      </c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0.41666666666666669</v>
      </c>
      <c r="AD13" s="10">
        <f t="shared" si="6"/>
        <v>0.41666666666666669</v>
      </c>
      <c r="AE13" s="39">
        <f t="shared" si="7"/>
        <v>0.14165386584741427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137</v>
      </c>
      <c r="F14" s="33" t="s">
        <v>129</v>
      </c>
      <c r="G14" s="36">
        <v>1</v>
      </c>
      <c r="H14" s="38">
        <v>25</v>
      </c>
      <c r="I14" s="7">
        <v>200</v>
      </c>
      <c r="J14" s="5">
        <v>280</v>
      </c>
      <c r="K14" s="15">
        <f>L14+280</f>
        <v>280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0.14165386584741427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125</v>
      </c>
      <c r="D15" s="55" t="s">
        <v>126</v>
      </c>
      <c r="E15" s="57" t="s">
        <v>136</v>
      </c>
      <c r="F15" s="12" t="s">
        <v>133</v>
      </c>
      <c r="G15" s="12">
        <v>1</v>
      </c>
      <c r="H15" s="13">
        <v>24</v>
      </c>
      <c r="I15" s="34">
        <v>1100</v>
      </c>
      <c r="J15" s="14">
        <v>1430</v>
      </c>
      <c r="K15" s="15">
        <f>L15+1423</f>
        <v>1423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0.14165386584741427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138</v>
      </c>
      <c r="E16" s="57" t="s">
        <v>139</v>
      </c>
      <c r="F16" s="33" t="s">
        <v>134</v>
      </c>
      <c r="G16" s="36">
        <v>1</v>
      </c>
      <c r="H16" s="38">
        <v>25</v>
      </c>
      <c r="I16" s="7">
        <v>12000</v>
      </c>
      <c r="J16" s="5">
        <v>4150</v>
      </c>
      <c r="K16" s="15">
        <f>L16+4095+4538+4147</f>
        <v>12780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0.14165386584741427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114</v>
      </c>
      <c r="D17" s="55" t="s">
        <v>141</v>
      </c>
      <c r="E17" s="57" t="s">
        <v>142</v>
      </c>
      <c r="F17" s="12">
        <v>8301</v>
      </c>
      <c r="G17" s="12">
        <v>1</v>
      </c>
      <c r="H17" s="13">
        <v>24</v>
      </c>
      <c r="I17" s="34">
        <v>6800</v>
      </c>
      <c r="J17" s="14">
        <v>3960</v>
      </c>
      <c r="K17" s="15">
        <f>L17</f>
        <v>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>
        <v>24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0.14165386584741427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237</v>
      </c>
      <c r="D18" s="55" t="s">
        <v>245</v>
      </c>
      <c r="E18" s="57" t="s">
        <v>248</v>
      </c>
      <c r="F18" s="12" t="s">
        <v>262</v>
      </c>
      <c r="G18" s="36">
        <v>1</v>
      </c>
      <c r="H18" s="38">
        <v>30</v>
      </c>
      <c r="I18" s="7">
        <v>500</v>
      </c>
      <c r="J18" s="5">
        <v>583</v>
      </c>
      <c r="K18" s="15">
        <f>L18</f>
        <v>583</v>
      </c>
      <c r="L18" s="15">
        <v>583</v>
      </c>
      <c r="M18" s="16">
        <f t="shared" si="0"/>
        <v>583</v>
      </c>
      <c r="N18" s="16">
        <v>0</v>
      </c>
      <c r="O18" s="62">
        <f t="shared" si="1"/>
        <v>0</v>
      </c>
      <c r="P18" s="42">
        <f t="shared" si="2"/>
        <v>4</v>
      </c>
      <c r="Q18" s="43">
        <f t="shared" si="3"/>
        <v>20</v>
      </c>
      <c r="R18" s="7"/>
      <c r="S18" s="6">
        <v>6</v>
      </c>
      <c r="T18" s="17"/>
      <c r="U18" s="17"/>
      <c r="V18" s="18">
        <v>14</v>
      </c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9">
        <f t="shared" si="7"/>
        <v>0.14165386584741427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37" t="s">
        <v>223</v>
      </c>
      <c r="D19" s="55" t="s">
        <v>233</v>
      </c>
      <c r="E19" s="57" t="s">
        <v>234</v>
      </c>
      <c r="F19" s="33" t="s">
        <v>235</v>
      </c>
      <c r="G19" s="12">
        <v>1</v>
      </c>
      <c r="H19" s="13">
        <v>25</v>
      </c>
      <c r="I19" s="34">
        <v>1000</v>
      </c>
      <c r="J19" s="5">
        <v>2222</v>
      </c>
      <c r="K19" s="15">
        <f>L19+2802</f>
        <v>5024</v>
      </c>
      <c r="L19" s="15">
        <v>2222</v>
      </c>
      <c r="M19" s="16">
        <f t="shared" si="0"/>
        <v>2222</v>
      </c>
      <c r="N19" s="16">
        <v>0</v>
      </c>
      <c r="O19" s="62">
        <f t="shared" si="1"/>
        <v>0</v>
      </c>
      <c r="P19" s="42">
        <f t="shared" si="2"/>
        <v>10</v>
      </c>
      <c r="Q19" s="43">
        <f t="shared" si="3"/>
        <v>14</v>
      </c>
      <c r="R19" s="7"/>
      <c r="S19" s="6"/>
      <c r="T19" s="17"/>
      <c r="U19" s="17"/>
      <c r="V19" s="18">
        <v>14</v>
      </c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0.41666666666666669</v>
      </c>
      <c r="AD19" s="10">
        <f t="shared" si="6"/>
        <v>0.41666666666666669</v>
      </c>
      <c r="AE19" s="39">
        <f t="shared" si="7"/>
        <v>0.14165386584741427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140</v>
      </c>
      <c r="F20" s="12" t="s">
        <v>122</v>
      </c>
      <c r="G20" s="12">
        <v>4</v>
      </c>
      <c r="H20" s="38">
        <v>20</v>
      </c>
      <c r="I20" s="7">
        <v>500000</v>
      </c>
      <c r="J20" s="14">
        <v>33190</v>
      </c>
      <c r="K20" s="15">
        <f>L20+45528+23236+46280+51612+51820+33188</f>
        <v>251664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0.14165386584741427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809600</v>
      </c>
      <c r="J21" s="22">
        <f t="shared" si="9"/>
        <v>96322</v>
      </c>
      <c r="K21" s="23">
        <f t="shared" si="9"/>
        <v>508655</v>
      </c>
      <c r="L21" s="24">
        <f t="shared" si="9"/>
        <v>11441</v>
      </c>
      <c r="M21" s="23">
        <f t="shared" si="9"/>
        <v>11441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51</v>
      </c>
      <c r="Q21" s="46">
        <f t="shared" si="10"/>
        <v>309</v>
      </c>
      <c r="R21" s="26">
        <f t="shared" si="10"/>
        <v>24</v>
      </c>
      <c r="S21" s="27">
        <f t="shared" si="10"/>
        <v>71</v>
      </c>
      <c r="T21" s="27">
        <f t="shared" si="10"/>
        <v>0</v>
      </c>
      <c r="U21" s="27">
        <f t="shared" si="10"/>
        <v>0</v>
      </c>
      <c r="V21" s="28">
        <f t="shared" si="10"/>
        <v>70</v>
      </c>
      <c r="W21" s="29">
        <f t="shared" si="10"/>
        <v>144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0.39996927803379412</v>
      </c>
      <c r="AC21" s="4">
        <f>SUM(AC6:AC20)/15</f>
        <v>0.14166666666666666</v>
      </c>
      <c r="AD21" s="4">
        <f>SUM(AD6:AD20)/15</f>
        <v>0.14165386584741427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263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267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146" t="s">
        <v>46</v>
      </c>
      <c r="D50" s="146" t="s">
        <v>47</v>
      </c>
      <c r="E50" s="146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146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223</v>
      </c>
      <c r="B51" s="440"/>
      <c r="C51" s="143" t="s">
        <v>264</v>
      </c>
      <c r="D51" s="143" t="s">
        <v>243</v>
      </c>
      <c r="E51" s="143" t="s">
        <v>244</v>
      </c>
      <c r="F51" s="431" t="s">
        <v>265</v>
      </c>
      <c r="G51" s="431"/>
      <c r="H51" s="431"/>
      <c r="I51" s="431"/>
      <c r="J51" s="431"/>
      <c r="K51" s="431"/>
      <c r="L51" s="431"/>
      <c r="M51" s="441"/>
      <c r="N51" s="142" t="s">
        <v>237</v>
      </c>
      <c r="O51" s="124" t="s">
        <v>182</v>
      </c>
      <c r="P51" s="440" t="s">
        <v>245</v>
      </c>
      <c r="Q51" s="440"/>
      <c r="R51" s="440" t="s">
        <v>246</v>
      </c>
      <c r="S51" s="440"/>
      <c r="T51" s="440"/>
      <c r="U51" s="440"/>
      <c r="V51" s="431" t="s">
        <v>268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237</v>
      </c>
      <c r="B52" s="440"/>
      <c r="C52" s="143" t="s">
        <v>188</v>
      </c>
      <c r="D52" s="143" t="s">
        <v>245</v>
      </c>
      <c r="E52" s="143" t="s">
        <v>246</v>
      </c>
      <c r="F52" s="431" t="s">
        <v>266</v>
      </c>
      <c r="G52" s="431"/>
      <c r="H52" s="431"/>
      <c r="I52" s="431"/>
      <c r="J52" s="431"/>
      <c r="K52" s="431"/>
      <c r="L52" s="431"/>
      <c r="M52" s="441"/>
      <c r="N52" s="142" t="s">
        <v>237</v>
      </c>
      <c r="O52" s="124" t="s">
        <v>181</v>
      </c>
      <c r="P52" s="440" t="s">
        <v>269</v>
      </c>
      <c r="Q52" s="440"/>
      <c r="R52" s="440" t="s">
        <v>270</v>
      </c>
      <c r="S52" s="440"/>
      <c r="T52" s="440"/>
      <c r="U52" s="440"/>
      <c r="V52" s="431" t="s">
        <v>130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237</v>
      </c>
      <c r="B53" s="440"/>
      <c r="C53" s="143" t="s">
        <v>194</v>
      </c>
      <c r="D53" s="143" t="s">
        <v>245</v>
      </c>
      <c r="E53" s="143" t="s">
        <v>248</v>
      </c>
      <c r="F53" s="431" t="s">
        <v>280</v>
      </c>
      <c r="G53" s="431"/>
      <c r="H53" s="431"/>
      <c r="I53" s="431"/>
      <c r="J53" s="431"/>
      <c r="K53" s="431"/>
      <c r="L53" s="431"/>
      <c r="M53" s="441"/>
      <c r="N53" s="142" t="s">
        <v>237</v>
      </c>
      <c r="O53" s="124" t="s">
        <v>271</v>
      </c>
      <c r="P53" s="440" t="s">
        <v>272</v>
      </c>
      <c r="Q53" s="440"/>
      <c r="R53" s="440" t="s">
        <v>273</v>
      </c>
      <c r="S53" s="440"/>
      <c r="T53" s="440"/>
      <c r="U53" s="440"/>
      <c r="V53" s="431" t="s">
        <v>130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/>
      <c r="B54" s="440"/>
      <c r="C54" s="143"/>
      <c r="D54" s="143"/>
      <c r="E54" s="143"/>
      <c r="F54" s="431"/>
      <c r="G54" s="431"/>
      <c r="H54" s="431"/>
      <c r="I54" s="431"/>
      <c r="J54" s="431"/>
      <c r="K54" s="431"/>
      <c r="L54" s="431"/>
      <c r="M54" s="441"/>
      <c r="N54" s="142" t="s">
        <v>275</v>
      </c>
      <c r="O54" s="124" t="s">
        <v>276</v>
      </c>
      <c r="P54" s="440"/>
      <c r="Q54" s="440"/>
      <c r="R54" s="440" t="s">
        <v>274</v>
      </c>
      <c r="S54" s="440"/>
      <c r="T54" s="440"/>
      <c r="U54" s="440"/>
      <c r="V54" s="431" t="s">
        <v>130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/>
      <c r="B55" s="440"/>
      <c r="C55" s="143"/>
      <c r="D55" s="143"/>
      <c r="E55" s="143"/>
      <c r="F55" s="431"/>
      <c r="G55" s="431"/>
      <c r="H55" s="431"/>
      <c r="I55" s="431"/>
      <c r="J55" s="431"/>
      <c r="K55" s="431"/>
      <c r="L55" s="431"/>
      <c r="M55" s="441"/>
      <c r="N55" s="142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/>
      <c r="B56" s="440"/>
      <c r="C56" s="143"/>
      <c r="D56" s="143"/>
      <c r="E56" s="143"/>
      <c r="F56" s="431"/>
      <c r="G56" s="431"/>
      <c r="H56" s="431"/>
      <c r="I56" s="431"/>
      <c r="J56" s="431"/>
      <c r="K56" s="431"/>
      <c r="L56" s="431"/>
      <c r="M56" s="441"/>
      <c r="N56" s="142"/>
      <c r="O56" s="124"/>
      <c r="P56" s="440"/>
      <c r="Q56" s="440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/>
      <c r="B57" s="440"/>
      <c r="C57" s="143"/>
      <c r="D57" s="143"/>
      <c r="E57" s="143"/>
      <c r="F57" s="431"/>
      <c r="G57" s="431"/>
      <c r="H57" s="431"/>
      <c r="I57" s="431"/>
      <c r="J57" s="431"/>
      <c r="K57" s="431"/>
      <c r="L57" s="431"/>
      <c r="M57" s="441"/>
      <c r="N57" s="142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143"/>
      <c r="D58" s="143"/>
      <c r="E58" s="143"/>
      <c r="F58" s="431"/>
      <c r="G58" s="431"/>
      <c r="H58" s="431"/>
      <c r="I58" s="431"/>
      <c r="J58" s="431"/>
      <c r="K58" s="431"/>
      <c r="L58" s="431"/>
      <c r="M58" s="441"/>
      <c r="N58" s="142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143"/>
      <c r="D59" s="143"/>
      <c r="E59" s="143"/>
      <c r="F59" s="431"/>
      <c r="G59" s="431"/>
      <c r="H59" s="431"/>
      <c r="I59" s="431"/>
      <c r="J59" s="431"/>
      <c r="K59" s="431"/>
      <c r="L59" s="431"/>
      <c r="M59" s="441"/>
      <c r="N59" s="142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145"/>
      <c r="D60" s="145"/>
      <c r="E60" s="145"/>
      <c r="F60" s="444"/>
      <c r="G60" s="444"/>
      <c r="H60" s="444"/>
      <c r="I60" s="444"/>
      <c r="J60" s="444"/>
      <c r="K60" s="444"/>
      <c r="L60" s="444"/>
      <c r="M60" s="445"/>
      <c r="N60" s="144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277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141" t="s">
        <v>2</v>
      </c>
      <c r="D62" s="141" t="s">
        <v>37</v>
      </c>
      <c r="E62" s="141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141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237</v>
      </c>
      <c r="D63" s="137"/>
      <c r="E63" s="140" t="s">
        <v>239</v>
      </c>
      <c r="F63" s="429" t="s">
        <v>229</v>
      </c>
      <c r="G63" s="421"/>
      <c r="H63" s="421"/>
      <c r="I63" s="421"/>
      <c r="J63" s="421"/>
      <c r="K63" s="421" t="s">
        <v>230</v>
      </c>
      <c r="L63" s="421"/>
      <c r="M63" s="54" t="s">
        <v>278</v>
      </c>
      <c r="N63" s="421">
        <v>5</v>
      </c>
      <c r="O63" s="421"/>
      <c r="P63" s="430">
        <v>50</v>
      </c>
      <c r="Q63" s="430"/>
      <c r="R63" s="431" t="s">
        <v>279</v>
      </c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/>
      <c r="D64" s="137"/>
      <c r="E64" s="140"/>
      <c r="F64" s="429"/>
      <c r="G64" s="421"/>
      <c r="H64" s="421"/>
      <c r="I64" s="421"/>
      <c r="J64" s="421"/>
      <c r="K64" s="421"/>
      <c r="L64" s="421"/>
      <c r="M64" s="54"/>
      <c r="N64" s="421"/>
      <c r="O64" s="421"/>
      <c r="P64" s="430"/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/>
      <c r="D65" s="137"/>
      <c r="E65" s="140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/>
      <c r="D66" s="137"/>
      <c r="E66" s="140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137"/>
      <c r="E67" s="140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137"/>
      <c r="E68" s="140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137"/>
      <c r="E69" s="140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137"/>
      <c r="E70" s="140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281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139" t="s">
        <v>2</v>
      </c>
      <c r="D72" s="139" t="s">
        <v>37</v>
      </c>
      <c r="E72" s="139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138" t="s">
        <v>114</v>
      </c>
      <c r="D73" s="138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137" t="s">
        <v>114</v>
      </c>
      <c r="D74" s="137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137"/>
      <c r="D75" s="137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137"/>
      <c r="D76" s="137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137"/>
      <c r="D77" s="137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137"/>
      <c r="D78" s="137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137"/>
      <c r="D79" s="137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137"/>
      <c r="D80" s="137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137"/>
      <c r="D81" s="137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282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/>
      <c r="D84" s="397"/>
      <c r="E84" s="397"/>
      <c r="F84" s="397"/>
      <c r="G84" s="397"/>
      <c r="H84" s="397"/>
      <c r="I84" s="397"/>
      <c r="J84" s="397"/>
      <c r="K84" s="397"/>
      <c r="L84" s="397"/>
      <c r="M84" s="397"/>
      <c r="N84" s="397"/>
      <c r="O84" s="397"/>
      <c r="P84" s="397"/>
      <c r="Q84" s="397"/>
      <c r="R84" s="397"/>
      <c r="S84" s="397"/>
      <c r="T84" s="397"/>
      <c r="U84" s="397"/>
      <c r="V84" s="398"/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283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48" t="s">
        <v>17</v>
      </c>
      <c r="L5" s="148" t="s">
        <v>18</v>
      </c>
      <c r="M5" s="148" t="s">
        <v>19</v>
      </c>
      <c r="N5" s="14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0.29437627888005125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0.29437627888005125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284</v>
      </c>
      <c r="D8" s="55" t="s">
        <v>285</v>
      </c>
      <c r="E8" s="57" t="s">
        <v>286</v>
      </c>
      <c r="F8" s="33" t="s">
        <v>287</v>
      </c>
      <c r="G8" s="36">
        <v>1</v>
      </c>
      <c r="H8" s="38">
        <v>25</v>
      </c>
      <c r="I8" s="7">
        <v>30000</v>
      </c>
      <c r="J8" s="5">
        <v>4380</v>
      </c>
      <c r="K8" s="15">
        <f>L8</f>
        <v>4379</v>
      </c>
      <c r="L8" s="15">
        <f>1654+2725</f>
        <v>4379</v>
      </c>
      <c r="M8" s="16">
        <f t="shared" si="0"/>
        <v>4379</v>
      </c>
      <c r="N8" s="16">
        <v>0</v>
      </c>
      <c r="O8" s="62">
        <f t="shared" si="1"/>
        <v>0</v>
      </c>
      <c r="P8" s="42">
        <f t="shared" si="2"/>
        <v>21</v>
      </c>
      <c r="Q8" s="43">
        <f t="shared" si="3"/>
        <v>3</v>
      </c>
      <c r="R8" s="7"/>
      <c r="S8" s="6"/>
      <c r="T8" s="17">
        <v>3</v>
      </c>
      <c r="U8" s="17"/>
      <c r="V8" s="18"/>
      <c r="W8" s="19"/>
      <c r="X8" s="17"/>
      <c r="Y8" s="20"/>
      <c r="Z8" s="20"/>
      <c r="AA8" s="21"/>
      <c r="AB8" s="8">
        <f t="shared" si="4"/>
        <v>0.99977168949771689</v>
      </c>
      <c r="AC8" s="9">
        <f t="shared" si="5"/>
        <v>0.875</v>
      </c>
      <c r="AD8" s="10">
        <f t="shared" si="6"/>
        <v>0.8748002283105023</v>
      </c>
      <c r="AE8" s="39">
        <f t="shared" si="7"/>
        <v>0.29437627888005125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237</v>
      </c>
      <c r="D9" s="55" t="s">
        <v>245</v>
      </c>
      <c r="E9" s="57" t="s">
        <v>246</v>
      </c>
      <c r="F9" s="12" t="s">
        <v>261</v>
      </c>
      <c r="G9" s="12">
        <v>1</v>
      </c>
      <c r="H9" s="13">
        <v>25</v>
      </c>
      <c r="I9" s="7">
        <v>2000</v>
      </c>
      <c r="J9" s="5">
        <v>2170</v>
      </c>
      <c r="K9" s="15">
        <f>L9</f>
        <v>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0.29437627888005125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237</v>
      </c>
      <c r="D10" s="55" t="s">
        <v>245</v>
      </c>
      <c r="E10" s="57" t="s">
        <v>246</v>
      </c>
      <c r="F10" s="12" t="s">
        <v>261</v>
      </c>
      <c r="G10" s="12">
        <v>1</v>
      </c>
      <c r="H10" s="13">
        <v>25</v>
      </c>
      <c r="I10" s="7">
        <v>2000</v>
      </c>
      <c r="J10" s="14">
        <v>1402</v>
      </c>
      <c r="K10" s="15">
        <f>L10+1402</f>
        <v>1402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0.29437627888005125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143</v>
      </c>
      <c r="D11" s="55" t="s">
        <v>149</v>
      </c>
      <c r="E11" s="57" t="s">
        <v>150</v>
      </c>
      <c r="F11" s="12" t="s">
        <v>133</v>
      </c>
      <c r="G11" s="12">
        <v>1</v>
      </c>
      <c r="H11" s="13">
        <v>25</v>
      </c>
      <c r="I11" s="34">
        <v>4000</v>
      </c>
      <c r="J11" s="5">
        <v>1720</v>
      </c>
      <c r="K11" s="15">
        <f>L11+4857+1720</f>
        <v>6577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0.29437627888005125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125</v>
      </c>
      <c r="D12" s="55" t="s">
        <v>152</v>
      </c>
      <c r="E12" s="57" t="s">
        <v>153</v>
      </c>
      <c r="F12" s="12" t="s">
        <v>129</v>
      </c>
      <c r="G12" s="12">
        <v>1</v>
      </c>
      <c r="H12" s="13">
        <v>25</v>
      </c>
      <c r="I12" s="7">
        <v>36000</v>
      </c>
      <c r="J12" s="14">
        <v>1170</v>
      </c>
      <c r="K12" s="15">
        <f>L12+2996+5357+5330+2494</f>
        <v>17346</v>
      </c>
      <c r="L12" s="15">
        <f>782+387</f>
        <v>1169</v>
      </c>
      <c r="M12" s="16">
        <f t="shared" si="0"/>
        <v>1169</v>
      </c>
      <c r="N12" s="16">
        <v>0</v>
      </c>
      <c r="O12" s="62">
        <f t="shared" si="1"/>
        <v>0</v>
      </c>
      <c r="P12" s="42">
        <f t="shared" si="2"/>
        <v>8</v>
      </c>
      <c r="Q12" s="43">
        <f t="shared" si="3"/>
        <v>16</v>
      </c>
      <c r="R12" s="7"/>
      <c r="S12" s="6">
        <v>16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0.99914529914529915</v>
      </c>
      <c r="AC12" s="9">
        <f t="shared" si="5"/>
        <v>0.33333333333333331</v>
      </c>
      <c r="AD12" s="10">
        <f t="shared" si="6"/>
        <v>0.33304843304843301</v>
      </c>
      <c r="AE12" s="39">
        <f t="shared" si="7"/>
        <v>0.29437627888005125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123</v>
      </c>
      <c r="E13" s="57" t="s">
        <v>145</v>
      </c>
      <c r="F13" s="12" t="s">
        <v>132</v>
      </c>
      <c r="G13" s="12">
        <v>1</v>
      </c>
      <c r="H13" s="13">
        <v>25</v>
      </c>
      <c r="I13" s="7">
        <v>40000</v>
      </c>
      <c r="J13" s="14">
        <v>4490</v>
      </c>
      <c r="K13" s="15">
        <f>L13+689+4617+3636+3996+2571</f>
        <v>19999</v>
      </c>
      <c r="L13" s="15">
        <f>2892+1598</f>
        <v>4490</v>
      </c>
      <c r="M13" s="16">
        <f t="shared" si="0"/>
        <v>4490</v>
      </c>
      <c r="N13" s="16">
        <v>0</v>
      </c>
      <c r="O13" s="62">
        <f t="shared" si="1"/>
        <v>0</v>
      </c>
      <c r="P13" s="42">
        <f t="shared" si="2"/>
        <v>22</v>
      </c>
      <c r="Q13" s="43">
        <f t="shared" si="3"/>
        <v>2</v>
      </c>
      <c r="R13" s="7"/>
      <c r="S13" s="6">
        <v>2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0.91666666666666663</v>
      </c>
      <c r="AD13" s="10">
        <f t="shared" si="6"/>
        <v>0.91666666666666663</v>
      </c>
      <c r="AE13" s="39">
        <f t="shared" si="7"/>
        <v>0.29437627888005125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137</v>
      </c>
      <c r="F14" s="33" t="s">
        <v>129</v>
      </c>
      <c r="G14" s="36">
        <v>1</v>
      </c>
      <c r="H14" s="38">
        <v>25</v>
      </c>
      <c r="I14" s="7">
        <v>200</v>
      </c>
      <c r="J14" s="5">
        <v>280</v>
      </c>
      <c r="K14" s="15">
        <f>L14+280</f>
        <v>280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0.29437627888005125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288</v>
      </c>
      <c r="D15" s="55" t="s">
        <v>289</v>
      </c>
      <c r="E15" s="57" t="s">
        <v>290</v>
      </c>
      <c r="F15" s="12" t="s">
        <v>291</v>
      </c>
      <c r="G15" s="12">
        <v>8</v>
      </c>
      <c r="H15" s="13">
        <v>24</v>
      </c>
      <c r="I15" s="34">
        <v>20000</v>
      </c>
      <c r="J15" s="14">
        <v>23300</v>
      </c>
      <c r="K15" s="15">
        <f>L15</f>
        <v>23296</v>
      </c>
      <c r="L15" s="15">
        <f>364*7+2964*7</f>
        <v>23296</v>
      </c>
      <c r="M15" s="16">
        <f t="shared" si="0"/>
        <v>23296</v>
      </c>
      <c r="N15" s="16">
        <v>0</v>
      </c>
      <c r="O15" s="62">
        <f t="shared" si="1"/>
        <v>0</v>
      </c>
      <c r="P15" s="42">
        <f t="shared" si="2"/>
        <v>21</v>
      </c>
      <c r="Q15" s="43">
        <f t="shared" si="3"/>
        <v>3</v>
      </c>
      <c r="R15" s="7"/>
      <c r="S15" s="6"/>
      <c r="T15" s="17">
        <v>3</v>
      </c>
      <c r="U15" s="17"/>
      <c r="V15" s="18"/>
      <c r="W15" s="19"/>
      <c r="X15" s="17"/>
      <c r="Y15" s="20"/>
      <c r="Z15" s="20"/>
      <c r="AA15" s="21"/>
      <c r="AB15" s="8">
        <f t="shared" si="4"/>
        <v>0.99982832618025752</v>
      </c>
      <c r="AC15" s="9">
        <f t="shared" si="5"/>
        <v>0.875</v>
      </c>
      <c r="AD15" s="10">
        <f t="shared" si="6"/>
        <v>0.87484978540772529</v>
      </c>
      <c r="AE15" s="39">
        <f t="shared" si="7"/>
        <v>0.29437627888005125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138</v>
      </c>
      <c r="E16" s="57" t="s">
        <v>139</v>
      </c>
      <c r="F16" s="33" t="s">
        <v>134</v>
      </c>
      <c r="G16" s="36">
        <v>1</v>
      </c>
      <c r="H16" s="38">
        <v>25</v>
      </c>
      <c r="I16" s="7">
        <v>12000</v>
      </c>
      <c r="J16" s="5">
        <v>4150</v>
      </c>
      <c r="K16" s="15">
        <f>L16+4095+4538+4147</f>
        <v>12780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0.29437627888005125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114</v>
      </c>
      <c r="D17" s="55" t="s">
        <v>141</v>
      </c>
      <c r="E17" s="57" t="s">
        <v>142</v>
      </c>
      <c r="F17" s="12">
        <v>8301</v>
      </c>
      <c r="G17" s="12">
        <v>1</v>
      </c>
      <c r="H17" s="13">
        <v>24</v>
      </c>
      <c r="I17" s="34">
        <v>6800</v>
      </c>
      <c r="J17" s="14">
        <v>4300</v>
      </c>
      <c r="K17" s="15">
        <f>L17</f>
        <v>4298</v>
      </c>
      <c r="L17" s="15">
        <f>1115+3183</f>
        <v>4298</v>
      </c>
      <c r="M17" s="16">
        <f t="shared" si="0"/>
        <v>4298</v>
      </c>
      <c r="N17" s="16">
        <v>0</v>
      </c>
      <c r="O17" s="62">
        <f t="shared" si="1"/>
        <v>0</v>
      </c>
      <c r="P17" s="42">
        <f t="shared" si="2"/>
        <v>20</v>
      </c>
      <c r="Q17" s="43">
        <f t="shared" si="3"/>
        <v>4</v>
      </c>
      <c r="R17" s="7"/>
      <c r="S17" s="6">
        <v>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0.99953488372093025</v>
      </c>
      <c r="AC17" s="9">
        <f t="shared" si="5"/>
        <v>0.83333333333333337</v>
      </c>
      <c r="AD17" s="10">
        <f t="shared" si="6"/>
        <v>0.83294573643410863</v>
      </c>
      <c r="AE17" s="39">
        <f t="shared" si="7"/>
        <v>0.29437627888005125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292</v>
      </c>
      <c r="D18" s="55" t="s">
        <v>293</v>
      </c>
      <c r="E18" s="57" t="s">
        <v>294</v>
      </c>
      <c r="F18" s="12" t="s">
        <v>295</v>
      </c>
      <c r="G18" s="36">
        <v>1</v>
      </c>
      <c r="H18" s="38">
        <v>30</v>
      </c>
      <c r="I18" s="7">
        <v>1000</v>
      </c>
      <c r="J18" s="5">
        <v>1115</v>
      </c>
      <c r="K18" s="15">
        <f>L18</f>
        <v>1115</v>
      </c>
      <c r="L18" s="15">
        <f>1115</f>
        <v>1115</v>
      </c>
      <c r="M18" s="16">
        <f t="shared" si="0"/>
        <v>1115</v>
      </c>
      <c r="N18" s="16">
        <v>0</v>
      </c>
      <c r="O18" s="62">
        <f t="shared" si="1"/>
        <v>0</v>
      </c>
      <c r="P18" s="42">
        <f t="shared" si="2"/>
        <v>14</v>
      </c>
      <c r="Q18" s="43">
        <f t="shared" si="3"/>
        <v>10</v>
      </c>
      <c r="R18" s="7"/>
      <c r="S18" s="6"/>
      <c r="T18" s="17">
        <v>2</v>
      </c>
      <c r="U18" s="17"/>
      <c r="V18" s="18"/>
      <c r="W18" s="19">
        <v>8</v>
      </c>
      <c r="X18" s="17"/>
      <c r="Y18" s="20"/>
      <c r="Z18" s="20"/>
      <c r="AA18" s="21"/>
      <c r="AB18" s="8">
        <f t="shared" si="4"/>
        <v>1</v>
      </c>
      <c r="AC18" s="9">
        <f t="shared" si="5"/>
        <v>0.58333333333333337</v>
      </c>
      <c r="AD18" s="10">
        <f t="shared" si="6"/>
        <v>0.58333333333333337</v>
      </c>
      <c r="AE18" s="39">
        <f t="shared" si="7"/>
        <v>0.29437627888005125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37" t="s">
        <v>223</v>
      </c>
      <c r="D19" s="55" t="s">
        <v>233</v>
      </c>
      <c r="E19" s="57" t="s">
        <v>234</v>
      </c>
      <c r="F19" s="33" t="s">
        <v>235</v>
      </c>
      <c r="G19" s="12">
        <v>1</v>
      </c>
      <c r="H19" s="13">
        <v>25</v>
      </c>
      <c r="I19" s="34">
        <v>1000</v>
      </c>
      <c r="J19" s="5">
        <v>2222</v>
      </c>
      <c r="K19" s="15">
        <f>L19+2802+2222</f>
        <v>5024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0.29437627888005125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140</v>
      </c>
      <c r="F20" s="12" t="s">
        <v>122</v>
      </c>
      <c r="G20" s="12">
        <v>4</v>
      </c>
      <c r="H20" s="38">
        <v>20</v>
      </c>
      <c r="I20" s="7">
        <v>500000</v>
      </c>
      <c r="J20" s="14">
        <v>33190</v>
      </c>
      <c r="K20" s="15">
        <f>L20+45528+23236+46280+51612+51820+33188</f>
        <v>251664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0.29437627888005125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856000</v>
      </c>
      <c r="J21" s="22">
        <f t="shared" si="9"/>
        <v>121529</v>
      </c>
      <c r="K21" s="23">
        <f t="shared" si="9"/>
        <v>535438</v>
      </c>
      <c r="L21" s="24">
        <f t="shared" si="9"/>
        <v>38747</v>
      </c>
      <c r="M21" s="23">
        <f t="shared" si="9"/>
        <v>38747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106</v>
      </c>
      <c r="Q21" s="46">
        <f t="shared" si="10"/>
        <v>254</v>
      </c>
      <c r="R21" s="26">
        <f t="shared" si="10"/>
        <v>24</v>
      </c>
      <c r="S21" s="27">
        <f t="shared" si="10"/>
        <v>94</v>
      </c>
      <c r="T21" s="27">
        <f t="shared" si="10"/>
        <v>8</v>
      </c>
      <c r="U21" s="27">
        <f t="shared" si="10"/>
        <v>0</v>
      </c>
      <c r="V21" s="28">
        <f t="shared" si="10"/>
        <v>0</v>
      </c>
      <c r="W21" s="29">
        <f t="shared" si="10"/>
        <v>128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0.39988534656961355</v>
      </c>
      <c r="AC21" s="4">
        <f>SUM(AC6:AC20)/15</f>
        <v>0.29444444444444445</v>
      </c>
      <c r="AD21" s="4">
        <f>SUM(AD6:AD20)/15</f>
        <v>0.29437627888005125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296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317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149" t="s">
        <v>46</v>
      </c>
      <c r="D50" s="149" t="s">
        <v>47</v>
      </c>
      <c r="E50" s="149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149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237</v>
      </c>
      <c r="B51" s="440"/>
      <c r="C51" s="151" t="s">
        <v>298</v>
      </c>
      <c r="D51" s="151" t="s">
        <v>245</v>
      </c>
      <c r="E51" s="151" t="s">
        <v>246</v>
      </c>
      <c r="F51" s="431" t="s">
        <v>297</v>
      </c>
      <c r="G51" s="431"/>
      <c r="H51" s="431"/>
      <c r="I51" s="431"/>
      <c r="J51" s="431"/>
      <c r="K51" s="431"/>
      <c r="L51" s="431"/>
      <c r="M51" s="441"/>
      <c r="N51" s="150" t="s">
        <v>237</v>
      </c>
      <c r="O51" s="124" t="s">
        <v>182</v>
      </c>
      <c r="P51" s="440" t="s">
        <v>245</v>
      </c>
      <c r="Q51" s="440"/>
      <c r="R51" s="440" t="s">
        <v>246</v>
      </c>
      <c r="S51" s="440"/>
      <c r="T51" s="440"/>
      <c r="U51" s="440"/>
      <c r="V51" s="431" t="s">
        <v>268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284</v>
      </c>
      <c r="B52" s="440"/>
      <c r="C52" s="151" t="s">
        <v>300</v>
      </c>
      <c r="D52" s="151" t="s">
        <v>285</v>
      </c>
      <c r="E52" s="151" t="s">
        <v>286</v>
      </c>
      <c r="F52" s="431" t="s">
        <v>299</v>
      </c>
      <c r="G52" s="431"/>
      <c r="H52" s="431"/>
      <c r="I52" s="431"/>
      <c r="J52" s="431"/>
      <c r="K52" s="431"/>
      <c r="L52" s="431"/>
      <c r="M52" s="441"/>
      <c r="N52" s="150" t="s">
        <v>305</v>
      </c>
      <c r="O52" s="124" t="s">
        <v>306</v>
      </c>
      <c r="P52" s="440" t="s">
        <v>307</v>
      </c>
      <c r="Q52" s="440"/>
      <c r="R52" s="440" t="s">
        <v>318</v>
      </c>
      <c r="S52" s="440"/>
      <c r="T52" s="440"/>
      <c r="U52" s="440"/>
      <c r="V52" s="431" t="s">
        <v>319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305</v>
      </c>
      <c r="B53" s="440"/>
      <c r="C53" s="151" t="s">
        <v>306</v>
      </c>
      <c r="D53" s="151" t="s">
        <v>307</v>
      </c>
      <c r="E53" s="151" t="s">
        <v>301</v>
      </c>
      <c r="F53" s="431" t="s">
        <v>302</v>
      </c>
      <c r="G53" s="431"/>
      <c r="H53" s="431"/>
      <c r="I53" s="431"/>
      <c r="J53" s="431"/>
      <c r="K53" s="431"/>
      <c r="L53" s="431"/>
      <c r="M53" s="441"/>
      <c r="N53" s="150" t="s">
        <v>305</v>
      </c>
      <c r="O53" s="124" t="s">
        <v>321</v>
      </c>
      <c r="P53" s="440" t="s">
        <v>322</v>
      </c>
      <c r="Q53" s="440"/>
      <c r="R53" s="440" t="s">
        <v>320</v>
      </c>
      <c r="S53" s="440"/>
      <c r="T53" s="440"/>
      <c r="U53" s="440"/>
      <c r="V53" s="431" t="s">
        <v>323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305</v>
      </c>
      <c r="B54" s="440"/>
      <c r="C54" s="151" t="s">
        <v>309</v>
      </c>
      <c r="D54" s="151" t="s">
        <v>308</v>
      </c>
      <c r="E54" s="151" t="s">
        <v>303</v>
      </c>
      <c r="F54" s="431" t="s">
        <v>304</v>
      </c>
      <c r="G54" s="431"/>
      <c r="H54" s="431"/>
      <c r="I54" s="431"/>
      <c r="J54" s="431"/>
      <c r="K54" s="431"/>
      <c r="L54" s="431"/>
      <c r="M54" s="441"/>
      <c r="N54" s="150" t="s">
        <v>292</v>
      </c>
      <c r="O54" s="124" t="s">
        <v>314</v>
      </c>
      <c r="P54" s="440" t="s">
        <v>325</v>
      </c>
      <c r="Q54" s="440"/>
      <c r="R54" s="440" t="s">
        <v>324</v>
      </c>
      <c r="S54" s="440"/>
      <c r="T54" s="440"/>
      <c r="U54" s="440"/>
      <c r="V54" s="431" t="s">
        <v>323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310</v>
      </c>
      <c r="B55" s="440"/>
      <c r="C55" s="151" t="s">
        <v>311</v>
      </c>
      <c r="D55" s="151"/>
      <c r="E55" s="151" t="s">
        <v>290</v>
      </c>
      <c r="F55" s="431" t="s">
        <v>299</v>
      </c>
      <c r="G55" s="431"/>
      <c r="H55" s="431"/>
      <c r="I55" s="431"/>
      <c r="J55" s="431"/>
      <c r="K55" s="431"/>
      <c r="L55" s="431"/>
      <c r="M55" s="441"/>
      <c r="N55" s="150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284</v>
      </c>
      <c r="B56" s="440"/>
      <c r="C56" s="151" t="s">
        <v>314</v>
      </c>
      <c r="D56" s="151" t="s">
        <v>315</v>
      </c>
      <c r="E56" s="151" t="s">
        <v>312</v>
      </c>
      <c r="F56" s="431" t="s">
        <v>313</v>
      </c>
      <c r="G56" s="431"/>
      <c r="H56" s="431"/>
      <c r="I56" s="431"/>
      <c r="J56" s="431"/>
      <c r="K56" s="431"/>
      <c r="L56" s="431"/>
      <c r="M56" s="441"/>
      <c r="N56" s="150"/>
      <c r="O56" s="124"/>
      <c r="P56" s="440"/>
      <c r="Q56" s="440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 t="s">
        <v>292</v>
      </c>
      <c r="B57" s="440"/>
      <c r="C57" s="151" t="s">
        <v>316</v>
      </c>
      <c r="D57" s="151" t="s">
        <v>293</v>
      </c>
      <c r="E57" s="151" t="s">
        <v>294</v>
      </c>
      <c r="F57" s="431" t="s">
        <v>299</v>
      </c>
      <c r="G57" s="431"/>
      <c r="H57" s="431"/>
      <c r="I57" s="431"/>
      <c r="J57" s="431"/>
      <c r="K57" s="431"/>
      <c r="L57" s="431"/>
      <c r="M57" s="441"/>
      <c r="N57" s="150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151"/>
      <c r="D58" s="151"/>
      <c r="E58" s="151"/>
      <c r="F58" s="431"/>
      <c r="G58" s="431"/>
      <c r="H58" s="431"/>
      <c r="I58" s="431"/>
      <c r="J58" s="431"/>
      <c r="K58" s="431"/>
      <c r="L58" s="431"/>
      <c r="M58" s="441"/>
      <c r="N58" s="150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151"/>
      <c r="D59" s="151"/>
      <c r="E59" s="151"/>
      <c r="F59" s="431"/>
      <c r="G59" s="431"/>
      <c r="H59" s="431"/>
      <c r="I59" s="431"/>
      <c r="J59" s="431"/>
      <c r="K59" s="431"/>
      <c r="L59" s="431"/>
      <c r="M59" s="441"/>
      <c r="N59" s="150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153"/>
      <c r="D60" s="153"/>
      <c r="E60" s="153"/>
      <c r="F60" s="444"/>
      <c r="G60" s="444"/>
      <c r="H60" s="444"/>
      <c r="I60" s="444"/>
      <c r="J60" s="444"/>
      <c r="K60" s="444"/>
      <c r="L60" s="444"/>
      <c r="M60" s="445"/>
      <c r="N60" s="152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326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154" t="s">
        <v>2</v>
      </c>
      <c r="D62" s="154" t="s">
        <v>37</v>
      </c>
      <c r="E62" s="154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154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328</v>
      </c>
      <c r="D63" s="157"/>
      <c r="E63" s="155"/>
      <c r="F63" s="429" t="s">
        <v>327</v>
      </c>
      <c r="G63" s="421"/>
      <c r="H63" s="421"/>
      <c r="I63" s="421"/>
      <c r="J63" s="421"/>
      <c r="K63" s="421" t="s">
        <v>329</v>
      </c>
      <c r="L63" s="421"/>
      <c r="M63" s="54" t="s">
        <v>330</v>
      </c>
      <c r="N63" s="421">
        <v>15</v>
      </c>
      <c r="O63" s="421"/>
      <c r="P63" s="430">
        <v>200</v>
      </c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/>
      <c r="D64" s="157"/>
      <c r="E64" s="155"/>
      <c r="F64" s="429"/>
      <c r="G64" s="421"/>
      <c r="H64" s="421"/>
      <c r="I64" s="421"/>
      <c r="J64" s="421"/>
      <c r="K64" s="421"/>
      <c r="L64" s="421"/>
      <c r="M64" s="54"/>
      <c r="N64" s="421"/>
      <c r="O64" s="421"/>
      <c r="P64" s="430"/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/>
      <c r="D65" s="157"/>
      <c r="E65" s="155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/>
      <c r="D66" s="157"/>
      <c r="E66" s="155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157"/>
      <c r="E67" s="155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157"/>
      <c r="E68" s="155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157"/>
      <c r="E69" s="155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157"/>
      <c r="E70" s="155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331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156" t="s">
        <v>2</v>
      </c>
      <c r="D72" s="156" t="s">
        <v>37</v>
      </c>
      <c r="E72" s="156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158" t="s">
        <v>114</v>
      </c>
      <c r="D73" s="158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157" t="s">
        <v>114</v>
      </c>
      <c r="D74" s="157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157"/>
      <c r="D75" s="157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157"/>
      <c r="D76" s="157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157"/>
      <c r="D77" s="157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157"/>
      <c r="D78" s="157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157"/>
      <c r="D79" s="157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157"/>
      <c r="D80" s="157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157"/>
      <c r="D81" s="157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332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/>
      <c r="D84" s="397"/>
      <c r="E84" s="397"/>
      <c r="F84" s="397"/>
      <c r="G84" s="397"/>
      <c r="H84" s="397"/>
      <c r="I84" s="397"/>
      <c r="J84" s="397"/>
      <c r="K84" s="397"/>
      <c r="L84" s="397"/>
      <c r="M84" s="397"/>
      <c r="N84" s="397"/>
      <c r="O84" s="397"/>
      <c r="P84" s="397"/>
      <c r="Q84" s="397"/>
      <c r="R84" s="397"/>
      <c r="S84" s="397"/>
      <c r="T84" s="397"/>
      <c r="U84" s="397"/>
      <c r="V84" s="398"/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F86"/>
  <sheetViews>
    <sheetView zoomScale="72" zoomScaleNormal="72" zoomScaleSheetLayoutView="70" workbookViewId="0">
      <selection activeCell="U14" sqref="U1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333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69" t="s">
        <v>17</v>
      </c>
      <c r="L5" s="169" t="s">
        <v>18</v>
      </c>
      <c r="M5" s="169" t="s">
        <v>19</v>
      </c>
      <c r="N5" s="16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0.42190421991065119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0.42190421991065119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284</v>
      </c>
      <c r="D8" s="55" t="s">
        <v>285</v>
      </c>
      <c r="E8" s="57" t="s">
        <v>286</v>
      </c>
      <c r="F8" s="33" t="s">
        <v>287</v>
      </c>
      <c r="G8" s="36">
        <v>1</v>
      </c>
      <c r="H8" s="38">
        <v>25</v>
      </c>
      <c r="I8" s="7">
        <v>30000</v>
      </c>
      <c r="J8" s="5">
        <v>3370</v>
      </c>
      <c r="K8" s="15">
        <f>L8+4379</f>
        <v>7749</v>
      </c>
      <c r="L8" s="15">
        <f>1006+2364</f>
        <v>3370</v>
      </c>
      <c r="M8" s="16">
        <f t="shared" si="0"/>
        <v>3370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/>
      <c r="T8" s="17"/>
      <c r="U8" s="17"/>
      <c r="V8" s="18"/>
      <c r="W8" s="19">
        <v>5</v>
      </c>
      <c r="X8" s="17"/>
      <c r="Y8" s="20"/>
      <c r="Z8" s="20"/>
      <c r="AA8" s="21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9">
        <f t="shared" si="7"/>
        <v>0.42190421991065119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237</v>
      </c>
      <c r="D9" s="55" t="s">
        <v>245</v>
      </c>
      <c r="E9" s="57" t="s">
        <v>246</v>
      </c>
      <c r="F9" s="12" t="s">
        <v>261</v>
      </c>
      <c r="G9" s="12">
        <v>1</v>
      </c>
      <c r="H9" s="13">
        <v>25</v>
      </c>
      <c r="I9" s="7">
        <v>2000</v>
      </c>
      <c r="J9" s="5">
        <v>1940</v>
      </c>
      <c r="K9" s="15">
        <f>L9</f>
        <v>1939</v>
      </c>
      <c r="L9" s="15">
        <v>1939</v>
      </c>
      <c r="M9" s="16">
        <f t="shared" si="0"/>
        <v>1939</v>
      </c>
      <c r="N9" s="16">
        <v>0</v>
      </c>
      <c r="O9" s="62">
        <f t="shared" si="1"/>
        <v>0</v>
      </c>
      <c r="P9" s="42">
        <f t="shared" si="2"/>
        <v>12</v>
      </c>
      <c r="Q9" s="43">
        <f t="shared" si="3"/>
        <v>12</v>
      </c>
      <c r="R9" s="7"/>
      <c r="S9" s="6">
        <v>12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0.99948453608247423</v>
      </c>
      <c r="AC9" s="9">
        <f t="shared" si="5"/>
        <v>0.5</v>
      </c>
      <c r="AD9" s="10">
        <f t="shared" si="6"/>
        <v>0.49974226804123711</v>
      </c>
      <c r="AE9" s="39">
        <f t="shared" si="7"/>
        <v>0.42190421991065119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334</v>
      </c>
      <c r="D10" s="55" t="s">
        <v>335</v>
      </c>
      <c r="E10" s="57" t="s">
        <v>336</v>
      </c>
      <c r="F10" s="12" t="s">
        <v>261</v>
      </c>
      <c r="G10" s="12">
        <v>1</v>
      </c>
      <c r="H10" s="13">
        <v>25</v>
      </c>
      <c r="I10" s="7">
        <v>2000</v>
      </c>
      <c r="J10" s="14">
        <v>2330</v>
      </c>
      <c r="K10" s="15">
        <f>L10</f>
        <v>2328</v>
      </c>
      <c r="L10" s="15">
        <f>637+1691</f>
        <v>2328</v>
      </c>
      <c r="M10" s="16">
        <f t="shared" si="0"/>
        <v>2328</v>
      </c>
      <c r="N10" s="16">
        <v>0</v>
      </c>
      <c r="O10" s="62">
        <f t="shared" si="1"/>
        <v>0</v>
      </c>
      <c r="P10" s="42">
        <f t="shared" si="2"/>
        <v>16</v>
      </c>
      <c r="Q10" s="43">
        <f t="shared" si="3"/>
        <v>8</v>
      </c>
      <c r="R10" s="7"/>
      <c r="S10" s="6">
        <v>8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0.9991416309012876</v>
      </c>
      <c r="AC10" s="9">
        <f t="shared" si="5"/>
        <v>0.66666666666666663</v>
      </c>
      <c r="AD10" s="10">
        <f t="shared" si="6"/>
        <v>0.66609442060085833</v>
      </c>
      <c r="AE10" s="39">
        <f t="shared" si="7"/>
        <v>0.42190421991065119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143</v>
      </c>
      <c r="D11" s="55" t="s">
        <v>149</v>
      </c>
      <c r="E11" s="57" t="s">
        <v>150</v>
      </c>
      <c r="F11" s="12" t="s">
        <v>133</v>
      </c>
      <c r="G11" s="12">
        <v>1</v>
      </c>
      <c r="H11" s="13">
        <v>25</v>
      </c>
      <c r="I11" s="34">
        <v>4000</v>
      </c>
      <c r="J11" s="5">
        <v>1720</v>
      </c>
      <c r="K11" s="15">
        <f>L11+4857+1720</f>
        <v>6577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0.42190421991065119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125</v>
      </c>
      <c r="D12" s="55" t="s">
        <v>152</v>
      </c>
      <c r="E12" s="57" t="s">
        <v>337</v>
      </c>
      <c r="F12" s="12" t="s">
        <v>129</v>
      </c>
      <c r="G12" s="12">
        <v>2</v>
      </c>
      <c r="H12" s="13">
        <v>25</v>
      </c>
      <c r="I12" s="7">
        <v>10000</v>
      </c>
      <c r="J12" s="14">
        <v>9470</v>
      </c>
      <c r="K12" s="15">
        <f>L12</f>
        <v>9462</v>
      </c>
      <c r="L12" s="15">
        <f>2922*2+1809*2</f>
        <v>9462</v>
      </c>
      <c r="M12" s="16">
        <f t="shared" si="0"/>
        <v>9462</v>
      </c>
      <c r="N12" s="16">
        <v>0</v>
      </c>
      <c r="O12" s="62">
        <f t="shared" si="1"/>
        <v>0</v>
      </c>
      <c r="P12" s="42">
        <f t="shared" si="2"/>
        <v>23</v>
      </c>
      <c r="Q12" s="43">
        <f t="shared" si="3"/>
        <v>1</v>
      </c>
      <c r="R12" s="7"/>
      <c r="S12" s="6"/>
      <c r="T12" s="17">
        <v>1</v>
      </c>
      <c r="U12" s="17"/>
      <c r="V12" s="18"/>
      <c r="W12" s="19"/>
      <c r="X12" s="17"/>
      <c r="Y12" s="20"/>
      <c r="Z12" s="20"/>
      <c r="AA12" s="21"/>
      <c r="AB12" s="8">
        <f t="shared" si="4"/>
        <v>0.99915522703273496</v>
      </c>
      <c r="AC12" s="9">
        <f t="shared" si="5"/>
        <v>0.95833333333333337</v>
      </c>
      <c r="AD12" s="10">
        <f t="shared" si="6"/>
        <v>0.95752375923970434</v>
      </c>
      <c r="AE12" s="39">
        <f t="shared" si="7"/>
        <v>0.42190421991065119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123</v>
      </c>
      <c r="E13" s="57" t="s">
        <v>145</v>
      </c>
      <c r="F13" s="12" t="s">
        <v>132</v>
      </c>
      <c r="G13" s="12">
        <v>1</v>
      </c>
      <c r="H13" s="13">
        <v>25</v>
      </c>
      <c r="I13" s="7">
        <v>40000</v>
      </c>
      <c r="J13" s="14">
        <v>5660</v>
      </c>
      <c r="K13" s="15">
        <f>L13+689+4617+3636+3996+2571+4490</f>
        <v>25654</v>
      </c>
      <c r="L13" s="15">
        <f>2942+2713</f>
        <v>5655</v>
      </c>
      <c r="M13" s="16">
        <f t="shared" si="0"/>
        <v>5655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0.99911660777385158</v>
      </c>
      <c r="AC13" s="9">
        <f t="shared" si="5"/>
        <v>1</v>
      </c>
      <c r="AD13" s="10">
        <f t="shared" si="6"/>
        <v>0.99911660777385158</v>
      </c>
      <c r="AE13" s="39">
        <f t="shared" si="7"/>
        <v>0.42190421991065119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137</v>
      </c>
      <c r="F14" s="33" t="s">
        <v>129</v>
      </c>
      <c r="G14" s="36">
        <v>1</v>
      </c>
      <c r="H14" s="38">
        <v>25</v>
      </c>
      <c r="I14" s="7">
        <v>200</v>
      </c>
      <c r="J14" s="5">
        <v>280</v>
      </c>
      <c r="K14" s="15">
        <f>L14+280</f>
        <v>280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0.42190421991065119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288</v>
      </c>
      <c r="D15" s="55" t="s">
        <v>289</v>
      </c>
      <c r="E15" s="57" t="s">
        <v>290</v>
      </c>
      <c r="F15" s="12" t="s">
        <v>291</v>
      </c>
      <c r="G15" s="12">
        <v>8</v>
      </c>
      <c r="H15" s="13">
        <v>24</v>
      </c>
      <c r="I15" s="34">
        <v>20000</v>
      </c>
      <c r="J15" s="14">
        <v>32361</v>
      </c>
      <c r="K15" s="15">
        <f>L15+23296</f>
        <v>55657</v>
      </c>
      <c r="L15" s="15">
        <f>1899*7+2724*7</f>
        <v>32361</v>
      </c>
      <c r="M15" s="16">
        <f t="shared" si="0"/>
        <v>32361</v>
      </c>
      <c r="N15" s="16">
        <v>0</v>
      </c>
      <c r="O15" s="62">
        <f t="shared" si="1"/>
        <v>0</v>
      </c>
      <c r="P15" s="42">
        <f t="shared" si="2"/>
        <v>21</v>
      </c>
      <c r="Q15" s="43">
        <f t="shared" si="3"/>
        <v>3</v>
      </c>
      <c r="R15" s="7"/>
      <c r="S15" s="6"/>
      <c r="T15" s="17"/>
      <c r="U15" s="17"/>
      <c r="V15" s="18"/>
      <c r="W15" s="19">
        <v>3</v>
      </c>
      <c r="X15" s="17"/>
      <c r="Y15" s="20"/>
      <c r="Z15" s="20"/>
      <c r="AA15" s="21"/>
      <c r="AB15" s="8">
        <f t="shared" si="4"/>
        <v>1</v>
      </c>
      <c r="AC15" s="9">
        <f t="shared" si="5"/>
        <v>0.875</v>
      </c>
      <c r="AD15" s="10">
        <f t="shared" si="6"/>
        <v>0.875</v>
      </c>
      <c r="AE15" s="39">
        <f t="shared" si="7"/>
        <v>0.42190421991065119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138</v>
      </c>
      <c r="E16" s="57" t="s">
        <v>139</v>
      </c>
      <c r="F16" s="33" t="s">
        <v>134</v>
      </c>
      <c r="G16" s="36">
        <v>1</v>
      </c>
      <c r="H16" s="38">
        <v>25</v>
      </c>
      <c r="I16" s="7">
        <v>12000</v>
      </c>
      <c r="J16" s="5">
        <v>4150</v>
      </c>
      <c r="K16" s="15">
        <f>L16+4095+4538+4147</f>
        <v>12780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0.42190421991065119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114</v>
      </c>
      <c r="D17" s="55" t="s">
        <v>141</v>
      </c>
      <c r="E17" s="57" t="s">
        <v>142</v>
      </c>
      <c r="F17" s="12">
        <v>8301</v>
      </c>
      <c r="G17" s="12">
        <v>1</v>
      </c>
      <c r="H17" s="13">
        <v>24</v>
      </c>
      <c r="I17" s="34">
        <v>6800</v>
      </c>
      <c r="J17" s="14">
        <v>3810</v>
      </c>
      <c r="K17" s="15">
        <f>L17+4298</f>
        <v>8106</v>
      </c>
      <c r="L17" s="15">
        <f>757+3051</f>
        <v>3808</v>
      </c>
      <c r="M17" s="16">
        <f t="shared" si="0"/>
        <v>3808</v>
      </c>
      <c r="N17" s="16">
        <v>0</v>
      </c>
      <c r="O17" s="62">
        <f t="shared" si="1"/>
        <v>0</v>
      </c>
      <c r="P17" s="42">
        <f t="shared" si="2"/>
        <v>18</v>
      </c>
      <c r="Q17" s="43">
        <f t="shared" si="3"/>
        <v>6</v>
      </c>
      <c r="R17" s="7"/>
      <c r="S17" s="6"/>
      <c r="T17" s="17"/>
      <c r="U17" s="17"/>
      <c r="V17" s="18"/>
      <c r="W17" s="19">
        <v>6</v>
      </c>
      <c r="X17" s="17"/>
      <c r="Y17" s="20"/>
      <c r="Z17" s="20"/>
      <c r="AA17" s="21"/>
      <c r="AB17" s="8">
        <f t="shared" si="4"/>
        <v>0.99947506561679789</v>
      </c>
      <c r="AC17" s="9">
        <f t="shared" si="5"/>
        <v>0.75</v>
      </c>
      <c r="AD17" s="10">
        <f t="shared" si="6"/>
        <v>0.74960629921259847</v>
      </c>
      <c r="AE17" s="39">
        <f t="shared" si="7"/>
        <v>0.42190421991065119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292</v>
      </c>
      <c r="D18" s="55" t="s">
        <v>338</v>
      </c>
      <c r="E18" s="57" t="s">
        <v>339</v>
      </c>
      <c r="F18" s="12" t="s">
        <v>340</v>
      </c>
      <c r="G18" s="36">
        <v>1</v>
      </c>
      <c r="H18" s="38">
        <v>30</v>
      </c>
      <c r="I18" s="7">
        <v>1000</v>
      </c>
      <c r="J18" s="5">
        <v>1140</v>
      </c>
      <c r="K18" s="15">
        <f>L18+1115</f>
        <v>2252</v>
      </c>
      <c r="L18" s="15">
        <f>664+473</f>
        <v>1137</v>
      </c>
      <c r="M18" s="16">
        <f t="shared" si="0"/>
        <v>1137</v>
      </c>
      <c r="N18" s="16">
        <v>0</v>
      </c>
      <c r="O18" s="62">
        <f t="shared" si="1"/>
        <v>0</v>
      </c>
      <c r="P18" s="42">
        <f t="shared" si="2"/>
        <v>11</v>
      </c>
      <c r="Q18" s="43">
        <f t="shared" si="3"/>
        <v>13</v>
      </c>
      <c r="R18" s="7"/>
      <c r="S18" s="6"/>
      <c r="T18" s="17"/>
      <c r="U18" s="17"/>
      <c r="V18" s="18"/>
      <c r="W18" s="19">
        <v>13</v>
      </c>
      <c r="X18" s="17"/>
      <c r="Y18" s="20"/>
      <c r="Z18" s="20"/>
      <c r="AA18" s="21"/>
      <c r="AB18" s="8">
        <f t="shared" si="4"/>
        <v>0.99736842105263157</v>
      </c>
      <c r="AC18" s="9">
        <f t="shared" si="5"/>
        <v>0.45833333333333331</v>
      </c>
      <c r="AD18" s="10">
        <f t="shared" si="6"/>
        <v>0.45712719298245613</v>
      </c>
      <c r="AE18" s="39">
        <f t="shared" si="7"/>
        <v>0.42190421991065119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342</v>
      </c>
      <c r="D19" s="55" t="s">
        <v>343</v>
      </c>
      <c r="E19" s="57" t="s">
        <v>344</v>
      </c>
      <c r="F19" s="33" t="s">
        <v>345</v>
      </c>
      <c r="G19" s="12">
        <v>1</v>
      </c>
      <c r="H19" s="13">
        <v>25</v>
      </c>
      <c r="I19" s="34">
        <v>12000</v>
      </c>
      <c r="J19" s="5">
        <v>1030</v>
      </c>
      <c r="K19" s="15">
        <f>L19</f>
        <v>1028</v>
      </c>
      <c r="L19" s="15">
        <v>1028</v>
      </c>
      <c r="M19" s="16">
        <f t="shared" si="0"/>
        <v>1028</v>
      </c>
      <c r="N19" s="16">
        <v>0</v>
      </c>
      <c r="O19" s="62">
        <f t="shared" si="1"/>
        <v>0</v>
      </c>
      <c r="P19" s="42">
        <f t="shared" si="2"/>
        <v>8</v>
      </c>
      <c r="Q19" s="43">
        <f t="shared" si="3"/>
        <v>16</v>
      </c>
      <c r="R19" s="7"/>
      <c r="S19" s="6">
        <v>16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0.99805825242718449</v>
      </c>
      <c r="AC19" s="9">
        <f t="shared" si="5"/>
        <v>0.33333333333333331</v>
      </c>
      <c r="AD19" s="10">
        <f t="shared" si="6"/>
        <v>0.33268608414239481</v>
      </c>
      <c r="AE19" s="39">
        <f t="shared" si="7"/>
        <v>0.42190421991065119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140</v>
      </c>
      <c r="F20" s="12" t="s">
        <v>122</v>
      </c>
      <c r="G20" s="12">
        <v>4</v>
      </c>
      <c r="H20" s="38">
        <v>20</v>
      </c>
      <c r="I20" s="7">
        <v>500000</v>
      </c>
      <c r="J20" s="14">
        <v>33190</v>
      </c>
      <c r="K20" s="15">
        <f>L20+45528+23236+46280+51612+51820+33188</f>
        <v>251664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0.42190421991065119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841000</v>
      </c>
      <c r="J21" s="22">
        <f t="shared" si="9"/>
        <v>138091</v>
      </c>
      <c r="K21" s="23">
        <f t="shared" si="9"/>
        <v>572754</v>
      </c>
      <c r="L21" s="24">
        <f t="shared" si="9"/>
        <v>61088</v>
      </c>
      <c r="M21" s="23">
        <f t="shared" si="9"/>
        <v>61088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152</v>
      </c>
      <c r="Q21" s="46">
        <f t="shared" si="10"/>
        <v>208</v>
      </c>
      <c r="R21" s="26">
        <f t="shared" si="10"/>
        <v>24</v>
      </c>
      <c r="S21" s="27">
        <f t="shared" si="10"/>
        <v>60</v>
      </c>
      <c r="T21" s="27">
        <f t="shared" si="10"/>
        <v>1</v>
      </c>
      <c r="U21" s="27">
        <f t="shared" si="10"/>
        <v>0</v>
      </c>
      <c r="V21" s="28">
        <f t="shared" si="10"/>
        <v>0</v>
      </c>
      <c r="W21" s="29">
        <f t="shared" si="10"/>
        <v>123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0.59945331605913088</v>
      </c>
      <c r="AC21" s="4">
        <f>SUM(AC6:AC20)/15</f>
        <v>0.42222222222222217</v>
      </c>
      <c r="AD21" s="4">
        <f>SUM(AD6:AD20)/15</f>
        <v>0.42190421991065119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346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353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168" t="s">
        <v>46</v>
      </c>
      <c r="D50" s="168" t="s">
        <v>47</v>
      </c>
      <c r="E50" s="168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168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237</v>
      </c>
      <c r="B51" s="440"/>
      <c r="C51" s="165" t="s">
        <v>298</v>
      </c>
      <c r="D51" s="165" t="s">
        <v>245</v>
      </c>
      <c r="E51" s="165" t="s">
        <v>246</v>
      </c>
      <c r="F51" s="431" t="s">
        <v>347</v>
      </c>
      <c r="G51" s="431"/>
      <c r="H51" s="431"/>
      <c r="I51" s="431"/>
      <c r="J51" s="431"/>
      <c r="K51" s="431"/>
      <c r="L51" s="431"/>
      <c r="M51" s="441"/>
      <c r="N51" s="164" t="s">
        <v>355</v>
      </c>
      <c r="O51" s="124" t="s">
        <v>321</v>
      </c>
      <c r="P51" s="440" t="s">
        <v>356</v>
      </c>
      <c r="Q51" s="440"/>
      <c r="R51" s="440" t="s">
        <v>354</v>
      </c>
      <c r="S51" s="440"/>
      <c r="T51" s="440"/>
      <c r="U51" s="440"/>
      <c r="V51" s="431" t="s">
        <v>323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305</v>
      </c>
      <c r="B52" s="440"/>
      <c r="C52" s="165" t="s">
        <v>306</v>
      </c>
      <c r="D52" s="165" t="s">
        <v>307</v>
      </c>
      <c r="E52" s="165" t="s">
        <v>348</v>
      </c>
      <c r="F52" s="431" t="s">
        <v>299</v>
      </c>
      <c r="G52" s="431"/>
      <c r="H52" s="431"/>
      <c r="I52" s="431"/>
      <c r="J52" s="431"/>
      <c r="K52" s="431"/>
      <c r="L52" s="431"/>
      <c r="M52" s="441"/>
      <c r="N52" s="164" t="s">
        <v>342</v>
      </c>
      <c r="O52" s="124" t="s">
        <v>357</v>
      </c>
      <c r="P52" s="440" t="s">
        <v>358</v>
      </c>
      <c r="Q52" s="440"/>
      <c r="R52" s="440" t="s">
        <v>359</v>
      </c>
      <c r="S52" s="440"/>
      <c r="T52" s="440"/>
      <c r="U52" s="440"/>
      <c r="V52" s="431" t="s">
        <v>323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292</v>
      </c>
      <c r="B53" s="440"/>
      <c r="C53" s="165" t="s">
        <v>316</v>
      </c>
      <c r="D53" s="165" t="s">
        <v>349</v>
      </c>
      <c r="E53" s="165" t="s">
        <v>339</v>
      </c>
      <c r="F53" s="431" t="s">
        <v>299</v>
      </c>
      <c r="G53" s="431"/>
      <c r="H53" s="431"/>
      <c r="I53" s="431"/>
      <c r="J53" s="431"/>
      <c r="K53" s="431"/>
      <c r="L53" s="431"/>
      <c r="M53" s="441"/>
      <c r="N53" s="164" t="s">
        <v>342</v>
      </c>
      <c r="O53" s="124" t="s">
        <v>360</v>
      </c>
      <c r="P53" s="440" t="s">
        <v>343</v>
      </c>
      <c r="Q53" s="440"/>
      <c r="R53" s="440" t="s">
        <v>344</v>
      </c>
      <c r="S53" s="440"/>
      <c r="T53" s="440"/>
      <c r="U53" s="440"/>
      <c r="V53" s="431" t="s">
        <v>347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342</v>
      </c>
      <c r="B54" s="440"/>
      <c r="C54" s="165" t="s">
        <v>350</v>
      </c>
      <c r="D54" s="165" t="s">
        <v>343</v>
      </c>
      <c r="E54" s="165" t="s">
        <v>344</v>
      </c>
      <c r="F54" s="431" t="s">
        <v>351</v>
      </c>
      <c r="G54" s="431"/>
      <c r="H54" s="431"/>
      <c r="I54" s="431"/>
      <c r="J54" s="431"/>
      <c r="K54" s="431"/>
      <c r="L54" s="431"/>
      <c r="M54" s="441"/>
      <c r="N54" s="164"/>
      <c r="O54" s="124"/>
      <c r="P54" s="440"/>
      <c r="Q54" s="440"/>
      <c r="R54" s="440"/>
      <c r="S54" s="440"/>
      <c r="T54" s="440"/>
      <c r="U54" s="440"/>
      <c r="V54" s="431"/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334</v>
      </c>
      <c r="B55" s="440"/>
      <c r="C55" s="165" t="s">
        <v>352</v>
      </c>
      <c r="D55" s="165" t="s">
        <v>335</v>
      </c>
      <c r="E55" s="165" t="s">
        <v>336</v>
      </c>
      <c r="F55" s="431" t="s">
        <v>299</v>
      </c>
      <c r="G55" s="431"/>
      <c r="H55" s="431"/>
      <c r="I55" s="431"/>
      <c r="J55" s="431"/>
      <c r="K55" s="431"/>
      <c r="L55" s="431"/>
      <c r="M55" s="441"/>
      <c r="N55" s="164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/>
      <c r="B56" s="440"/>
      <c r="C56" s="165"/>
      <c r="D56" s="165"/>
      <c r="E56" s="165"/>
      <c r="F56" s="431"/>
      <c r="G56" s="431"/>
      <c r="H56" s="431"/>
      <c r="I56" s="431"/>
      <c r="J56" s="431"/>
      <c r="K56" s="431"/>
      <c r="L56" s="431"/>
      <c r="M56" s="441"/>
      <c r="N56" s="164"/>
      <c r="O56" s="124"/>
      <c r="P56" s="440"/>
      <c r="Q56" s="440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/>
      <c r="B57" s="440"/>
      <c r="C57" s="165"/>
      <c r="D57" s="165"/>
      <c r="E57" s="165"/>
      <c r="F57" s="431"/>
      <c r="G57" s="431"/>
      <c r="H57" s="431"/>
      <c r="I57" s="431"/>
      <c r="J57" s="431"/>
      <c r="K57" s="431"/>
      <c r="L57" s="431"/>
      <c r="M57" s="441"/>
      <c r="N57" s="164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165"/>
      <c r="D58" s="165"/>
      <c r="E58" s="165"/>
      <c r="F58" s="431"/>
      <c r="G58" s="431"/>
      <c r="H58" s="431"/>
      <c r="I58" s="431"/>
      <c r="J58" s="431"/>
      <c r="K58" s="431"/>
      <c r="L58" s="431"/>
      <c r="M58" s="441"/>
      <c r="N58" s="164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165"/>
      <c r="D59" s="165"/>
      <c r="E59" s="165"/>
      <c r="F59" s="431"/>
      <c r="G59" s="431"/>
      <c r="H59" s="431"/>
      <c r="I59" s="431"/>
      <c r="J59" s="431"/>
      <c r="K59" s="431"/>
      <c r="L59" s="431"/>
      <c r="M59" s="441"/>
      <c r="N59" s="164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167"/>
      <c r="D60" s="167"/>
      <c r="E60" s="167"/>
      <c r="F60" s="444"/>
      <c r="G60" s="444"/>
      <c r="H60" s="444"/>
      <c r="I60" s="444"/>
      <c r="J60" s="444"/>
      <c r="K60" s="444"/>
      <c r="L60" s="444"/>
      <c r="M60" s="445"/>
      <c r="N60" s="166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361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163" t="s">
        <v>2</v>
      </c>
      <c r="D62" s="163" t="s">
        <v>37</v>
      </c>
      <c r="E62" s="163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163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362</v>
      </c>
      <c r="D63" s="159"/>
      <c r="E63" s="162"/>
      <c r="F63" s="429" t="s">
        <v>363</v>
      </c>
      <c r="G63" s="421"/>
      <c r="H63" s="421"/>
      <c r="I63" s="421"/>
      <c r="J63" s="421"/>
      <c r="K63" s="421" t="s">
        <v>364</v>
      </c>
      <c r="L63" s="421"/>
      <c r="M63" s="54" t="s">
        <v>365</v>
      </c>
      <c r="N63" s="421">
        <v>5</v>
      </c>
      <c r="O63" s="421"/>
      <c r="P63" s="430"/>
      <c r="Q63" s="430"/>
      <c r="R63" s="431" t="s">
        <v>368</v>
      </c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/>
      <c r="D64" s="159"/>
      <c r="E64" s="162"/>
      <c r="F64" s="429"/>
      <c r="G64" s="421"/>
      <c r="H64" s="421"/>
      <c r="I64" s="421"/>
      <c r="J64" s="421"/>
      <c r="K64" s="421"/>
      <c r="L64" s="421"/>
      <c r="M64" s="54"/>
      <c r="N64" s="421"/>
      <c r="O64" s="421"/>
      <c r="P64" s="430"/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/>
      <c r="D65" s="159"/>
      <c r="E65" s="162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/>
      <c r="D66" s="159"/>
      <c r="E66" s="162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159"/>
      <c r="E67" s="162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159"/>
      <c r="E68" s="162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159"/>
      <c r="E69" s="162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159"/>
      <c r="E70" s="162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366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161" t="s">
        <v>2</v>
      </c>
      <c r="D72" s="161" t="s">
        <v>37</v>
      </c>
      <c r="E72" s="161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160" t="s">
        <v>114</v>
      </c>
      <c r="D73" s="160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159" t="s">
        <v>114</v>
      </c>
      <c r="D74" s="159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159"/>
      <c r="D75" s="159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159"/>
      <c r="D76" s="159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159"/>
      <c r="D77" s="159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159"/>
      <c r="D78" s="159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159"/>
      <c r="D79" s="159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159"/>
      <c r="D80" s="159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159"/>
      <c r="D81" s="159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367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/>
      <c r="D84" s="397"/>
      <c r="E84" s="397"/>
      <c r="F84" s="397"/>
      <c r="G84" s="397"/>
      <c r="H84" s="397"/>
      <c r="I84" s="397"/>
      <c r="J84" s="397"/>
      <c r="K84" s="397"/>
      <c r="L84" s="397"/>
      <c r="M84" s="397"/>
      <c r="N84" s="397"/>
      <c r="O84" s="397"/>
      <c r="P84" s="397"/>
      <c r="Q84" s="397"/>
      <c r="R84" s="397"/>
      <c r="S84" s="397"/>
      <c r="T84" s="397"/>
      <c r="U84" s="397"/>
      <c r="V84" s="398"/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F86"/>
  <sheetViews>
    <sheetView zoomScale="72" zoomScaleNormal="72" zoomScaleSheetLayoutView="70" workbookViewId="0">
      <selection activeCell="F78" sqref="F78:J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369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70" t="s">
        <v>17</v>
      </c>
      <c r="L5" s="170" t="s">
        <v>18</v>
      </c>
      <c r="M5" s="170" t="s">
        <v>19</v>
      </c>
      <c r="N5" s="17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0.27213131313131311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0.27213131313131311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370</v>
      </c>
      <c r="D8" s="55" t="s">
        <v>371</v>
      </c>
      <c r="E8" s="57" t="s">
        <v>372</v>
      </c>
      <c r="F8" s="33" t="s">
        <v>373</v>
      </c>
      <c r="G8" s="36">
        <v>2</v>
      </c>
      <c r="H8" s="38">
        <v>25</v>
      </c>
      <c r="I8" s="7">
        <v>600</v>
      </c>
      <c r="J8" s="5">
        <v>640</v>
      </c>
      <c r="K8" s="15">
        <f>L8</f>
        <v>640</v>
      </c>
      <c r="L8" s="15">
        <f>320*2</f>
        <v>640</v>
      </c>
      <c r="M8" s="16">
        <f t="shared" si="0"/>
        <v>640</v>
      </c>
      <c r="N8" s="16">
        <v>0</v>
      </c>
      <c r="O8" s="62">
        <f t="shared" si="1"/>
        <v>0</v>
      </c>
      <c r="P8" s="42">
        <f t="shared" si="2"/>
        <v>4</v>
      </c>
      <c r="Q8" s="43">
        <f t="shared" si="3"/>
        <v>20</v>
      </c>
      <c r="R8" s="7"/>
      <c r="S8" s="6"/>
      <c r="T8" s="17"/>
      <c r="U8" s="17"/>
      <c r="V8" s="18"/>
      <c r="W8" s="19">
        <v>20</v>
      </c>
      <c r="X8" s="17"/>
      <c r="Y8" s="20"/>
      <c r="Z8" s="20"/>
      <c r="AA8" s="21"/>
      <c r="AB8" s="8">
        <f t="shared" si="4"/>
        <v>1</v>
      </c>
      <c r="AC8" s="9">
        <f t="shared" si="5"/>
        <v>0.16666666666666666</v>
      </c>
      <c r="AD8" s="10">
        <f t="shared" si="6"/>
        <v>0.16666666666666666</v>
      </c>
      <c r="AE8" s="39">
        <f t="shared" si="7"/>
        <v>0.27213131313131311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370</v>
      </c>
      <c r="D9" s="55" t="s">
        <v>374</v>
      </c>
      <c r="E9" s="57" t="s">
        <v>375</v>
      </c>
      <c r="F9" s="12" t="s">
        <v>376</v>
      </c>
      <c r="G9" s="12">
        <v>1</v>
      </c>
      <c r="H9" s="13">
        <v>25</v>
      </c>
      <c r="I9" s="7">
        <v>500</v>
      </c>
      <c r="J9" s="5">
        <v>716</v>
      </c>
      <c r="K9" s="15">
        <f>L9</f>
        <v>716</v>
      </c>
      <c r="L9" s="15">
        <v>716</v>
      </c>
      <c r="M9" s="16">
        <f t="shared" si="0"/>
        <v>716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0.27213131313131311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334</v>
      </c>
      <c r="D10" s="55" t="s">
        <v>377</v>
      </c>
      <c r="E10" s="57" t="s">
        <v>378</v>
      </c>
      <c r="F10" s="12" t="s">
        <v>379</v>
      </c>
      <c r="G10" s="12">
        <v>1</v>
      </c>
      <c r="H10" s="13">
        <v>25</v>
      </c>
      <c r="I10" s="7">
        <v>200000</v>
      </c>
      <c r="J10" s="14">
        <v>196416</v>
      </c>
      <c r="K10" s="15">
        <f>L10</f>
        <v>196416</v>
      </c>
      <c r="L10" s="15">
        <f>2413*32+3725*32</f>
        <v>196416</v>
      </c>
      <c r="M10" s="16">
        <f t="shared" si="0"/>
        <v>196416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0.27213131313131311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380</v>
      </c>
      <c r="D11" s="55" t="s">
        <v>381</v>
      </c>
      <c r="E11" s="57" t="s">
        <v>382</v>
      </c>
      <c r="F11" s="12" t="s">
        <v>383</v>
      </c>
      <c r="G11" s="12">
        <v>1</v>
      </c>
      <c r="H11" s="13">
        <v>25</v>
      </c>
      <c r="I11" s="34">
        <v>4000</v>
      </c>
      <c r="J11" s="5">
        <v>3461</v>
      </c>
      <c r="K11" s="15">
        <f>L11</f>
        <v>3461</v>
      </c>
      <c r="L11" s="15">
        <f>1373+2088</f>
        <v>3461</v>
      </c>
      <c r="M11" s="16">
        <f t="shared" si="0"/>
        <v>3461</v>
      </c>
      <c r="N11" s="16">
        <v>0</v>
      </c>
      <c r="O11" s="62">
        <f t="shared" si="1"/>
        <v>0</v>
      </c>
      <c r="P11" s="42">
        <f t="shared" si="2"/>
        <v>20</v>
      </c>
      <c r="Q11" s="43">
        <f t="shared" si="3"/>
        <v>4</v>
      </c>
      <c r="R11" s="7"/>
      <c r="S11" s="6">
        <v>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0.83333333333333337</v>
      </c>
      <c r="AD11" s="10">
        <f t="shared" si="6"/>
        <v>0.83333333333333337</v>
      </c>
      <c r="AE11" s="39">
        <f t="shared" si="7"/>
        <v>0.27213131313131311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125</v>
      </c>
      <c r="D12" s="55" t="s">
        <v>152</v>
      </c>
      <c r="E12" s="57" t="s">
        <v>337</v>
      </c>
      <c r="F12" s="12" t="s">
        <v>129</v>
      </c>
      <c r="G12" s="12">
        <v>2</v>
      </c>
      <c r="H12" s="13">
        <v>25</v>
      </c>
      <c r="I12" s="7">
        <v>10000</v>
      </c>
      <c r="J12" s="14">
        <v>11158</v>
      </c>
      <c r="K12" s="15">
        <f>L12+9462</f>
        <v>20620</v>
      </c>
      <c r="L12" s="15">
        <f>2596*2+2983*2</f>
        <v>11158</v>
      </c>
      <c r="M12" s="16">
        <f t="shared" si="0"/>
        <v>11158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0.27213131313131311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123</v>
      </c>
      <c r="E13" s="57" t="s">
        <v>145</v>
      </c>
      <c r="F13" s="12" t="s">
        <v>132</v>
      </c>
      <c r="G13" s="12">
        <v>1</v>
      </c>
      <c r="H13" s="13">
        <v>25</v>
      </c>
      <c r="I13" s="7">
        <v>40000</v>
      </c>
      <c r="J13" s="14">
        <v>3300</v>
      </c>
      <c r="K13" s="15">
        <f>L13+689+4617+3636+3996+2571+4490+5655</f>
        <v>28948</v>
      </c>
      <c r="L13" s="15">
        <f>397+2897</f>
        <v>3294</v>
      </c>
      <c r="M13" s="16">
        <f t="shared" si="0"/>
        <v>3294</v>
      </c>
      <c r="N13" s="16">
        <v>0</v>
      </c>
      <c r="O13" s="62">
        <f t="shared" si="1"/>
        <v>0</v>
      </c>
      <c r="P13" s="42">
        <f t="shared" si="2"/>
        <v>18</v>
      </c>
      <c r="Q13" s="43">
        <f t="shared" si="3"/>
        <v>6</v>
      </c>
      <c r="R13" s="7"/>
      <c r="S13" s="6">
        <v>6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0.99818181818181817</v>
      </c>
      <c r="AC13" s="9">
        <f t="shared" si="5"/>
        <v>0.75</v>
      </c>
      <c r="AD13" s="10">
        <f t="shared" si="6"/>
        <v>0.74863636363636366</v>
      </c>
      <c r="AE13" s="39">
        <f t="shared" si="7"/>
        <v>0.27213131313131311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137</v>
      </c>
      <c r="F14" s="33" t="s">
        <v>129</v>
      </c>
      <c r="G14" s="36">
        <v>1</v>
      </c>
      <c r="H14" s="38">
        <v>25</v>
      </c>
      <c r="I14" s="7">
        <v>200</v>
      </c>
      <c r="J14" s="5">
        <v>280</v>
      </c>
      <c r="K14" s="15">
        <f>L14+280</f>
        <v>280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0.27213131313131311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288</v>
      </c>
      <c r="D15" s="55" t="s">
        <v>289</v>
      </c>
      <c r="E15" s="57" t="s">
        <v>290</v>
      </c>
      <c r="F15" s="12" t="s">
        <v>291</v>
      </c>
      <c r="G15" s="12">
        <v>8</v>
      </c>
      <c r="H15" s="13">
        <v>24</v>
      </c>
      <c r="I15" s="34">
        <v>20000</v>
      </c>
      <c r="J15" s="14">
        <v>32361</v>
      </c>
      <c r="K15" s="15">
        <f>L15+23296+32361</f>
        <v>55657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0.27213131313131311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138</v>
      </c>
      <c r="E16" s="57" t="s">
        <v>139</v>
      </c>
      <c r="F16" s="33" t="s">
        <v>134</v>
      </c>
      <c r="G16" s="36">
        <v>1</v>
      </c>
      <c r="H16" s="38">
        <v>25</v>
      </c>
      <c r="I16" s="7">
        <v>12000</v>
      </c>
      <c r="J16" s="5">
        <v>4150</v>
      </c>
      <c r="K16" s="15">
        <f>L16+4095+4538+4147</f>
        <v>12780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0.27213131313131311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114</v>
      </c>
      <c r="D17" s="55" t="s">
        <v>141</v>
      </c>
      <c r="E17" s="57" t="s">
        <v>142</v>
      </c>
      <c r="F17" s="12">
        <v>8301</v>
      </c>
      <c r="G17" s="12">
        <v>1</v>
      </c>
      <c r="H17" s="13">
        <v>24</v>
      </c>
      <c r="I17" s="34">
        <v>6800</v>
      </c>
      <c r="J17" s="14">
        <v>3810</v>
      </c>
      <c r="K17" s="15">
        <f>L17+4298+3808</f>
        <v>8106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0.27213131313131311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292</v>
      </c>
      <c r="D18" s="55" t="s">
        <v>338</v>
      </c>
      <c r="E18" s="57" t="s">
        <v>339</v>
      </c>
      <c r="F18" s="12" t="s">
        <v>340</v>
      </c>
      <c r="G18" s="36">
        <v>1</v>
      </c>
      <c r="H18" s="38">
        <v>30</v>
      </c>
      <c r="I18" s="7">
        <v>1000</v>
      </c>
      <c r="J18" s="5">
        <v>1140</v>
      </c>
      <c r="K18" s="15">
        <f>L18+1115+1137</f>
        <v>2252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0.27213131313131311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342</v>
      </c>
      <c r="D19" s="55" t="s">
        <v>343</v>
      </c>
      <c r="E19" s="57" t="s">
        <v>344</v>
      </c>
      <c r="F19" s="33" t="s">
        <v>345</v>
      </c>
      <c r="G19" s="12">
        <v>1</v>
      </c>
      <c r="H19" s="13">
        <v>25</v>
      </c>
      <c r="I19" s="34">
        <v>12000</v>
      </c>
      <c r="J19" s="5">
        <v>366</v>
      </c>
      <c r="K19" s="15">
        <f>L19+1028</f>
        <v>1394</v>
      </c>
      <c r="L19" s="15">
        <v>366</v>
      </c>
      <c r="M19" s="16">
        <f t="shared" si="0"/>
        <v>366</v>
      </c>
      <c r="N19" s="16">
        <v>0</v>
      </c>
      <c r="O19" s="62">
        <f t="shared" si="1"/>
        <v>0</v>
      </c>
      <c r="P19" s="42">
        <f t="shared" si="2"/>
        <v>4</v>
      </c>
      <c r="Q19" s="43">
        <f t="shared" si="3"/>
        <v>20</v>
      </c>
      <c r="R19" s="7"/>
      <c r="S19" s="6">
        <v>20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0.16666666666666666</v>
      </c>
      <c r="AD19" s="10">
        <f t="shared" si="6"/>
        <v>0.16666666666666666</v>
      </c>
      <c r="AE19" s="39">
        <f t="shared" si="7"/>
        <v>0.27213131313131311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140</v>
      </c>
      <c r="F20" s="12" t="s">
        <v>122</v>
      </c>
      <c r="G20" s="12">
        <v>4</v>
      </c>
      <c r="H20" s="38">
        <v>20</v>
      </c>
      <c r="I20" s="7">
        <v>500000</v>
      </c>
      <c r="J20" s="14">
        <v>33190</v>
      </c>
      <c r="K20" s="15">
        <f>L20+45528+23236+46280+51612+51820+33188</f>
        <v>251664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0.27213131313131311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1008100</v>
      </c>
      <c r="J21" s="22">
        <f t="shared" si="9"/>
        <v>328628</v>
      </c>
      <c r="K21" s="23">
        <f t="shared" si="9"/>
        <v>770212</v>
      </c>
      <c r="L21" s="24">
        <f t="shared" si="9"/>
        <v>216051</v>
      </c>
      <c r="M21" s="23">
        <f t="shared" si="9"/>
        <v>216051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98</v>
      </c>
      <c r="Q21" s="46">
        <f t="shared" si="10"/>
        <v>262</v>
      </c>
      <c r="R21" s="26">
        <f t="shared" si="10"/>
        <v>24</v>
      </c>
      <c r="S21" s="27">
        <f t="shared" si="10"/>
        <v>54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184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0.46654545454545454</v>
      </c>
      <c r="AC21" s="4">
        <f>SUM(AC6:AC20)/15</f>
        <v>0.2722222222222222</v>
      </c>
      <c r="AD21" s="4">
        <f>SUM(AD6:AD20)/15</f>
        <v>0.27213131313131311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384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400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171" t="s">
        <v>46</v>
      </c>
      <c r="D50" s="171" t="s">
        <v>47</v>
      </c>
      <c r="E50" s="171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171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370</v>
      </c>
      <c r="B51" s="440"/>
      <c r="C51" s="173" t="s">
        <v>385</v>
      </c>
      <c r="D51" s="173" t="s">
        <v>371</v>
      </c>
      <c r="E51" s="173" t="s">
        <v>372</v>
      </c>
      <c r="F51" s="431" t="s">
        <v>386</v>
      </c>
      <c r="G51" s="431"/>
      <c r="H51" s="431"/>
      <c r="I51" s="431"/>
      <c r="J51" s="431"/>
      <c r="K51" s="431"/>
      <c r="L51" s="431"/>
      <c r="M51" s="441"/>
      <c r="N51" s="172" t="s">
        <v>380</v>
      </c>
      <c r="O51" s="124" t="s">
        <v>401</v>
      </c>
      <c r="P51" s="440" t="s">
        <v>381</v>
      </c>
      <c r="Q51" s="440"/>
      <c r="R51" s="440" t="s">
        <v>382</v>
      </c>
      <c r="S51" s="440"/>
      <c r="T51" s="440"/>
      <c r="U51" s="440"/>
      <c r="V51" s="431" t="s">
        <v>402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305</v>
      </c>
      <c r="B52" s="440"/>
      <c r="C52" s="173" t="s">
        <v>387</v>
      </c>
      <c r="D52" s="173" t="s">
        <v>374</v>
      </c>
      <c r="E52" s="173" t="s">
        <v>375</v>
      </c>
      <c r="F52" s="431" t="s">
        <v>388</v>
      </c>
      <c r="G52" s="431"/>
      <c r="H52" s="431"/>
      <c r="I52" s="431"/>
      <c r="J52" s="431"/>
      <c r="K52" s="431"/>
      <c r="L52" s="431"/>
      <c r="M52" s="441"/>
      <c r="N52" s="172" t="s">
        <v>370</v>
      </c>
      <c r="O52" s="124" t="s">
        <v>405</v>
      </c>
      <c r="P52" s="440" t="s">
        <v>406</v>
      </c>
      <c r="Q52" s="440"/>
      <c r="R52" s="440" t="s">
        <v>404</v>
      </c>
      <c r="S52" s="440"/>
      <c r="T52" s="440"/>
      <c r="U52" s="440"/>
      <c r="V52" s="431" t="s">
        <v>386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370</v>
      </c>
      <c r="B53" s="440"/>
      <c r="C53" s="173" t="s">
        <v>389</v>
      </c>
      <c r="D53" s="173" t="s">
        <v>377</v>
      </c>
      <c r="E53" s="173" t="s">
        <v>390</v>
      </c>
      <c r="F53" s="431" t="s">
        <v>299</v>
      </c>
      <c r="G53" s="431"/>
      <c r="H53" s="431"/>
      <c r="I53" s="431"/>
      <c r="J53" s="431"/>
      <c r="K53" s="431"/>
      <c r="L53" s="431"/>
      <c r="M53" s="441"/>
      <c r="N53" s="172" t="s">
        <v>380</v>
      </c>
      <c r="O53" s="124" t="s">
        <v>408</v>
      </c>
      <c r="P53" s="440" t="s">
        <v>393</v>
      </c>
      <c r="Q53" s="440"/>
      <c r="R53" s="440" t="s">
        <v>407</v>
      </c>
      <c r="S53" s="440"/>
      <c r="T53" s="440"/>
      <c r="U53" s="440"/>
      <c r="V53" s="431" t="s">
        <v>402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342</v>
      </c>
      <c r="B54" s="440"/>
      <c r="C54" s="173" t="s">
        <v>391</v>
      </c>
      <c r="D54" s="173" t="s">
        <v>381</v>
      </c>
      <c r="E54" s="173" t="s">
        <v>382</v>
      </c>
      <c r="F54" s="431" t="s">
        <v>403</v>
      </c>
      <c r="G54" s="431"/>
      <c r="H54" s="431"/>
      <c r="I54" s="431"/>
      <c r="J54" s="431"/>
      <c r="K54" s="431"/>
      <c r="L54" s="431"/>
      <c r="M54" s="441"/>
      <c r="N54" s="172" t="s">
        <v>370</v>
      </c>
      <c r="O54" s="124" t="s">
        <v>414</v>
      </c>
      <c r="P54" s="440" t="s">
        <v>412</v>
      </c>
      <c r="Q54" s="440"/>
      <c r="R54" s="440" t="s">
        <v>409</v>
      </c>
      <c r="S54" s="440"/>
      <c r="T54" s="440"/>
      <c r="U54" s="440"/>
      <c r="V54" s="431" t="s">
        <v>386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380</v>
      </c>
      <c r="B55" s="440"/>
      <c r="C55" s="173" t="s">
        <v>392</v>
      </c>
      <c r="D55" s="173" t="s">
        <v>393</v>
      </c>
      <c r="E55" s="173" t="s">
        <v>394</v>
      </c>
      <c r="F55" s="431" t="s">
        <v>395</v>
      </c>
      <c r="G55" s="431"/>
      <c r="H55" s="431"/>
      <c r="I55" s="431"/>
      <c r="J55" s="431"/>
      <c r="K55" s="431"/>
      <c r="L55" s="431"/>
      <c r="M55" s="441"/>
      <c r="N55" s="172" t="s">
        <v>370</v>
      </c>
      <c r="O55" s="124" t="s">
        <v>415</v>
      </c>
      <c r="P55" s="440" t="s">
        <v>413</v>
      </c>
      <c r="Q55" s="440"/>
      <c r="R55" s="440" t="s">
        <v>410</v>
      </c>
      <c r="S55" s="440"/>
      <c r="T55" s="440"/>
      <c r="U55" s="440"/>
      <c r="V55" s="431" t="s">
        <v>386</v>
      </c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370</v>
      </c>
      <c r="B56" s="440"/>
      <c r="C56" s="173" t="s">
        <v>396</v>
      </c>
      <c r="D56" s="173" t="s">
        <v>397</v>
      </c>
      <c r="E56" s="173" t="s">
        <v>398</v>
      </c>
      <c r="F56" s="431" t="s">
        <v>399</v>
      </c>
      <c r="G56" s="431"/>
      <c r="H56" s="431"/>
      <c r="I56" s="431"/>
      <c r="J56" s="431"/>
      <c r="K56" s="431"/>
      <c r="L56" s="431"/>
      <c r="M56" s="441"/>
      <c r="N56" s="172" t="s">
        <v>370</v>
      </c>
      <c r="O56" s="124" t="s">
        <v>414</v>
      </c>
      <c r="P56" s="440" t="s">
        <v>397</v>
      </c>
      <c r="Q56" s="440"/>
      <c r="R56" s="440" t="s">
        <v>411</v>
      </c>
      <c r="S56" s="440"/>
      <c r="T56" s="440"/>
      <c r="U56" s="440"/>
      <c r="V56" s="431" t="s">
        <v>386</v>
      </c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/>
      <c r="B57" s="440"/>
      <c r="C57" s="173"/>
      <c r="D57" s="173"/>
      <c r="E57" s="173"/>
      <c r="F57" s="431"/>
      <c r="G57" s="431"/>
      <c r="H57" s="431"/>
      <c r="I57" s="431"/>
      <c r="J57" s="431"/>
      <c r="K57" s="431"/>
      <c r="L57" s="431"/>
      <c r="M57" s="441"/>
      <c r="N57" s="172" t="s">
        <v>380</v>
      </c>
      <c r="O57" s="124" t="s">
        <v>417</v>
      </c>
      <c r="P57" s="446" t="s">
        <v>418</v>
      </c>
      <c r="Q57" s="447"/>
      <c r="R57" s="440" t="s">
        <v>416</v>
      </c>
      <c r="S57" s="440"/>
      <c r="T57" s="440"/>
      <c r="U57" s="440"/>
      <c r="V57" s="431" t="s">
        <v>386</v>
      </c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173"/>
      <c r="D58" s="173"/>
      <c r="E58" s="173"/>
      <c r="F58" s="431"/>
      <c r="G58" s="431"/>
      <c r="H58" s="431"/>
      <c r="I58" s="431"/>
      <c r="J58" s="431"/>
      <c r="K58" s="431"/>
      <c r="L58" s="431"/>
      <c r="M58" s="441"/>
      <c r="N58" s="172" t="s">
        <v>380</v>
      </c>
      <c r="O58" s="124" t="s">
        <v>421</v>
      </c>
      <c r="P58" s="446" t="s">
        <v>381</v>
      </c>
      <c r="Q58" s="447"/>
      <c r="R58" s="440" t="s">
        <v>419</v>
      </c>
      <c r="S58" s="440"/>
      <c r="T58" s="440"/>
      <c r="U58" s="440"/>
      <c r="V58" s="431" t="s">
        <v>420</v>
      </c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173"/>
      <c r="D59" s="173"/>
      <c r="E59" s="173"/>
      <c r="F59" s="431"/>
      <c r="G59" s="431"/>
      <c r="H59" s="431"/>
      <c r="I59" s="431"/>
      <c r="J59" s="431"/>
      <c r="K59" s="431"/>
      <c r="L59" s="431"/>
      <c r="M59" s="441"/>
      <c r="N59" s="172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175"/>
      <c r="D60" s="175"/>
      <c r="E60" s="175"/>
      <c r="F60" s="444"/>
      <c r="G60" s="444"/>
      <c r="H60" s="444"/>
      <c r="I60" s="444"/>
      <c r="J60" s="444"/>
      <c r="K60" s="444"/>
      <c r="L60" s="444"/>
      <c r="M60" s="445"/>
      <c r="N60" s="174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422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176" t="s">
        <v>2</v>
      </c>
      <c r="D62" s="176" t="s">
        <v>37</v>
      </c>
      <c r="E62" s="176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176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423</v>
      </c>
      <c r="D63" s="179"/>
      <c r="E63" s="177"/>
      <c r="F63" s="429" t="s">
        <v>424</v>
      </c>
      <c r="G63" s="421"/>
      <c r="H63" s="421"/>
      <c r="I63" s="421"/>
      <c r="J63" s="421"/>
      <c r="K63" s="421" t="s">
        <v>425</v>
      </c>
      <c r="L63" s="421"/>
      <c r="M63" s="54" t="s">
        <v>426</v>
      </c>
      <c r="N63" s="421">
        <v>15</v>
      </c>
      <c r="O63" s="421"/>
      <c r="P63" s="430">
        <v>200</v>
      </c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 t="s">
        <v>380</v>
      </c>
      <c r="D64" s="179"/>
      <c r="E64" s="177" t="s">
        <v>427</v>
      </c>
      <c r="F64" s="429" t="s">
        <v>428</v>
      </c>
      <c r="G64" s="421"/>
      <c r="H64" s="421"/>
      <c r="I64" s="421"/>
      <c r="J64" s="421"/>
      <c r="K64" s="421" t="s">
        <v>429</v>
      </c>
      <c r="L64" s="421"/>
      <c r="M64" s="54" t="s">
        <v>426</v>
      </c>
      <c r="N64" s="421">
        <v>3</v>
      </c>
      <c r="O64" s="421"/>
      <c r="P64" s="430">
        <v>50</v>
      </c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 t="s">
        <v>380</v>
      </c>
      <c r="D65" s="179"/>
      <c r="E65" s="177" t="s">
        <v>371</v>
      </c>
      <c r="F65" s="429" t="s">
        <v>430</v>
      </c>
      <c r="G65" s="421"/>
      <c r="H65" s="421"/>
      <c r="I65" s="421"/>
      <c r="J65" s="421"/>
      <c r="K65" s="421" t="s">
        <v>429</v>
      </c>
      <c r="L65" s="421"/>
      <c r="M65" s="54" t="s">
        <v>426</v>
      </c>
      <c r="N65" s="421">
        <v>13</v>
      </c>
      <c r="O65" s="421"/>
      <c r="P65" s="430">
        <v>100</v>
      </c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 t="s">
        <v>380</v>
      </c>
      <c r="D66" s="179"/>
      <c r="E66" s="177" t="s">
        <v>431</v>
      </c>
      <c r="F66" s="429" t="s">
        <v>432</v>
      </c>
      <c r="G66" s="421"/>
      <c r="H66" s="421"/>
      <c r="I66" s="421"/>
      <c r="J66" s="421"/>
      <c r="K66" s="421" t="s">
        <v>433</v>
      </c>
      <c r="L66" s="421"/>
      <c r="M66" s="54" t="s">
        <v>426</v>
      </c>
      <c r="N66" s="421">
        <v>4</v>
      </c>
      <c r="O66" s="421"/>
      <c r="P66" s="430">
        <v>50</v>
      </c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 t="s">
        <v>380</v>
      </c>
      <c r="D67" s="179"/>
      <c r="E67" s="177" t="s">
        <v>397</v>
      </c>
      <c r="F67" s="429" t="s">
        <v>434</v>
      </c>
      <c r="G67" s="421"/>
      <c r="H67" s="421"/>
      <c r="I67" s="421"/>
      <c r="J67" s="421"/>
      <c r="K67" s="421" t="s">
        <v>433</v>
      </c>
      <c r="L67" s="421"/>
      <c r="M67" s="54" t="s">
        <v>426</v>
      </c>
      <c r="N67" s="421">
        <v>13</v>
      </c>
      <c r="O67" s="421"/>
      <c r="P67" s="430">
        <v>50</v>
      </c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 t="s">
        <v>370</v>
      </c>
      <c r="D68" s="179"/>
      <c r="E68" s="177" t="s">
        <v>374</v>
      </c>
      <c r="F68" s="429" t="s">
        <v>375</v>
      </c>
      <c r="G68" s="421"/>
      <c r="H68" s="421"/>
      <c r="I68" s="421"/>
      <c r="J68" s="421"/>
      <c r="K68" s="421" t="s">
        <v>376</v>
      </c>
      <c r="L68" s="421"/>
      <c r="M68" s="54" t="s">
        <v>426</v>
      </c>
      <c r="N68" s="421">
        <v>4</v>
      </c>
      <c r="O68" s="421"/>
      <c r="P68" s="430">
        <v>50</v>
      </c>
      <c r="Q68" s="430"/>
      <c r="R68" s="431" t="s">
        <v>388</v>
      </c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179"/>
      <c r="E69" s="177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179"/>
      <c r="E70" s="177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435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178" t="s">
        <v>2</v>
      </c>
      <c r="D72" s="178" t="s">
        <v>37</v>
      </c>
      <c r="E72" s="178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180" t="s">
        <v>114</v>
      </c>
      <c r="D73" s="180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179" t="s">
        <v>114</v>
      </c>
      <c r="D74" s="179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179"/>
      <c r="D75" s="179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179"/>
      <c r="D76" s="179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179"/>
      <c r="D77" s="179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179"/>
      <c r="D78" s="179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179"/>
      <c r="D79" s="179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179"/>
      <c r="D80" s="179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179"/>
      <c r="D81" s="179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436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/>
      <c r="D84" s="397"/>
      <c r="E84" s="397"/>
      <c r="F84" s="397"/>
      <c r="G84" s="397"/>
      <c r="H84" s="397"/>
      <c r="I84" s="397"/>
      <c r="J84" s="397"/>
      <c r="K84" s="397"/>
      <c r="L84" s="397"/>
      <c r="M84" s="397"/>
      <c r="N84" s="397"/>
      <c r="O84" s="397"/>
      <c r="P84" s="397"/>
      <c r="Q84" s="397"/>
      <c r="R84" s="397"/>
      <c r="S84" s="397"/>
      <c r="T84" s="397"/>
      <c r="U84" s="397"/>
      <c r="V84" s="398"/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437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91" t="s">
        <v>17</v>
      </c>
      <c r="L5" s="191" t="s">
        <v>18</v>
      </c>
      <c r="M5" s="191" t="s">
        <v>19</v>
      </c>
      <c r="N5" s="19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0.33333333333333337</v>
      </c>
      <c r="AF6" s="93">
        <f t="shared" ref="AF6:AF22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0.33333333333333337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370</v>
      </c>
      <c r="D8" s="55" t="s">
        <v>438</v>
      </c>
      <c r="E8" s="57" t="s">
        <v>439</v>
      </c>
      <c r="F8" s="33" t="s">
        <v>373</v>
      </c>
      <c r="G8" s="36">
        <v>1</v>
      </c>
      <c r="H8" s="38">
        <v>25</v>
      </c>
      <c r="I8" s="7">
        <v>300</v>
      </c>
      <c r="J8" s="5">
        <v>356</v>
      </c>
      <c r="K8" s="15">
        <f>L8</f>
        <v>356</v>
      </c>
      <c r="L8" s="15">
        <v>356</v>
      </c>
      <c r="M8" s="16">
        <f t="shared" si="0"/>
        <v>356</v>
      </c>
      <c r="N8" s="16">
        <v>0</v>
      </c>
      <c r="O8" s="62">
        <f t="shared" si="1"/>
        <v>0</v>
      </c>
      <c r="P8" s="42">
        <f t="shared" si="2"/>
        <v>4</v>
      </c>
      <c r="Q8" s="43">
        <f t="shared" si="3"/>
        <v>20</v>
      </c>
      <c r="R8" s="7"/>
      <c r="S8" s="6"/>
      <c r="T8" s="17"/>
      <c r="U8" s="17"/>
      <c r="V8" s="18"/>
      <c r="W8" s="19">
        <v>20</v>
      </c>
      <c r="X8" s="17"/>
      <c r="Y8" s="20"/>
      <c r="Z8" s="20"/>
      <c r="AA8" s="21"/>
      <c r="AB8" s="8">
        <f t="shared" si="4"/>
        <v>1</v>
      </c>
      <c r="AC8" s="9">
        <f t="shared" si="5"/>
        <v>0.16666666666666666</v>
      </c>
      <c r="AD8" s="10">
        <f t="shared" si="6"/>
        <v>0.16666666666666666</v>
      </c>
      <c r="AE8" s="39">
        <f t="shared" si="7"/>
        <v>0.33333333333333337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440</v>
      </c>
      <c r="D9" s="55" t="s">
        <v>441</v>
      </c>
      <c r="E9" s="57" t="s">
        <v>442</v>
      </c>
      <c r="F9" s="12" t="s">
        <v>443</v>
      </c>
      <c r="G9" s="12">
        <v>1</v>
      </c>
      <c r="H9" s="13">
        <v>25</v>
      </c>
      <c r="I9" s="7">
        <v>1700</v>
      </c>
      <c r="J9" s="5">
        <v>1766</v>
      </c>
      <c r="K9" s="15">
        <f>L9</f>
        <v>1766</v>
      </c>
      <c r="L9" s="15">
        <v>1766</v>
      </c>
      <c r="M9" s="16">
        <f t="shared" si="0"/>
        <v>1766</v>
      </c>
      <c r="N9" s="16">
        <v>0</v>
      </c>
      <c r="O9" s="62">
        <f t="shared" si="1"/>
        <v>0</v>
      </c>
      <c r="P9" s="42">
        <f t="shared" si="2"/>
        <v>12</v>
      </c>
      <c r="Q9" s="43">
        <f t="shared" si="3"/>
        <v>12</v>
      </c>
      <c r="R9" s="7"/>
      <c r="S9" s="6"/>
      <c r="T9" s="17"/>
      <c r="U9" s="17"/>
      <c r="V9" s="18"/>
      <c r="W9" s="19">
        <v>12</v>
      </c>
      <c r="X9" s="17"/>
      <c r="Y9" s="20"/>
      <c r="Z9" s="20"/>
      <c r="AA9" s="21"/>
      <c r="AB9" s="8">
        <f t="shared" si="4"/>
        <v>1</v>
      </c>
      <c r="AC9" s="9">
        <f t="shared" si="5"/>
        <v>0.5</v>
      </c>
      <c r="AD9" s="10">
        <f t="shared" si="6"/>
        <v>0.5</v>
      </c>
      <c r="AE9" s="39">
        <f t="shared" si="7"/>
        <v>0.33333333333333337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334</v>
      </c>
      <c r="D10" s="55" t="s">
        <v>377</v>
      </c>
      <c r="E10" s="57" t="s">
        <v>378</v>
      </c>
      <c r="F10" s="12" t="s">
        <v>379</v>
      </c>
      <c r="G10" s="12">
        <v>1</v>
      </c>
      <c r="H10" s="13">
        <v>25</v>
      </c>
      <c r="I10" s="7">
        <v>200000</v>
      </c>
      <c r="J10" s="14">
        <v>173120</v>
      </c>
      <c r="K10" s="15">
        <f>L10+196416</f>
        <v>369536</v>
      </c>
      <c r="L10" s="15">
        <f>2119*32+3291*32</f>
        <v>173120</v>
      </c>
      <c r="M10" s="16">
        <f t="shared" si="0"/>
        <v>173120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0.33333333333333337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380</v>
      </c>
      <c r="D11" s="55" t="s">
        <v>381</v>
      </c>
      <c r="E11" s="57" t="s">
        <v>382</v>
      </c>
      <c r="F11" s="12" t="s">
        <v>383</v>
      </c>
      <c r="G11" s="12">
        <v>1</v>
      </c>
      <c r="H11" s="13">
        <v>25</v>
      </c>
      <c r="I11" s="34">
        <v>4000</v>
      </c>
      <c r="J11" s="5">
        <v>4240</v>
      </c>
      <c r="K11" s="15">
        <f>L11+3461</f>
        <v>7701</v>
      </c>
      <c r="L11" s="15">
        <f>2805+1435</f>
        <v>4240</v>
      </c>
      <c r="M11" s="16">
        <f t="shared" si="0"/>
        <v>4240</v>
      </c>
      <c r="N11" s="16">
        <v>0</v>
      </c>
      <c r="O11" s="62">
        <f t="shared" si="1"/>
        <v>0</v>
      </c>
      <c r="P11" s="42">
        <f t="shared" si="2"/>
        <v>20</v>
      </c>
      <c r="Q11" s="43">
        <f t="shared" si="3"/>
        <v>4</v>
      </c>
      <c r="R11" s="7"/>
      <c r="S11" s="6">
        <v>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0.83333333333333337</v>
      </c>
      <c r="AD11" s="10">
        <f t="shared" si="6"/>
        <v>0.83333333333333337</v>
      </c>
      <c r="AE11" s="39">
        <f t="shared" si="7"/>
        <v>0.33333333333333337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444</v>
      </c>
      <c r="D12" s="55" t="s">
        <v>445</v>
      </c>
      <c r="E12" s="57" t="s">
        <v>446</v>
      </c>
      <c r="F12" s="12" t="s">
        <v>447</v>
      </c>
      <c r="G12" s="12">
        <v>1</v>
      </c>
      <c r="H12" s="13">
        <v>25</v>
      </c>
      <c r="I12" s="7">
        <v>500</v>
      </c>
      <c r="J12" s="14">
        <v>570</v>
      </c>
      <c r="K12" s="15">
        <f>L12</f>
        <v>570</v>
      </c>
      <c r="L12" s="15">
        <v>570</v>
      </c>
      <c r="M12" s="16">
        <f t="shared" si="0"/>
        <v>570</v>
      </c>
      <c r="N12" s="16">
        <v>0</v>
      </c>
      <c r="O12" s="62">
        <f t="shared" si="1"/>
        <v>0</v>
      </c>
      <c r="P12" s="42">
        <f t="shared" si="2"/>
        <v>6</v>
      </c>
      <c r="Q12" s="43">
        <f t="shared" si="3"/>
        <v>18</v>
      </c>
      <c r="R12" s="7"/>
      <c r="S12" s="6"/>
      <c r="T12" s="17"/>
      <c r="U12" s="17"/>
      <c r="V12" s="18"/>
      <c r="W12" s="19">
        <v>18</v>
      </c>
      <c r="X12" s="17"/>
      <c r="Y12" s="20"/>
      <c r="Z12" s="20"/>
      <c r="AA12" s="21"/>
      <c r="AB12" s="8">
        <f t="shared" si="4"/>
        <v>1</v>
      </c>
      <c r="AC12" s="9">
        <f t="shared" si="5"/>
        <v>0.25</v>
      </c>
      <c r="AD12" s="10">
        <f t="shared" si="6"/>
        <v>0.25</v>
      </c>
      <c r="AE12" s="39">
        <f t="shared" si="7"/>
        <v>0.33333333333333337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123</v>
      </c>
      <c r="E13" s="57" t="s">
        <v>145</v>
      </c>
      <c r="F13" s="12" t="s">
        <v>132</v>
      </c>
      <c r="G13" s="12">
        <v>1</v>
      </c>
      <c r="H13" s="13">
        <v>25</v>
      </c>
      <c r="I13" s="7">
        <v>40000</v>
      </c>
      <c r="J13" s="14">
        <v>5421</v>
      </c>
      <c r="K13" s="15">
        <f>L13+689+4617+3636+3996+2571+4490+5655+3294</f>
        <v>34369</v>
      </c>
      <c r="L13" s="15">
        <f>2691+2730</f>
        <v>5421</v>
      </c>
      <c r="M13" s="16">
        <f t="shared" si="0"/>
        <v>5421</v>
      </c>
      <c r="N13" s="16">
        <v>0</v>
      </c>
      <c r="O13" s="62">
        <f t="shared" si="1"/>
        <v>0</v>
      </c>
      <c r="P13" s="42">
        <f t="shared" si="2"/>
        <v>21</v>
      </c>
      <c r="Q13" s="43">
        <f t="shared" si="3"/>
        <v>3</v>
      </c>
      <c r="R13" s="7"/>
      <c r="S13" s="6">
        <v>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9">
        <f t="shared" si="7"/>
        <v>0.33333333333333337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448</v>
      </c>
      <c r="F14" s="33" t="s">
        <v>449</v>
      </c>
      <c r="G14" s="36">
        <v>1</v>
      </c>
      <c r="H14" s="38">
        <v>25</v>
      </c>
      <c r="I14" s="7">
        <v>100</v>
      </c>
      <c r="J14" s="5">
        <v>107</v>
      </c>
      <c r="K14" s="15">
        <f>L14</f>
        <v>107</v>
      </c>
      <c r="L14" s="15">
        <v>107</v>
      </c>
      <c r="M14" s="16">
        <f t="shared" si="0"/>
        <v>107</v>
      </c>
      <c r="N14" s="16">
        <v>0</v>
      </c>
      <c r="O14" s="62">
        <f t="shared" si="1"/>
        <v>0</v>
      </c>
      <c r="P14" s="42">
        <f t="shared" si="2"/>
        <v>4</v>
      </c>
      <c r="Q14" s="43">
        <f t="shared" si="3"/>
        <v>20</v>
      </c>
      <c r="R14" s="7"/>
      <c r="S14" s="6"/>
      <c r="T14" s="17"/>
      <c r="U14" s="17"/>
      <c r="V14" s="18"/>
      <c r="W14" s="19">
        <v>20</v>
      </c>
      <c r="X14" s="17"/>
      <c r="Y14" s="20"/>
      <c r="Z14" s="20"/>
      <c r="AA14" s="21"/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9">
        <f t="shared" si="7"/>
        <v>0.33333333333333337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288</v>
      </c>
      <c r="D15" s="55" t="s">
        <v>289</v>
      </c>
      <c r="E15" s="57" t="s">
        <v>290</v>
      </c>
      <c r="F15" s="12" t="s">
        <v>291</v>
      </c>
      <c r="G15" s="12">
        <v>8</v>
      </c>
      <c r="H15" s="13">
        <v>24</v>
      </c>
      <c r="I15" s="34">
        <v>20000</v>
      </c>
      <c r="J15" s="14">
        <v>32361</v>
      </c>
      <c r="K15" s="15">
        <f>L15+23296+32361</f>
        <v>55657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0.33333333333333337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138</v>
      </c>
      <c r="E16" s="57" t="s">
        <v>139</v>
      </c>
      <c r="F16" s="33" t="s">
        <v>134</v>
      </c>
      <c r="G16" s="36">
        <v>1</v>
      </c>
      <c r="H16" s="38">
        <v>25</v>
      </c>
      <c r="I16" s="7">
        <v>12000</v>
      </c>
      <c r="J16" s="5">
        <v>4150</v>
      </c>
      <c r="K16" s="15">
        <f>L16+4095+4538+4147</f>
        <v>12780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0.33333333333333337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450</v>
      </c>
      <c r="D17" s="55" t="s">
        <v>451</v>
      </c>
      <c r="E17" s="57" t="s">
        <v>452</v>
      </c>
      <c r="F17" s="12">
        <v>8301</v>
      </c>
      <c r="G17" s="12">
        <v>1</v>
      </c>
      <c r="H17" s="13">
        <v>24</v>
      </c>
      <c r="I17" s="34">
        <v>300</v>
      </c>
      <c r="J17" s="14">
        <v>319</v>
      </c>
      <c r="K17" s="15">
        <f>L17</f>
        <v>319</v>
      </c>
      <c r="L17" s="15">
        <v>319</v>
      </c>
      <c r="M17" s="16">
        <f t="shared" si="0"/>
        <v>319</v>
      </c>
      <c r="N17" s="16">
        <v>0</v>
      </c>
      <c r="O17" s="62">
        <f t="shared" si="1"/>
        <v>0</v>
      </c>
      <c r="P17" s="42">
        <f t="shared" si="2"/>
        <v>4</v>
      </c>
      <c r="Q17" s="43">
        <f t="shared" si="3"/>
        <v>20</v>
      </c>
      <c r="R17" s="7"/>
      <c r="S17" s="6"/>
      <c r="T17" s="17"/>
      <c r="U17" s="17"/>
      <c r="V17" s="18"/>
      <c r="W17" s="19">
        <v>20</v>
      </c>
      <c r="X17" s="17"/>
      <c r="Y17" s="20"/>
      <c r="Z17" s="20"/>
      <c r="AA17" s="21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9">
        <f t="shared" si="7"/>
        <v>0.33333333333333337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450</v>
      </c>
      <c r="D18" s="55" t="s">
        <v>451</v>
      </c>
      <c r="E18" s="57" t="s">
        <v>453</v>
      </c>
      <c r="F18" s="12" t="s">
        <v>454</v>
      </c>
      <c r="G18" s="36">
        <v>1</v>
      </c>
      <c r="H18" s="38">
        <v>30</v>
      </c>
      <c r="I18" s="7">
        <v>300</v>
      </c>
      <c r="J18" s="5">
        <v>370</v>
      </c>
      <c r="K18" s="15">
        <f>L18</f>
        <v>370</v>
      </c>
      <c r="L18" s="15">
        <v>370</v>
      </c>
      <c r="M18" s="16">
        <f t="shared" ref="M18" si="9">L18-N18</f>
        <v>370</v>
      </c>
      <c r="N18" s="16">
        <v>0</v>
      </c>
      <c r="O18" s="62">
        <f t="shared" ref="O18" si="10">IF(L18=0,"0",N18/L18)</f>
        <v>0</v>
      </c>
      <c r="P18" s="42">
        <f t="shared" ref="P18" si="11">IF(L18=0,"0",(24-Q18))</f>
        <v>4</v>
      </c>
      <c r="Q18" s="43">
        <f t="shared" ref="Q18" si="12">SUM(R18:AA18)</f>
        <v>20</v>
      </c>
      <c r="R18" s="7"/>
      <c r="S18" s="6"/>
      <c r="T18" s="17"/>
      <c r="U18" s="17"/>
      <c r="V18" s="18"/>
      <c r="W18" s="19">
        <v>20</v>
      </c>
      <c r="X18" s="17"/>
      <c r="Y18" s="20"/>
      <c r="Z18" s="20"/>
      <c r="AA18" s="21"/>
      <c r="AB18" s="8">
        <f t="shared" ref="AB18" si="13">IF(J18=0,"0",(L18/J18))</f>
        <v>1</v>
      </c>
      <c r="AC18" s="9">
        <f t="shared" ref="AC18" si="14">IF(P18=0,"0",(P18/24))</f>
        <v>0.16666666666666666</v>
      </c>
      <c r="AD18" s="10">
        <f t="shared" ref="AD18" si="15">AC18*AB18*(1-O18)</f>
        <v>0.16666666666666666</v>
      </c>
      <c r="AE18" s="39">
        <f t="shared" si="7"/>
        <v>0.33333333333333337</v>
      </c>
      <c r="AF18" s="93">
        <f t="shared" ref="AF18" si="16">A18</f>
        <v>13</v>
      </c>
    </row>
    <row r="19" spans="1:32" ht="27" customHeight="1">
      <c r="A19" s="109">
        <v>13</v>
      </c>
      <c r="B19" s="11" t="s">
        <v>57</v>
      </c>
      <c r="C19" s="37" t="s">
        <v>450</v>
      </c>
      <c r="D19" s="55" t="s">
        <v>445</v>
      </c>
      <c r="E19" s="57" t="s">
        <v>455</v>
      </c>
      <c r="F19" s="12" t="s">
        <v>456</v>
      </c>
      <c r="G19" s="36">
        <v>1</v>
      </c>
      <c r="H19" s="38">
        <v>30</v>
      </c>
      <c r="I19" s="7">
        <v>300</v>
      </c>
      <c r="J19" s="5">
        <v>323</v>
      </c>
      <c r="K19" s="15">
        <f>L19</f>
        <v>323</v>
      </c>
      <c r="L19" s="15">
        <v>323</v>
      </c>
      <c r="M19" s="16">
        <f t="shared" ref="M19" si="17">L19-N19</f>
        <v>323</v>
      </c>
      <c r="N19" s="16">
        <v>0</v>
      </c>
      <c r="O19" s="62">
        <f t="shared" ref="O19" si="18">IF(L19=0,"0",N19/L19)</f>
        <v>0</v>
      </c>
      <c r="P19" s="42">
        <f t="shared" ref="P19" si="19">IF(L19=0,"0",(24-Q19))</f>
        <v>4</v>
      </c>
      <c r="Q19" s="43">
        <f t="shared" ref="Q19" si="20">SUM(R19:AA19)</f>
        <v>20</v>
      </c>
      <c r="R19" s="7"/>
      <c r="S19" s="6"/>
      <c r="T19" s="17"/>
      <c r="U19" s="17"/>
      <c r="V19" s="18"/>
      <c r="W19" s="19">
        <v>20</v>
      </c>
      <c r="X19" s="17"/>
      <c r="Y19" s="20"/>
      <c r="Z19" s="20"/>
      <c r="AA19" s="21"/>
      <c r="AB19" s="8">
        <f t="shared" ref="AB19" si="21">IF(J19=0,"0",(L19/J19))</f>
        <v>1</v>
      </c>
      <c r="AC19" s="9">
        <f t="shared" ref="AC19" si="22">IF(P19=0,"0",(P19/24))</f>
        <v>0.16666666666666666</v>
      </c>
      <c r="AD19" s="10">
        <f t="shared" ref="AD19" si="23">AC19*AB19*(1-O19)</f>
        <v>0.16666666666666666</v>
      </c>
      <c r="AE19" s="39">
        <f t="shared" si="7"/>
        <v>0.33333333333333337</v>
      </c>
      <c r="AF19" s="93">
        <f t="shared" ref="AF19" si="24">A19</f>
        <v>13</v>
      </c>
    </row>
    <row r="20" spans="1:32" ht="27" customHeight="1">
      <c r="A20" s="109">
        <v>13</v>
      </c>
      <c r="B20" s="11" t="s">
        <v>57</v>
      </c>
      <c r="C20" s="37" t="s">
        <v>445</v>
      </c>
      <c r="D20" s="55" t="s">
        <v>457</v>
      </c>
      <c r="E20" s="57" t="s">
        <v>458</v>
      </c>
      <c r="F20" s="12" t="s">
        <v>340</v>
      </c>
      <c r="G20" s="36">
        <v>1</v>
      </c>
      <c r="H20" s="38">
        <v>30</v>
      </c>
      <c r="I20" s="7">
        <v>1000</v>
      </c>
      <c r="J20" s="5">
        <v>2091</v>
      </c>
      <c r="K20" s="15">
        <f>L20</f>
        <v>2091</v>
      </c>
      <c r="L20" s="15">
        <v>2091</v>
      </c>
      <c r="M20" s="16">
        <f t="shared" si="0"/>
        <v>2091</v>
      </c>
      <c r="N20" s="16">
        <v>0</v>
      </c>
      <c r="O20" s="62">
        <f t="shared" si="1"/>
        <v>0</v>
      </c>
      <c r="P20" s="42">
        <f t="shared" si="2"/>
        <v>13</v>
      </c>
      <c r="Q20" s="43">
        <f t="shared" si="3"/>
        <v>11</v>
      </c>
      <c r="R20" s="7"/>
      <c r="S20" s="6"/>
      <c r="T20" s="17">
        <v>11</v>
      </c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0.54166666666666663</v>
      </c>
      <c r="AD20" s="10">
        <f t="shared" si="6"/>
        <v>0.54166666666666663</v>
      </c>
      <c r="AE20" s="39">
        <f t="shared" si="7"/>
        <v>0.33333333333333337</v>
      </c>
      <c r="AF20" s="93">
        <f t="shared" si="8"/>
        <v>13</v>
      </c>
    </row>
    <row r="21" spans="1:32" ht="27" customHeight="1">
      <c r="A21" s="109">
        <v>14</v>
      </c>
      <c r="B21" s="11" t="s">
        <v>341</v>
      </c>
      <c r="C21" s="37" t="s">
        <v>342</v>
      </c>
      <c r="D21" s="55" t="s">
        <v>343</v>
      </c>
      <c r="E21" s="57" t="s">
        <v>344</v>
      </c>
      <c r="F21" s="33" t="s">
        <v>345</v>
      </c>
      <c r="G21" s="12">
        <v>1</v>
      </c>
      <c r="H21" s="13">
        <v>25</v>
      </c>
      <c r="I21" s="34">
        <v>12000</v>
      </c>
      <c r="J21" s="5">
        <v>371</v>
      </c>
      <c r="K21" s="15">
        <f>L21+1028+366</f>
        <v>1765</v>
      </c>
      <c r="L21" s="15">
        <v>371</v>
      </c>
      <c r="M21" s="16">
        <f t="shared" si="0"/>
        <v>371</v>
      </c>
      <c r="N21" s="16">
        <v>0</v>
      </c>
      <c r="O21" s="62">
        <f t="shared" si="1"/>
        <v>0</v>
      </c>
      <c r="P21" s="42">
        <f t="shared" si="2"/>
        <v>4</v>
      </c>
      <c r="Q21" s="43">
        <f t="shared" si="3"/>
        <v>20</v>
      </c>
      <c r="R21" s="7"/>
      <c r="S21" s="6">
        <v>20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0.16666666666666666</v>
      </c>
      <c r="AD21" s="10">
        <f t="shared" si="6"/>
        <v>0.16666666666666666</v>
      </c>
      <c r="AE21" s="39">
        <f t="shared" si="7"/>
        <v>0.33333333333333337</v>
      </c>
      <c r="AF21" s="93">
        <f t="shared" si="8"/>
        <v>14</v>
      </c>
    </row>
    <row r="22" spans="1:32" ht="27" customHeight="1" thickBot="1">
      <c r="A22" s="109">
        <v>15</v>
      </c>
      <c r="B22" s="11" t="s">
        <v>57</v>
      </c>
      <c r="C22" s="11" t="s">
        <v>121</v>
      </c>
      <c r="D22" s="55"/>
      <c r="E22" s="56" t="s">
        <v>140</v>
      </c>
      <c r="F22" s="12" t="s">
        <v>122</v>
      </c>
      <c r="G22" s="12">
        <v>4</v>
      </c>
      <c r="H22" s="38">
        <v>20</v>
      </c>
      <c r="I22" s="7">
        <v>500000</v>
      </c>
      <c r="J22" s="14">
        <v>33190</v>
      </c>
      <c r="K22" s="15">
        <f>L22+45528+23236+46280+51612+51820+33188</f>
        <v>251664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>
        <v>24</v>
      </c>
      <c r="T22" s="17"/>
      <c r="U22" s="17"/>
      <c r="V22" s="18"/>
      <c r="W22" s="19"/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0.33333333333333337</v>
      </c>
      <c r="AF22" s="93">
        <f t="shared" si="8"/>
        <v>15</v>
      </c>
    </row>
    <row r="23" spans="1:32" ht="31.5" customHeight="1" thickBot="1">
      <c r="A23" s="450" t="s">
        <v>34</v>
      </c>
      <c r="B23" s="451"/>
      <c r="C23" s="451"/>
      <c r="D23" s="451"/>
      <c r="E23" s="451"/>
      <c r="F23" s="451"/>
      <c r="G23" s="451"/>
      <c r="H23" s="452"/>
      <c r="I23" s="25">
        <f t="shared" ref="I23:N23" si="25">SUM(I6:I22)</f>
        <v>993500</v>
      </c>
      <c r="J23" s="22">
        <f t="shared" si="25"/>
        <v>296395</v>
      </c>
      <c r="K23" s="23">
        <f t="shared" si="25"/>
        <v>926652</v>
      </c>
      <c r="L23" s="24">
        <f t="shared" si="25"/>
        <v>189054</v>
      </c>
      <c r="M23" s="23">
        <f t="shared" si="25"/>
        <v>189054</v>
      </c>
      <c r="N23" s="24">
        <f t="shared" si="25"/>
        <v>0</v>
      </c>
      <c r="O23" s="44">
        <f t="shared" si="1"/>
        <v>0</v>
      </c>
      <c r="P23" s="45">
        <f t="shared" ref="P23:AA23" si="26">SUM(P6:P22)</f>
        <v>120</v>
      </c>
      <c r="Q23" s="46">
        <f t="shared" si="26"/>
        <v>288</v>
      </c>
      <c r="R23" s="26">
        <f t="shared" si="26"/>
        <v>24</v>
      </c>
      <c r="S23" s="27">
        <f t="shared" si="26"/>
        <v>51</v>
      </c>
      <c r="T23" s="27">
        <f t="shared" si="26"/>
        <v>11</v>
      </c>
      <c r="U23" s="27">
        <f t="shared" si="26"/>
        <v>0</v>
      </c>
      <c r="V23" s="28">
        <f t="shared" si="26"/>
        <v>0</v>
      </c>
      <c r="W23" s="29">
        <f t="shared" si="26"/>
        <v>202</v>
      </c>
      <c r="X23" s="30">
        <f t="shared" si="26"/>
        <v>0</v>
      </c>
      <c r="Y23" s="30">
        <f t="shared" si="26"/>
        <v>0</v>
      </c>
      <c r="Z23" s="30">
        <f t="shared" si="26"/>
        <v>0</v>
      </c>
      <c r="AA23" s="30">
        <f t="shared" si="26"/>
        <v>0</v>
      </c>
      <c r="AB23" s="31">
        <f>SUM(AB6:AB22)/15</f>
        <v>0.8</v>
      </c>
      <c r="AC23" s="4">
        <f>SUM(AC6:AC22)/15</f>
        <v>0.33333333333333337</v>
      </c>
      <c r="AD23" s="4">
        <f>SUM(AD6:AD22)/15</f>
        <v>0.33333333333333337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4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453" t="s">
        <v>45</v>
      </c>
      <c r="B50" s="453"/>
      <c r="C50" s="453"/>
      <c r="D50" s="453"/>
      <c r="E50" s="453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454" t="s">
        <v>459</v>
      </c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6"/>
      <c r="N51" s="457" t="s">
        <v>472</v>
      </c>
      <c r="O51" s="458"/>
      <c r="P51" s="458"/>
      <c r="Q51" s="458"/>
      <c r="R51" s="458"/>
      <c r="S51" s="458"/>
      <c r="T51" s="458"/>
      <c r="U51" s="458"/>
      <c r="V51" s="458"/>
      <c r="W51" s="458"/>
      <c r="X51" s="458"/>
      <c r="Y51" s="458"/>
      <c r="Z51" s="458"/>
      <c r="AA51" s="458"/>
      <c r="AB51" s="458"/>
      <c r="AC51" s="458"/>
      <c r="AD51" s="459"/>
    </row>
    <row r="52" spans="1:32" ht="27" customHeight="1">
      <c r="A52" s="460" t="s">
        <v>2</v>
      </c>
      <c r="B52" s="461"/>
      <c r="C52" s="190" t="s">
        <v>46</v>
      </c>
      <c r="D52" s="190" t="s">
        <v>47</v>
      </c>
      <c r="E52" s="190" t="s">
        <v>108</v>
      </c>
      <c r="F52" s="461" t="s">
        <v>107</v>
      </c>
      <c r="G52" s="461"/>
      <c r="H52" s="461"/>
      <c r="I52" s="461"/>
      <c r="J52" s="461"/>
      <c r="K52" s="461"/>
      <c r="L52" s="461"/>
      <c r="M52" s="462"/>
      <c r="N52" s="73" t="s">
        <v>112</v>
      </c>
      <c r="O52" s="190" t="s">
        <v>46</v>
      </c>
      <c r="P52" s="463" t="s">
        <v>47</v>
      </c>
      <c r="Q52" s="464"/>
      <c r="R52" s="463" t="s">
        <v>38</v>
      </c>
      <c r="S52" s="465"/>
      <c r="T52" s="465"/>
      <c r="U52" s="464"/>
      <c r="V52" s="463" t="s">
        <v>48</v>
      </c>
      <c r="W52" s="465"/>
      <c r="X52" s="465"/>
      <c r="Y52" s="465"/>
      <c r="Z52" s="465"/>
      <c r="AA52" s="465"/>
      <c r="AB52" s="465"/>
      <c r="AC52" s="465"/>
      <c r="AD52" s="466"/>
    </row>
    <row r="53" spans="1:32" ht="27" customHeight="1">
      <c r="A53" s="439" t="s">
        <v>370</v>
      </c>
      <c r="B53" s="440"/>
      <c r="C53" s="187" t="s">
        <v>385</v>
      </c>
      <c r="D53" s="187" t="s">
        <v>438</v>
      </c>
      <c r="E53" s="187" t="s">
        <v>439</v>
      </c>
      <c r="F53" s="431" t="s">
        <v>386</v>
      </c>
      <c r="G53" s="431"/>
      <c r="H53" s="431"/>
      <c r="I53" s="431"/>
      <c r="J53" s="431"/>
      <c r="K53" s="431"/>
      <c r="L53" s="431"/>
      <c r="M53" s="441"/>
      <c r="N53" s="186" t="s">
        <v>450</v>
      </c>
      <c r="O53" s="124" t="s">
        <v>473</v>
      </c>
      <c r="P53" s="440" t="s">
        <v>438</v>
      </c>
      <c r="Q53" s="440"/>
      <c r="R53" s="440" t="s">
        <v>474</v>
      </c>
      <c r="S53" s="440"/>
      <c r="T53" s="440"/>
      <c r="U53" s="440"/>
      <c r="V53" s="431" t="s">
        <v>475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440</v>
      </c>
      <c r="B54" s="440"/>
      <c r="C54" s="187" t="s">
        <v>387</v>
      </c>
      <c r="D54" s="187" t="s">
        <v>441</v>
      </c>
      <c r="E54" s="187" t="s">
        <v>442</v>
      </c>
      <c r="F54" s="431" t="s">
        <v>460</v>
      </c>
      <c r="G54" s="431"/>
      <c r="H54" s="431"/>
      <c r="I54" s="431"/>
      <c r="J54" s="431"/>
      <c r="K54" s="431"/>
      <c r="L54" s="431"/>
      <c r="M54" s="441"/>
      <c r="N54" s="186" t="s">
        <v>370</v>
      </c>
      <c r="O54" s="124" t="s">
        <v>476</v>
      </c>
      <c r="P54" s="440" t="s">
        <v>477</v>
      </c>
      <c r="Q54" s="440"/>
      <c r="R54" s="440" t="s">
        <v>478</v>
      </c>
      <c r="S54" s="440"/>
      <c r="T54" s="440"/>
      <c r="U54" s="440"/>
      <c r="V54" s="431" t="s">
        <v>386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450</v>
      </c>
      <c r="B55" s="440"/>
      <c r="C55" s="187" t="s">
        <v>465</v>
      </c>
      <c r="D55" s="187" t="s">
        <v>466</v>
      </c>
      <c r="E55" s="187" t="s">
        <v>464</v>
      </c>
      <c r="F55" s="431" t="s">
        <v>467</v>
      </c>
      <c r="G55" s="431"/>
      <c r="H55" s="431"/>
      <c r="I55" s="431"/>
      <c r="J55" s="431"/>
      <c r="K55" s="431"/>
      <c r="L55" s="431"/>
      <c r="M55" s="441"/>
      <c r="N55" s="186" t="s">
        <v>380</v>
      </c>
      <c r="O55" s="124" t="s">
        <v>408</v>
      </c>
      <c r="P55" s="440" t="s">
        <v>393</v>
      </c>
      <c r="Q55" s="440"/>
      <c r="R55" s="440" t="s">
        <v>407</v>
      </c>
      <c r="S55" s="440"/>
      <c r="T55" s="440"/>
      <c r="U55" s="440"/>
      <c r="V55" s="431" t="s">
        <v>402</v>
      </c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342</v>
      </c>
      <c r="B56" s="440"/>
      <c r="C56" s="187" t="s">
        <v>391</v>
      </c>
      <c r="D56" s="187" t="s">
        <v>381</v>
      </c>
      <c r="E56" s="187" t="s">
        <v>382</v>
      </c>
      <c r="F56" s="431" t="s">
        <v>461</v>
      </c>
      <c r="G56" s="431"/>
      <c r="H56" s="431"/>
      <c r="I56" s="431"/>
      <c r="J56" s="431"/>
      <c r="K56" s="431"/>
      <c r="L56" s="431"/>
      <c r="M56" s="441"/>
      <c r="N56" s="186" t="s">
        <v>370</v>
      </c>
      <c r="O56" s="124" t="s">
        <v>479</v>
      </c>
      <c r="P56" s="440" t="s">
        <v>445</v>
      </c>
      <c r="Q56" s="440"/>
      <c r="R56" s="440" t="s">
        <v>480</v>
      </c>
      <c r="S56" s="440"/>
      <c r="T56" s="440"/>
      <c r="U56" s="440"/>
      <c r="V56" s="431" t="s">
        <v>481</v>
      </c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 t="s">
        <v>380</v>
      </c>
      <c r="B57" s="440"/>
      <c r="C57" s="187" t="s">
        <v>392</v>
      </c>
      <c r="D57" s="187" t="s">
        <v>393</v>
      </c>
      <c r="E57" s="187" t="s">
        <v>394</v>
      </c>
      <c r="F57" s="431" t="s">
        <v>462</v>
      </c>
      <c r="G57" s="431"/>
      <c r="H57" s="431"/>
      <c r="I57" s="431"/>
      <c r="J57" s="431"/>
      <c r="K57" s="431"/>
      <c r="L57" s="431"/>
      <c r="M57" s="441"/>
      <c r="N57" s="186" t="s">
        <v>370</v>
      </c>
      <c r="O57" s="124" t="s">
        <v>482</v>
      </c>
      <c r="P57" s="440" t="s">
        <v>466</v>
      </c>
      <c r="Q57" s="440"/>
      <c r="R57" s="440" t="s">
        <v>464</v>
      </c>
      <c r="S57" s="440"/>
      <c r="T57" s="440"/>
      <c r="U57" s="440"/>
      <c r="V57" s="431" t="s">
        <v>481</v>
      </c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 t="s">
        <v>370</v>
      </c>
      <c r="B58" s="440"/>
      <c r="C58" s="187" t="s">
        <v>396</v>
      </c>
      <c r="D58" s="187" t="s">
        <v>397</v>
      </c>
      <c r="E58" s="187" t="s">
        <v>398</v>
      </c>
      <c r="F58" s="431" t="s">
        <v>463</v>
      </c>
      <c r="G58" s="431"/>
      <c r="H58" s="431"/>
      <c r="I58" s="431"/>
      <c r="J58" s="431"/>
      <c r="K58" s="431"/>
      <c r="L58" s="431"/>
      <c r="M58" s="441"/>
      <c r="N58" s="186" t="s">
        <v>380</v>
      </c>
      <c r="O58" s="124" t="s">
        <v>417</v>
      </c>
      <c r="P58" s="446" t="s">
        <v>418</v>
      </c>
      <c r="Q58" s="447"/>
      <c r="R58" s="440" t="s">
        <v>483</v>
      </c>
      <c r="S58" s="440"/>
      <c r="T58" s="440"/>
      <c r="U58" s="440"/>
      <c r="V58" s="431" t="s">
        <v>386</v>
      </c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 t="s">
        <v>444</v>
      </c>
      <c r="B59" s="440"/>
      <c r="C59" s="187" t="s">
        <v>468</v>
      </c>
      <c r="D59" s="187" t="s">
        <v>445</v>
      </c>
      <c r="E59" s="187" t="s">
        <v>446</v>
      </c>
      <c r="F59" s="431" t="s">
        <v>386</v>
      </c>
      <c r="G59" s="431"/>
      <c r="H59" s="431"/>
      <c r="I59" s="431"/>
      <c r="J59" s="431"/>
      <c r="K59" s="431"/>
      <c r="L59" s="431"/>
      <c r="M59" s="441"/>
      <c r="N59" s="186" t="s">
        <v>450</v>
      </c>
      <c r="O59" s="124" t="s">
        <v>485</v>
      </c>
      <c r="P59" s="446" t="s">
        <v>486</v>
      </c>
      <c r="Q59" s="447"/>
      <c r="R59" s="440" t="s">
        <v>484</v>
      </c>
      <c r="S59" s="440"/>
      <c r="T59" s="440"/>
      <c r="U59" s="440"/>
      <c r="V59" s="431" t="s">
        <v>386</v>
      </c>
      <c r="W59" s="431"/>
      <c r="X59" s="431"/>
      <c r="Y59" s="431"/>
      <c r="Z59" s="431"/>
      <c r="AA59" s="431"/>
      <c r="AB59" s="431"/>
      <c r="AC59" s="431"/>
      <c r="AD59" s="441"/>
    </row>
    <row r="60" spans="1:32" ht="27" customHeight="1">
      <c r="A60" s="439" t="s">
        <v>440</v>
      </c>
      <c r="B60" s="440"/>
      <c r="C60" s="187" t="s">
        <v>469</v>
      </c>
      <c r="D60" s="187" t="s">
        <v>445</v>
      </c>
      <c r="E60" s="187" t="s">
        <v>448</v>
      </c>
      <c r="F60" s="431" t="s">
        <v>386</v>
      </c>
      <c r="G60" s="431"/>
      <c r="H60" s="431"/>
      <c r="I60" s="431"/>
      <c r="J60" s="431"/>
      <c r="K60" s="431"/>
      <c r="L60" s="431"/>
      <c r="M60" s="441"/>
      <c r="N60" s="186"/>
      <c r="O60" s="124"/>
      <c r="P60" s="446"/>
      <c r="Q60" s="447"/>
      <c r="R60" s="440"/>
      <c r="S60" s="440"/>
      <c r="T60" s="440"/>
      <c r="U60" s="440"/>
      <c r="V60" s="431"/>
      <c r="W60" s="431"/>
      <c r="X60" s="431"/>
      <c r="Y60" s="431"/>
      <c r="Z60" s="431"/>
      <c r="AA60" s="431"/>
      <c r="AB60" s="431"/>
      <c r="AC60" s="431"/>
      <c r="AD60" s="441"/>
    </row>
    <row r="61" spans="1:32" ht="27" customHeight="1">
      <c r="A61" s="439" t="s">
        <v>450</v>
      </c>
      <c r="B61" s="440"/>
      <c r="C61" s="187" t="s">
        <v>470</v>
      </c>
      <c r="D61" s="187" t="s">
        <v>451</v>
      </c>
      <c r="E61" s="187" t="s">
        <v>452</v>
      </c>
      <c r="F61" s="431" t="s">
        <v>386</v>
      </c>
      <c r="G61" s="431"/>
      <c r="H61" s="431"/>
      <c r="I61" s="431"/>
      <c r="J61" s="431"/>
      <c r="K61" s="431"/>
      <c r="L61" s="431"/>
      <c r="M61" s="441"/>
      <c r="N61" s="186"/>
      <c r="O61" s="124"/>
      <c r="P61" s="440"/>
      <c r="Q61" s="440"/>
      <c r="R61" s="440"/>
      <c r="S61" s="440"/>
      <c r="T61" s="440"/>
      <c r="U61" s="440"/>
      <c r="V61" s="431"/>
      <c r="W61" s="431"/>
      <c r="X61" s="431"/>
      <c r="Y61" s="431"/>
      <c r="Z61" s="431"/>
      <c r="AA61" s="431"/>
      <c r="AB61" s="431"/>
      <c r="AC61" s="431"/>
      <c r="AD61" s="441"/>
      <c r="AF61" s="93">
        <f>8*3000</f>
        <v>24000</v>
      </c>
    </row>
    <row r="62" spans="1:32" ht="27" customHeight="1" thickBot="1">
      <c r="A62" s="442" t="s">
        <v>440</v>
      </c>
      <c r="B62" s="443"/>
      <c r="C62" s="189" t="s">
        <v>471</v>
      </c>
      <c r="D62" s="189" t="s">
        <v>457</v>
      </c>
      <c r="E62" s="189" t="s">
        <v>458</v>
      </c>
      <c r="F62" s="489" t="s">
        <v>386</v>
      </c>
      <c r="G62" s="489"/>
      <c r="H62" s="489"/>
      <c r="I62" s="489"/>
      <c r="J62" s="489"/>
      <c r="K62" s="489"/>
      <c r="L62" s="489"/>
      <c r="M62" s="490"/>
      <c r="N62" s="188"/>
      <c r="O62" s="120"/>
      <c r="P62" s="443"/>
      <c r="Q62" s="443"/>
      <c r="R62" s="443"/>
      <c r="S62" s="443"/>
      <c r="T62" s="443"/>
      <c r="U62" s="443"/>
      <c r="V62" s="444"/>
      <c r="W62" s="444"/>
      <c r="X62" s="444"/>
      <c r="Y62" s="444"/>
      <c r="Z62" s="444"/>
      <c r="AA62" s="444"/>
      <c r="AB62" s="444"/>
      <c r="AC62" s="444"/>
      <c r="AD62" s="445"/>
      <c r="AF62" s="93">
        <f>16*3000</f>
        <v>48000</v>
      </c>
    </row>
    <row r="63" spans="1:32" ht="27.75" thickBot="1">
      <c r="A63" s="437" t="s">
        <v>487</v>
      </c>
      <c r="B63" s="437"/>
      <c r="C63" s="437"/>
      <c r="D63" s="437"/>
      <c r="E63" s="437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3">
        <v>24000</v>
      </c>
    </row>
    <row r="64" spans="1:32" ht="29.25" customHeight="1" thickBot="1">
      <c r="A64" s="438" t="s">
        <v>113</v>
      </c>
      <c r="B64" s="435"/>
      <c r="C64" s="185" t="s">
        <v>2</v>
      </c>
      <c r="D64" s="185" t="s">
        <v>37</v>
      </c>
      <c r="E64" s="185" t="s">
        <v>3</v>
      </c>
      <c r="F64" s="435" t="s">
        <v>110</v>
      </c>
      <c r="G64" s="435"/>
      <c r="H64" s="435"/>
      <c r="I64" s="435"/>
      <c r="J64" s="435"/>
      <c r="K64" s="435" t="s">
        <v>39</v>
      </c>
      <c r="L64" s="435"/>
      <c r="M64" s="185" t="s">
        <v>40</v>
      </c>
      <c r="N64" s="435" t="s">
        <v>41</v>
      </c>
      <c r="O64" s="435"/>
      <c r="P64" s="432" t="s">
        <v>42</v>
      </c>
      <c r="Q64" s="434"/>
      <c r="R64" s="432" t="s">
        <v>43</v>
      </c>
      <c r="S64" s="433"/>
      <c r="T64" s="433"/>
      <c r="U64" s="433"/>
      <c r="V64" s="433"/>
      <c r="W64" s="433"/>
      <c r="X64" s="433"/>
      <c r="Y64" s="433"/>
      <c r="Z64" s="433"/>
      <c r="AA64" s="434"/>
      <c r="AB64" s="435" t="s">
        <v>44</v>
      </c>
      <c r="AC64" s="435"/>
      <c r="AD64" s="436"/>
      <c r="AF64" s="93">
        <f>SUM(AF61:AF63)</f>
        <v>96000</v>
      </c>
    </row>
    <row r="65" spans="1:32" ht="25.5" customHeight="1">
      <c r="A65" s="427">
        <v>1</v>
      </c>
      <c r="B65" s="428"/>
      <c r="C65" s="123" t="s">
        <v>440</v>
      </c>
      <c r="D65" s="181"/>
      <c r="E65" s="184" t="s">
        <v>488</v>
      </c>
      <c r="F65" s="429" t="s">
        <v>489</v>
      </c>
      <c r="G65" s="421"/>
      <c r="H65" s="421"/>
      <c r="I65" s="421"/>
      <c r="J65" s="421"/>
      <c r="K65" s="421" t="s">
        <v>429</v>
      </c>
      <c r="L65" s="421"/>
      <c r="M65" s="54" t="s">
        <v>426</v>
      </c>
      <c r="N65" s="421">
        <v>3</v>
      </c>
      <c r="O65" s="421"/>
      <c r="P65" s="430">
        <v>100</v>
      </c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2</v>
      </c>
      <c r="B66" s="428"/>
      <c r="C66" s="123"/>
      <c r="D66" s="181"/>
      <c r="E66" s="184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3</v>
      </c>
      <c r="B67" s="428"/>
      <c r="C67" s="123"/>
      <c r="D67" s="181"/>
      <c r="E67" s="184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4</v>
      </c>
      <c r="B68" s="428"/>
      <c r="C68" s="123"/>
      <c r="D68" s="181"/>
      <c r="E68" s="184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5</v>
      </c>
      <c r="B69" s="428"/>
      <c r="C69" s="123"/>
      <c r="D69" s="181"/>
      <c r="E69" s="184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6</v>
      </c>
      <c r="B70" s="428"/>
      <c r="C70" s="123"/>
      <c r="D70" s="181"/>
      <c r="E70" s="184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5.5" customHeight="1">
      <c r="A71" s="427">
        <v>7</v>
      </c>
      <c r="B71" s="428"/>
      <c r="C71" s="123"/>
      <c r="D71" s="181"/>
      <c r="E71" s="184"/>
      <c r="F71" s="429"/>
      <c r="G71" s="421"/>
      <c r="H71" s="421"/>
      <c r="I71" s="421"/>
      <c r="J71" s="421"/>
      <c r="K71" s="421"/>
      <c r="L71" s="421"/>
      <c r="M71" s="54"/>
      <c r="N71" s="421"/>
      <c r="O71" s="421"/>
      <c r="P71" s="430"/>
      <c r="Q71" s="430"/>
      <c r="R71" s="431"/>
      <c r="S71" s="431"/>
      <c r="T71" s="431"/>
      <c r="U71" s="431"/>
      <c r="V71" s="431"/>
      <c r="W71" s="431"/>
      <c r="X71" s="431"/>
      <c r="Y71" s="431"/>
      <c r="Z71" s="431"/>
      <c r="AA71" s="431"/>
      <c r="AB71" s="421"/>
      <c r="AC71" s="421"/>
      <c r="AD71" s="422"/>
      <c r="AF71" s="53"/>
    </row>
    <row r="72" spans="1:32" ht="25.5" customHeight="1">
      <c r="A72" s="427">
        <v>8</v>
      </c>
      <c r="B72" s="428"/>
      <c r="C72" s="123"/>
      <c r="D72" s="181"/>
      <c r="E72" s="184"/>
      <c r="F72" s="429"/>
      <c r="G72" s="421"/>
      <c r="H72" s="421"/>
      <c r="I72" s="421"/>
      <c r="J72" s="421"/>
      <c r="K72" s="421"/>
      <c r="L72" s="421"/>
      <c r="M72" s="54"/>
      <c r="N72" s="421"/>
      <c r="O72" s="421"/>
      <c r="P72" s="430"/>
      <c r="Q72" s="430"/>
      <c r="R72" s="431"/>
      <c r="S72" s="431"/>
      <c r="T72" s="431"/>
      <c r="U72" s="431"/>
      <c r="V72" s="431"/>
      <c r="W72" s="431"/>
      <c r="X72" s="431"/>
      <c r="Y72" s="431"/>
      <c r="Z72" s="431"/>
      <c r="AA72" s="431"/>
      <c r="AB72" s="421"/>
      <c r="AC72" s="421"/>
      <c r="AD72" s="422"/>
      <c r="AF72" s="53"/>
    </row>
    <row r="73" spans="1:32" ht="26.25" customHeight="1" thickBot="1">
      <c r="A73" s="401" t="s">
        <v>490</v>
      </c>
      <c r="B73" s="401"/>
      <c r="C73" s="401"/>
      <c r="D73" s="401"/>
      <c r="E73" s="401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02" t="s">
        <v>113</v>
      </c>
      <c r="B74" s="403"/>
      <c r="C74" s="183" t="s">
        <v>2</v>
      </c>
      <c r="D74" s="183" t="s">
        <v>37</v>
      </c>
      <c r="E74" s="183" t="s">
        <v>3</v>
      </c>
      <c r="F74" s="403" t="s">
        <v>38</v>
      </c>
      <c r="G74" s="403"/>
      <c r="H74" s="403"/>
      <c r="I74" s="403"/>
      <c r="J74" s="403"/>
      <c r="K74" s="423" t="s">
        <v>58</v>
      </c>
      <c r="L74" s="424"/>
      <c r="M74" s="424"/>
      <c r="N74" s="424"/>
      <c r="O74" s="424"/>
      <c r="P74" s="424"/>
      <c r="Q74" s="424"/>
      <c r="R74" s="424"/>
      <c r="S74" s="425"/>
      <c r="T74" s="403" t="s">
        <v>49</v>
      </c>
      <c r="U74" s="403"/>
      <c r="V74" s="423" t="s">
        <v>50</v>
      </c>
      <c r="W74" s="425"/>
      <c r="X74" s="424" t="s">
        <v>51</v>
      </c>
      <c r="Y74" s="424"/>
      <c r="Z74" s="424"/>
      <c r="AA74" s="424"/>
      <c r="AB74" s="424"/>
      <c r="AC74" s="424"/>
      <c r="AD74" s="426"/>
      <c r="AF74" s="53"/>
    </row>
    <row r="75" spans="1:32" ht="33.75" customHeight="1">
      <c r="A75" s="395">
        <v>1</v>
      </c>
      <c r="B75" s="396"/>
      <c r="C75" s="182" t="s">
        <v>114</v>
      </c>
      <c r="D75" s="182"/>
      <c r="E75" s="71" t="s">
        <v>119</v>
      </c>
      <c r="F75" s="410" t="s">
        <v>120</v>
      </c>
      <c r="G75" s="411"/>
      <c r="H75" s="411"/>
      <c r="I75" s="411"/>
      <c r="J75" s="412"/>
      <c r="K75" s="413" t="s">
        <v>115</v>
      </c>
      <c r="L75" s="414"/>
      <c r="M75" s="414"/>
      <c r="N75" s="414"/>
      <c r="O75" s="414"/>
      <c r="P75" s="414"/>
      <c r="Q75" s="414"/>
      <c r="R75" s="414"/>
      <c r="S75" s="415"/>
      <c r="T75" s="416">
        <v>42901</v>
      </c>
      <c r="U75" s="417"/>
      <c r="V75" s="418"/>
      <c r="W75" s="418"/>
      <c r="X75" s="419"/>
      <c r="Y75" s="419"/>
      <c r="Z75" s="419"/>
      <c r="AA75" s="419"/>
      <c r="AB75" s="419"/>
      <c r="AC75" s="419"/>
      <c r="AD75" s="420"/>
      <c r="AF75" s="53"/>
    </row>
    <row r="76" spans="1:32" ht="30" customHeight="1">
      <c r="A76" s="388">
        <f>A75+1</f>
        <v>2</v>
      </c>
      <c r="B76" s="389"/>
      <c r="C76" s="181" t="s">
        <v>114</v>
      </c>
      <c r="D76" s="181"/>
      <c r="E76" s="35" t="s">
        <v>116</v>
      </c>
      <c r="F76" s="389" t="s">
        <v>117</v>
      </c>
      <c r="G76" s="389"/>
      <c r="H76" s="389"/>
      <c r="I76" s="389"/>
      <c r="J76" s="389"/>
      <c r="K76" s="404" t="s">
        <v>118</v>
      </c>
      <c r="L76" s="405"/>
      <c r="M76" s="405"/>
      <c r="N76" s="405"/>
      <c r="O76" s="405"/>
      <c r="P76" s="405"/>
      <c r="Q76" s="405"/>
      <c r="R76" s="405"/>
      <c r="S76" s="406"/>
      <c r="T76" s="407">
        <v>42867</v>
      </c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ref="A77:A83" si="27">A76+1</f>
        <v>3</v>
      </c>
      <c r="B77" s="389"/>
      <c r="C77" s="181"/>
      <c r="D77" s="181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27"/>
        <v>4</v>
      </c>
      <c r="B78" s="389"/>
      <c r="C78" s="181"/>
      <c r="D78" s="181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27"/>
        <v>5</v>
      </c>
      <c r="B79" s="389"/>
      <c r="C79" s="181"/>
      <c r="D79" s="181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27"/>
        <v>6</v>
      </c>
      <c r="B80" s="389"/>
      <c r="C80" s="181"/>
      <c r="D80" s="181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27"/>
        <v>7</v>
      </c>
      <c r="B81" s="389"/>
      <c r="C81" s="181"/>
      <c r="D81" s="181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0" customHeight="1">
      <c r="A82" s="388">
        <f t="shared" si="27"/>
        <v>8</v>
      </c>
      <c r="B82" s="389"/>
      <c r="C82" s="181"/>
      <c r="D82" s="181"/>
      <c r="E82" s="35"/>
      <c r="F82" s="389"/>
      <c r="G82" s="389"/>
      <c r="H82" s="389"/>
      <c r="I82" s="389"/>
      <c r="J82" s="389"/>
      <c r="K82" s="404"/>
      <c r="L82" s="405"/>
      <c r="M82" s="405"/>
      <c r="N82" s="405"/>
      <c r="O82" s="405"/>
      <c r="P82" s="405"/>
      <c r="Q82" s="405"/>
      <c r="R82" s="405"/>
      <c r="S82" s="406"/>
      <c r="T82" s="407"/>
      <c r="U82" s="407"/>
      <c r="V82" s="407"/>
      <c r="W82" s="407"/>
      <c r="X82" s="408"/>
      <c r="Y82" s="408"/>
      <c r="Z82" s="408"/>
      <c r="AA82" s="408"/>
      <c r="AB82" s="408"/>
      <c r="AC82" s="408"/>
      <c r="AD82" s="409"/>
      <c r="AF82" s="53"/>
    </row>
    <row r="83" spans="1:32" ht="30" customHeight="1">
      <c r="A83" s="388">
        <f t="shared" si="27"/>
        <v>9</v>
      </c>
      <c r="B83" s="389"/>
      <c r="C83" s="181"/>
      <c r="D83" s="181"/>
      <c r="E83" s="35"/>
      <c r="F83" s="389"/>
      <c r="G83" s="389"/>
      <c r="H83" s="389"/>
      <c r="I83" s="389"/>
      <c r="J83" s="389"/>
      <c r="K83" s="404"/>
      <c r="L83" s="405"/>
      <c r="M83" s="405"/>
      <c r="N83" s="405"/>
      <c r="O83" s="405"/>
      <c r="P83" s="405"/>
      <c r="Q83" s="405"/>
      <c r="R83" s="405"/>
      <c r="S83" s="406"/>
      <c r="T83" s="407"/>
      <c r="U83" s="407"/>
      <c r="V83" s="407"/>
      <c r="W83" s="407"/>
      <c r="X83" s="408"/>
      <c r="Y83" s="408"/>
      <c r="Z83" s="408"/>
      <c r="AA83" s="408"/>
      <c r="AB83" s="408"/>
      <c r="AC83" s="408"/>
      <c r="AD83" s="409"/>
      <c r="AF83" s="53"/>
    </row>
    <row r="84" spans="1:32" ht="36" thickBot="1">
      <c r="A84" s="401" t="s">
        <v>491</v>
      </c>
      <c r="B84" s="401"/>
      <c r="C84" s="401"/>
      <c r="D84" s="401"/>
      <c r="E84" s="401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02" t="s">
        <v>113</v>
      </c>
      <c r="B85" s="403"/>
      <c r="C85" s="393" t="s">
        <v>52</v>
      </c>
      <c r="D85" s="393"/>
      <c r="E85" s="393" t="s">
        <v>53</v>
      </c>
      <c r="F85" s="393"/>
      <c r="G85" s="393"/>
      <c r="H85" s="393"/>
      <c r="I85" s="393"/>
      <c r="J85" s="393"/>
      <c r="K85" s="393" t="s">
        <v>54</v>
      </c>
      <c r="L85" s="393"/>
      <c r="M85" s="393"/>
      <c r="N85" s="393"/>
      <c r="O85" s="393"/>
      <c r="P85" s="393"/>
      <c r="Q85" s="393"/>
      <c r="R85" s="393"/>
      <c r="S85" s="393"/>
      <c r="T85" s="393" t="s">
        <v>55</v>
      </c>
      <c r="U85" s="393"/>
      <c r="V85" s="393" t="s">
        <v>56</v>
      </c>
      <c r="W85" s="393"/>
      <c r="X85" s="393"/>
      <c r="Y85" s="393" t="s">
        <v>51</v>
      </c>
      <c r="Z85" s="393"/>
      <c r="AA85" s="393"/>
      <c r="AB85" s="393"/>
      <c r="AC85" s="393"/>
      <c r="AD85" s="394"/>
      <c r="AF85" s="53"/>
    </row>
    <row r="86" spans="1:32" ht="30.75" customHeight="1">
      <c r="A86" s="395">
        <v>1</v>
      </c>
      <c r="B86" s="396"/>
      <c r="C86" s="397"/>
      <c r="D86" s="397"/>
      <c r="E86" s="397"/>
      <c r="F86" s="397"/>
      <c r="G86" s="397"/>
      <c r="H86" s="397"/>
      <c r="I86" s="397"/>
      <c r="J86" s="397"/>
      <c r="K86" s="397"/>
      <c r="L86" s="397"/>
      <c r="M86" s="397"/>
      <c r="N86" s="397"/>
      <c r="O86" s="397"/>
      <c r="P86" s="397"/>
      <c r="Q86" s="397"/>
      <c r="R86" s="397"/>
      <c r="S86" s="397"/>
      <c r="T86" s="397"/>
      <c r="U86" s="397"/>
      <c r="V86" s="398"/>
      <c r="W86" s="398"/>
      <c r="X86" s="398"/>
      <c r="Y86" s="399"/>
      <c r="Z86" s="399"/>
      <c r="AA86" s="399"/>
      <c r="AB86" s="399"/>
      <c r="AC86" s="399"/>
      <c r="AD86" s="400"/>
      <c r="AF86" s="53"/>
    </row>
    <row r="87" spans="1:32" ht="30.75" customHeight="1">
      <c r="A87" s="388">
        <v>2</v>
      </c>
      <c r="B87" s="389"/>
      <c r="C87" s="390"/>
      <c r="D87" s="390"/>
      <c r="E87" s="390"/>
      <c r="F87" s="390"/>
      <c r="G87" s="390"/>
      <c r="H87" s="390"/>
      <c r="I87" s="390"/>
      <c r="J87" s="390"/>
      <c r="K87" s="390"/>
      <c r="L87" s="390"/>
      <c r="M87" s="390"/>
      <c r="N87" s="390"/>
      <c r="O87" s="390"/>
      <c r="P87" s="390"/>
      <c r="Q87" s="390"/>
      <c r="R87" s="390"/>
      <c r="S87" s="390"/>
      <c r="T87" s="391"/>
      <c r="U87" s="391"/>
      <c r="V87" s="392"/>
      <c r="W87" s="392"/>
      <c r="X87" s="392"/>
      <c r="Y87" s="381"/>
      <c r="Z87" s="381"/>
      <c r="AA87" s="381"/>
      <c r="AB87" s="381"/>
      <c r="AC87" s="381"/>
      <c r="AD87" s="382"/>
      <c r="AF87" s="53"/>
    </row>
    <row r="88" spans="1:32" ht="30.75" customHeight="1" thickBot="1">
      <c r="A88" s="383">
        <v>3</v>
      </c>
      <c r="B88" s="384"/>
      <c r="C88" s="385"/>
      <c r="D88" s="385"/>
      <c r="E88" s="385"/>
      <c r="F88" s="385"/>
      <c r="G88" s="385"/>
      <c r="H88" s="385"/>
      <c r="I88" s="385"/>
      <c r="J88" s="385"/>
      <c r="K88" s="385"/>
      <c r="L88" s="385"/>
      <c r="M88" s="385"/>
      <c r="N88" s="385"/>
      <c r="O88" s="385"/>
      <c r="P88" s="385"/>
      <c r="Q88" s="385"/>
      <c r="R88" s="385"/>
      <c r="S88" s="385"/>
      <c r="T88" s="385"/>
      <c r="U88" s="385"/>
      <c r="V88" s="385"/>
      <c r="W88" s="385"/>
      <c r="X88" s="385"/>
      <c r="Y88" s="386"/>
      <c r="Z88" s="386"/>
      <c r="AA88" s="386"/>
      <c r="AB88" s="386"/>
      <c r="AC88" s="386"/>
      <c r="AD88" s="387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492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192" t="s">
        <v>17</v>
      </c>
      <c r="L5" s="192" t="s">
        <v>18</v>
      </c>
      <c r="M5" s="192" t="s">
        <v>19</v>
      </c>
      <c r="N5" s="19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0.26315388929866618</v>
      </c>
      <c r="AF6" s="93">
        <f t="shared" ref="AF6:AF21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0.26315388929866618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370</v>
      </c>
      <c r="D8" s="55" t="s">
        <v>438</v>
      </c>
      <c r="E8" s="57" t="s">
        <v>493</v>
      </c>
      <c r="F8" s="33" t="s">
        <v>494</v>
      </c>
      <c r="G8" s="36">
        <v>1</v>
      </c>
      <c r="H8" s="38">
        <v>25</v>
      </c>
      <c r="I8" s="7">
        <v>2000</v>
      </c>
      <c r="J8" s="5">
        <v>3942</v>
      </c>
      <c r="K8" s="15">
        <f>L8</f>
        <v>3942</v>
      </c>
      <c r="L8" s="15">
        <f>1485+2457</f>
        <v>3942</v>
      </c>
      <c r="M8" s="16">
        <f t="shared" si="0"/>
        <v>3942</v>
      </c>
      <c r="N8" s="16">
        <v>0</v>
      </c>
      <c r="O8" s="62">
        <f t="shared" si="1"/>
        <v>0</v>
      </c>
      <c r="P8" s="42">
        <f t="shared" si="2"/>
        <v>21</v>
      </c>
      <c r="Q8" s="43">
        <f t="shared" si="3"/>
        <v>3</v>
      </c>
      <c r="R8" s="7"/>
      <c r="S8" s="6"/>
      <c r="T8" s="17">
        <v>3</v>
      </c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9">
        <f t="shared" si="7"/>
        <v>0.26315388929866618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495</v>
      </c>
      <c r="D9" s="55" t="s">
        <v>496</v>
      </c>
      <c r="E9" s="57" t="s">
        <v>497</v>
      </c>
      <c r="F9" s="12" t="s">
        <v>443</v>
      </c>
      <c r="G9" s="12">
        <v>1</v>
      </c>
      <c r="H9" s="13">
        <v>25</v>
      </c>
      <c r="I9" s="7">
        <v>2000</v>
      </c>
      <c r="J9" s="5">
        <v>3856</v>
      </c>
      <c r="K9" s="15">
        <f>L9</f>
        <v>3856</v>
      </c>
      <c r="L9" s="15">
        <f>2176+1680</f>
        <v>3856</v>
      </c>
      <c r="M9" s="16">
        <f t="shared" si="0"/>
        <v>3856</v>
      </c>
      <c r="N9" s="16">
        <v>0</v>
      </c>
      <c r="O9" s="62">
        <f t="shared" si="1"/>
        <v>0</v>
      </c>
      <c r="P9" s="42">
        <f t="shared" si="2"/>
        <v>20</v>
      </c>
      <c r="Q9" s="43">
        <f t="shared" si="3"/>
        <v>4</v>
      </c>
      <c r="R9" s="7"/>
      <c r="S9" s="6"/>
      <c r="T9" s="17">
        <v>4</v>
      </c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0.83333333333333337</v>
      </c>
      <c r="AD9" s="10">
        <f t="shared" si="6"/>
        <v>0.83333333333333337</v>
      </c>
      <c r="AE9" s="39">
        <f t="shared" si="7"/>
        <v>0.26315388929866618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334</v>
      </c>
      <c r="D10" s="55" t="s">
        <v>377</v>
      </c>
      <c r="E10" s="57" t="s">
        <v>498</v>
      </c>
      <c r="F10" s="12" t="s">
        <v>379</v>
      </c>
      <c r="G10" s="12">
        <v>16</v>
      </c>
      <c r="H10" s="13">
        <v>25</v>
      </c>
      <c r="I10" s="7">
        <v>200000</v>
      </c>
      <c r="J10" s="14">
        <v>12128</v>
      </c>
      <c r="K10" s="15">
        <f>L10</f>
        <v>12128</v>
      </c>
      <c r="L10" s="15">
        <f>758*16</f>
        <v>12128</v>
      </c>
      <c r="M10" s="16">
        <f t="shared" si="0"/>
        <v>12128</v>
      </c>
      <c r="N10" s="16">
        <v>0</v>
      </c>
      <c r="O10" s="62">
        <f t="shared" si="1"/>
        <v>0</v>
      </c>
      <c r="P10" s="42">
        <f t="shared" si="2"/>
        <v>5</v>
      </c>
      <c r="Q10" s="43">
        <f t="shared" si="3"/>
        <v>19</v>
      </c>
      <c r="R10" s="7"/>
      <c r="S10" s="6">
        <v>19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0.20833333333333334</v>
      </c>
      <c r="AD10" s="10">
        <f t="shared" si="6"/>
        <v>0.20833333333333334</v>
      </c>
      <c r="AE10" s="39">
        <f t="shared" si="7"/>
        <v>0.26315388929866618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380</v>
      </c>
      <c r="D11" s="55" t="s">
        <v>381</v>
      </c>
      <c r="E11" s="57" t="s">
        <v>382</v>
      </c>
      <c r="F11" s="12" t="s">
        <v>383</v>
      </c>
      <c r="G11" s="12">
        <v>1</v>
      </c>
      <c r="H11" s="13">
        <v>25</v>
      </c>
      <c r="I11" s="34">
        <v>4000</v>
      </c>
      <c r="J11" s="5">
        <v>1852</v>
      </c>
      <c r="K11" s="15">
        <f>L11+3461+4240</f>
        <v>9553</v>
      </c>
      <c r="L11" s="15">
        <f>1404+448</f>
        <v>1852</v>
      </c>
      <c r="M11" s="16">
        <f t="shared" si="0"/>
        <v>1852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>
        <v>14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9">
        <f t="shared" si="7"/>
        <v>0.26315388929866618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495</v>
      </c>
      <c r="D12" s="55" t="s">
        <v>499</v>
      </c>
      <c r="E12" s="57" t="s">
        <v>500</v>
      </c>
      <c r="F12" s="12" t="s">
        <v>447</v>
      </c>
      <c r="G12" s="12">
        <v>1</v>
      </c>
      <c r="H12" s="13">
        <v>25</v>
      </c>
      <c r="I12" s="7">
        <v>30000</v>
      </c>
      <c r="J12" s="14">
        <v>1360</v>
      </c>
      <c r="K12" s="15">
        <f>L12</f>
        <v>1359</v>
      </c>
      <c r="L12" s="15">
        <f>925+434</f>
        <v>1359</v>
      </c>
      <c r="M12" s="16">
        <f t="shared" si="0"/>
        <v>1359</v>
      </c>
      <c r="N12" s="16">
        <v>0</v>
      </c>
      <c r="O12" s="62">
        <f t="shared" si="1"/>
        <v>0</v>
      </c>
      <c r="P12" s="42">
        <f t="shared" si="2"/>
        <v>6</v>
      </c>
      <c r="Q12" s="43">
        <f t="shared" si="3"/>
        <v>18</v>
      </c>
      <c r="R12" s="7"/>
      <c r="S12" s="6">
        <v>18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0.99926470588235294</v>
      </c>
      <c r="AC12" s="9">
        <f t="shared" si="5"/>
        <v>0.25</v>
      </c>
      <c r="AD12" s="10">
        <f t="shared" si="6"/>
        <v>0.24981617647058824</v>
      </c>
      <c r="AE12" s="39">
        <f t="shared" si="7"/>
        <v>0.26315388929866618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123</v>
      </c>
      <c r="E13" s="57" t="s">
        <v>145</v>
      </c>
      <c r="F13" s="12" t="s">
        <v>132</v>
      </c>
      <c r="G13" s="12">
        <v>1</v>
      </c>
      <c r="H13" s="13">
        <v>25</v>
      </c>
      <c r="I13" s="7">
        <v>40000</v>
      </c>
      <c r="J13" s="14">
        <v>5421</v>
      </c>
      <c r="K13" s="15">
        <f>L13+689+4617+3636+3996+2571+4490+5655+3294+5421</f>
        <v>34369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0.26315388929866618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501</v>
      </c>
      <c r="F14" s="33" t="s">
        <v>502</v>
      </c>
      <c r="G14" s="36">
        <v>1</v>
      </c>
      <c r="H14" s="38">
        <v>25</v>
      </c>
      <c r="I14" s="7">
        <v>400</v>
      </c>
      <c r="J14" s="5">
        <v>434</v>
      </c>
      <c r="K14" s="15">
        <f>L14</f>
        <v>434</v>
      </c>
      <c r="L14" s="15">
        <f>434</f>
        <v>434</v>
      </c>
      <c r="M14" s="16">
        <f t="shared" si="0"/>
        <v>434</v>
      </c>
      <c r="N14" s="16">
        <v>0</v>
      </c>
      <c r="O14" s="62">
        <f t="shared" si="1"/>
        <v>0</v>
      </c>
      <c r="P14" s="42">
        <f t="shared" si="2"/>
        <v>8</v>
      </c>
      <c r="Q14" s="43">
        <f t="shared" si="3"/>
        <v>16</v>
      </c>
      <c r="R14" s="7"/>
      <c r="S14" s="6"/>
      <c r="T14" s="17"/>
      <c r="U14" s="17"/>
      <c r="V14" s="18"/>
      <c r="W14" s="19">
        <v>16</v>
      </c>
      <c r="X14" s="17"/>
      <c r="Y14" s="20"/>
      <c r="Z14" s="20"/>
      <c r="AA14" s="21"/>
      <c r="AB14" s="8">
        <f t="shared" si="4"/>
        <v>1</v>
      </c>
      <c r="AC14" s="9">
        <f t="shared" si="5"/>
        <v>0.33333333333333331</v>
      </c>
      <c r="AD14" s="10">
        <f t="shared" si="6"/>
        <v>0.33333333333333331</v>
      </c>
      <c r="AE14" s="39">
        <f t="shared" si="7"/>
        <v>0.26315388929866618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288</v>
      </c>
      <c r="D15" s="55" t="s">
        <v>289</v>
      </c>
      <c r="E15" s="57" t="s">
        <v>290</v>
      </c>
      <c r="F15" s="12" t="s">
        <v>291</v>
      </c>
      <c r="G15" s="12">
        <v>8</v>
      </c>
      <c r="H15" s="13">
        <v>24</v>
      </c>
      <c r="I15" s="34">
        <v>20000</v>
      </c>
      <c r="J15" s="14">
        <v>32361</v>
      </c>
      <c r="K15" s="15">
        <f>L15+23296+32361</f>
        <v>55657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0.26315388929866618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138</v>
      </c>
      <c r="E16" s="57" t="s">
        <v>139</v>
      </c>
      <c r="F16" s="33" t="s">
        <v>134</v>
      </c>
      <c r="G16" s="36">
        <v>1</v>
      </c>
      <c r="H16" s="38">
        <v>25</v>
      </c>
      <c r="I16" s="7">
        <v>12000</v>
      </c>
      <c r="J16" s="5">
        <v>4150</v>
      </c>
      <c r="K16" s="15">
        <f>L16+4095+4538+4147</f>
        <v>12780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0.26315388929866618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450</v>
      </c>
      <c r="D17" s="55" t="s">
        <v>451</v>
      </c>
      <c r="E17" s="57" t="s">
        <v>503</v>
      </c>
      <c r="F17" s="12">
        <v>8301</v>
      </c>
      <c r="G17" s="12">
        <v>1</v>
      </c>
      <c r="H17" s="13">
        <v>24</v>
      </c>
      <c r="I17" s="34">
        <v>300</v>
      </c>
      <c r="J17" s="14">
        <v>319</v>
      </c>
      <c r="K17" s="15">
        <f>L17</f>
        <v>378</v>
      </c>
      <c r="L17" s="15">
        <v>378</v>
      </c>
      <c r="M17" s="16">
        <f t="shared" si="0"/>
        <v>378</v>
      </c>
      <c r="N17" s="16">
        <v>0</v>
      </c>
      <c r="O17" s="62">
        <f t="shared" si="1"/>
        <v>0</v>
      </c>
      <c r="P17" s="42">
        <f t="shared" si="2"/>
        <v>4</v>
      </c>
      <c r="Q17" s="43">
        <f t="shared" si="3"/>
        <v>20</v>
      </c>
      <c r="R17" s="7"/>
      <c r="S17" s="6"/>
      <c r="T17" s="17"/>
      <c r="U17" s="17"/>
      <c r="V17" s="18"/>
      <c r="W17" s="19">
        <v>20</v>
      </c>
      <c r="X17" s="17"/>
      <c r="Y17" s="20"/>
      <c r="Z17" s="20"/>
      <c r="AA17" s="21"/>
      <c r="AB17" s="8">
        <f t="shared" si="4"/>
        <v>1.1849529780564263</v>
      </c>
      <c r="AC17" s="9">
        <f t="shared" si="5"/>
        <v>0.16666666666666666</v>
      </c>
      <c r="AD17" s="10">
        <f t="shared" si="6"/>
        <v>0.19749216300940436</v>
      </c>
      <c r="AE17" s="39">
        <f t="shared" si="7"/>
        <v>0.26315388929866618</v>
      </c>
      <c r="AF17" s="93">
        <f t="shared" si="8"/>
        <v>12</v>
      </c>
    </row>
    <row r="18" spans="1:32" ht="27" customHeight="1">
      <c r="A18" s="108">
        <v>12</v>
      </c>
      <c r="B18" s="11" t="s">
        <v>57</v>
      </c>
      <c r="C18" s="11" t="s">
        <v>504</v>
      </c>
      <c r="D18" s="55" t="s">
        <v>505</v>
      </c>
      <c r="E18" s="57" t="s">
        <v>506</v>
      </c>
      <c r="F18" s="12" t="s">
        <v>507</v>
      </c>
      <c r="G18" s="12">
        <v>1</v>
      </c>
      <c r="H18" s="13">
        <v>24</v>
      </c>
      <c r="I18" s="34">
        <v>1500</v>
      </c>
      <c r="J18" s="14">
        <v>1652</v>
      </c>
      <c r="K18" s="15">
        <f>L18</f>
        <v>1652</v>
      </c>
      <c r="L18" s="15">
        <v>1652</v>
      </c>
      <c r="M18" s="16">
        <f t="shared" ref="M18" si="9">L18-N18</f>
        <v>1652</v>
      </c>
      <c r="N18" s="16">
        <v>0</v>
      </c>
      <c r="O18" s="62">
        <f t="shared" ref="O18" si="10">IF(L18=0,"0",N18/L18)</f>
        <v>0</v>
      </c>
      <c r="P18" s="42">
        <f t="shared" ref="P18" si="11">IF(L18=0,"0",(24-Q18))</f>
        <v>10</v>
      </c>
      <c r="Q18" s="43">
        <f t="shared" ref="Q18" si="12">SUM(R18:AA18)</f>
        <v>14</v>
      </c>
      <c r="R18" s="7"/>
      <c r="S18" s="6"/>
      <c r="T18" s="17">
        <v>6</v>
      </c>
      <c r="U18" s="17"/>
      <c r="V18" s="18"/>
      <c r="W18" s="19">
        <v>8</v>
      </c>
      <c r="X18" s="17"/>
      <c r="Y18" s="20"/>
      <c r="Z18" s="20"/>
      <c r="AA18" s="21"/>
      <c r="AB18" s="8">
        <f t="shared" ref="AB18" si="13">IF(J18=0,"0",(L18/J18))</f>
        <v>1</v>
      </c>
      <c r="AC18" s="9">
        <f t="shared" ref="AC18" si="14">IF(P18=0,"0",(P18/24))</f>
        <v>0.41666666666666669</v>
      </c>
      <c r="AD18" s="10">
        <f t="shared" ref="AD18" si="15">AC18*AB18*(1-O18)</f>
        <v>0.41666666666666669</v>
      </c>
      <c r="AE18" s="39">
        <f t="shared" si="7"/>
        <v>0.26315388929866618</v>
      </c>
      <c r="AF18" s="93">
        <f t="shared" ref="AF18" si="16">A18</f>
        <v>12</v>
      </c>
    </row>
    <row r="19" spans="1:32" ht="27" customHeight="1">
      <c r="A19" s="109">
        <v>13</v>
      </c>
      <c r="B19" s="11" t="s">
        <v>57</v>
      </c>
      <c r="C19" s="37" t="s">
        <v>508</v>
      </c>
      <c r="D19" s="55" t="s">
        <v>509</v>
      </c>
      <c r="E19" s="57" t="s">
        <v>510</v>
      </c>
      <c r="F19" s="12" t="s">
        <v>511</v>
      </c>
      <c r="G19" s="36">
        <v>1</v>
      </c>
      <c r="H19" s="38">
        <v>30</v>
      </c>
      <c r="I19" s="7">
        <v>1000</v>
      </c>
      <c r="J19" s="5">
        <v>1103</v>
      </c>
      <c r="K19" s="15">
        <f>L19</f>
        <v>1103</v>
      </c>
      <c r="L19" s="15">
        <v>1103</v>
      </c>
      <c r="M19" s="16">
        <f t="shared" si="0"/>
        <v>1103</v>
      </c>
      <c r="N19" s="16">
        <v>0</v>
      </c>
      <c r="O19" s="62">
        <f t="shared" si="1"/>
        <v>0</v>
      </c>
      <c r="P19" s="42">
        <f t="shared" si="2"/>
        <v>10</v>
      </c>
      <c r="Q19" s="43">
        <f t="shared" si="3"/>
        <v>14</v>
      </c>
      <c r="R19" s="7"/>
      <c r="S19" s="6"/>
      <c r="T19" s="17"/>
      <c r="U19" s="17"/>
      <c r="V19" s="18"/>
      <c r="W19" s="19">
        <v>14</v>
      </c>
      <c r="X19" s="17"/>
      <c r="Y19" s="20"/>
      <c r="Z19" s="20"/>
      <c r="AA19" s="21"/>
      <c r="AB19" s="8">
        <f t="shared" si="4"/>
        <v>1</v>
      </c>
      <c r="AC19" s="9">
        <f t="shared" si="5"/>
        <v>0.41666666666666669</v>
      </c>
      <c r="AD19" s="10">
        <f t="shared" si="6"/>
        <v>0.41666666666666669</v>
      </c>
      <c r="AE19" s="39">
        <f t="shared" si="7"/>
        <v>0.26315388929866618</v>
      </c>
      <c r="AF19" s="93">
        <f t="shared" si="8"/>
        <v>13</v>
      </c>
    </row>
    <row r="20" spans="1:32" ht="27" customHeight="1">
      <c r="A20" s="109">
        <v>14</v>
      </c>
      <c r="B20" s="11" t="s">
        <v>341</v>
      </c>
      <c r="C20" s="37" t="s">
        <v>342</v>
      </c>
      <c r="D20" s="55" t="s">
        <v>343</v>
      </c>
      <c r="E20" s="57" t="s">
        <v>344</v>
      </c>
      <c r="F20" s="33" t="s">
        <v>345</v>
      </c>
      <c r="G20" s="12">
        <v>1</v>
      </c>
      <c r="H20" s="13">
        <v>25</v>
      </c>
      <c r="I20" s="34">
        <v>12000</v>
      </c>
      <c r="J20" s="5">
        <v>371</v>
      </c>
      <c r="K20" s="15">
        <f>L20+1028+366+371</f>
        <v>1765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0.26315388929866618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121</v>
      </c>
      <c r="D21" s="55"/>
      <c r="E21" s="56" t="s">
        <v>140</v>
      </c>
      <c r="F21" s="12" t="s">
        <v>122</v>
      </c>
      <c r="G21" s="12">
        <v>4</v>
      </c>
      <c r="H21" s="38">
        <v>20</v>
      </c>
      <c r="I21" s="7">
        <v>500000</v>
      </c>
      <c r="J21" s="14">
        <v>33190</v>
      </c>
      <c r="K21" s="15">
        <f>L21+45528+23236+46280+51612+51820+33188</f>
        <v>251664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>
        <v>24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0.26315388929866618</v>
      </c>
      <c r="AF21" s="93">
        <f t="shared" si="8"/>
        <v>15</v>
      </c>
    </row>
    <row r="22" spans="1:32" ht="31.5" customHeight="1" thickBot="1">
      <c r="A22" s="450" t="s">
        <v>34</v>
      </c>
      <c r="B22" s="451"/>
      <c r="C22" s="451"/>
      <c r="D22" s="451"/>
      <c r="E22" s="451"/>
      <c r="F22" s="451"/>
      <c r="G22" s="451"/>
      <c r="H22" s="452"/>
      <c r="I22" s="25">
        <f t="shared" ref="I22:N22" si="17">SUM(I6:I21)</f>
        <v>1026200</v>
      </c>
      <c r="J22" s="22">
        <f t="shared" si="17"/>
        <v>139779</v>
      </c>
      <c r="K22" s="23">
        <f t="shared" si="17"/>
        <v>577918</v>
      </c>
      <c r="L22" s="24">
        <f t="shared" si="17"/>
        <v>26704</v>
      </c>
      <c r="M22" s="23">
        <f t="shared" si="17"/>
        <v>26704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94</v>
      </c>
      <c r="Q22" s="46">
        <f t="shared" si="18"/>
        <v>290</v>
      </c>
      <c r="R22" s="26">
        <f t="shared" si="18"/>
        <v>24</v>
      </c>
      <c r="S22" s="27">
        <f t="shared" si="18"/>
        <v>123</v>
      </c>
      <c r="T22" s="27">
        <f t="shared" si="18"/>
        <v>13</v>
      </c>
      <c r="U22" s="27">
        <f t="shared" si="18"/>
        <v>0</v>
      </c>
      <c r="V22" s="28">
        <f t="shared" si="18"/>
        <v>0</v>
      </c>
      <c r="W22" s="29">
        <f t="shared" si="18"/>
        <v>130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0.61228117892925193</v>
      </c>
      <c r="AC22" s="4">
        <f>SUM(AC6:AC21)/15</f>
        <v>0.26111111111111113</v>
      </c>
      <c r="AD22" s="4">
        <f>SUM(AD6:AD21)/15</f>
        <v>0.26315388929866618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53" t="s">
        <v>45</v>
      </c>
      <c r="B49" s="453"/>
      <c r="C49" s="453"/>
      <c r="D49" s="453"/>
      <c r="E49" s="45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54" t="s">
        <v>512</v>
      </c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6"/>
      <c r="N50" s="457" t="s">
        <v>521</v>
      </c>
      <c r="O50" s="458"/>
      <c r="P50" s="458"/>
      <c r="Q50" s="458"/>
      <c r="R50" s="458"/>
      <c r="S50" s="458"/>
      <c r="T50" s="458"/>
      <c r="U50" s="458"/>
      <c r="V50" s="458"/>
      <c r="W50" s="458"/>
      <c r="X50" s="458"/>
      <c r="Y50" s="458"/>
      <c r="Z50" s="458"/>
      <c r="AA50" s="458"/>
      <c r="AB50" s="458"/>
      <c r="AC50" s="458"/>
      <c r="AD50" s="459"/>
    </row>
    <row r="51" spans="1:32" ht="27" customHeight="1">
      <c r="A51" s="460" t="s">
        <v>2</v>
      </c>
      <c r="B51" s="461"/>
      <c r="C51" s="193" t="s">
        <v>46</v>
      </c>
      <c r="D51" s="193" t="s">
        <v>47</v>
      </c>
      <c r="E51" s="193" t="s">
        <v>108</v>
      </c>
      <c r="F51" s="461" t="s">
        <v>107</v>
      </c>
      <c r="G51" s="461"/>
      <c r="H51" s="461"/>
      <c r="I51" s="461"/>
      <c r="J51" s="461"/>
      <c r="K51" s="461"/>
      <c r="L51" s="461"/>
      <c r="M51" s="462"/>
      <c r="N51" s="73" t="s">
        <v>112</v>
      </c>
      <c r="O51" s="193" t="s">
        <v>46</v>
      </c>
      <c r="P51" s="463" t="s">
        <v>47</v>
      </c>
      <c r="Q51" s="464"/>
      <c r="R51" s="463" t="s">
        <v>38</v>
      </c>
      <c r="S51" s="465"/>
      <c r="T51" s="465"/>
      <c r="U51" s="464"/>
      <c r="V51" s="463" t="s">
        <v>48</v>
      </c>
      <c r="W51" s="465"/>
      <c r="X51" s="465"/>
      <c r="Y51" s="465"/>
      <c r="Z51" s="465"/>
      <c r="AA51" s="465"/>
      <c r="AB51" s="465"/>
      <c r="AC51" s="465"/>
      <c r="AD51" s="466"/>
    </row>
    <row r="52" spans="1:32" ht="27" customHeight="1">
      <c r="A52" s="439" t="s">
        <v>370</v>
      </c>
      <c r="B52" s="440"/>
      <c r="C52" s="195" t="s">
        <v>385</v>
      </c>
      <c r="D52" s="195" t="s">
        <v>438</v>
      </c>
      <c r="E52" s="195" t="s">
        <v>493</v>
      </c>
      <c r="F52" s="431" t="s">
        <v>386</v>
      </c>
      <c r="G52" s="431"/>
      <c r="H52" s="431"/>
      <c r="I52" s="431"/>
      <c r="J52" s="431"/>
      <c r="K52" s="431"/>
      <c r="L52" s="431"/>
      <c r="M52" s="441"/>
      <c r="N52" s="194" t="s">
        <v>508</v>
      </c>
      <c r="O52" s="124" t="s">
        <v>473</v>
      </c>
      <c r="P52" s="440" t="s">
        <v>522</v>
      </c>
      <c r="Q52" s="440"/>
      <c r="R52" s="440" t="s">
        <v>523</v>
      </c>
      <c r="S52" s="440"/>
      <c r="T52" s="440"/>
      <c r="U52" s="440"/>
      <c r="V52" s="431" t="s">
        <v>130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495</v>
      </c>
      <c r="B53" s="440"/>
      <c r="C53" s="195" t="s">
        <v>387</v>
      </c>
      <c r="D53" s="195" t="s">
        <v>496</v>
      </c>
      <c r="E53" s="195" t="s">
        <v>497</v>
      </c>
      <c r="F53" s="431" t="s">
        <v>513</v>
      </c>
      <c r="G53" s="431"/>
      <c r="H53" s="431"/>
      <c r="I53" s="431"/>
      <c r="J53" s="431"/>
      <c r="K53" s="431"/>
      <c r="L53" s="431"/>
      <c r="M53" s="441"/>
      <c r="N53" s="194" t="s">
        <v>370</v>
      </c>
      <c r="O53" s="124" t="s">
        <v>476</v>
      </c>
      <c r="P53" s="440" t="s">
        <v>499</v>
      </c>
      <c r="Q53" s="440"/>
      <c r="R53" s="440" t="s">
        <v>524</v>
      </c>
      <c r="S53" s="440"/>
      <c r="T53" s="440"/>
      <c r="U53" s="440"/>
      <c r="V53" s="431" t="s">
        <v>386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450</v>
      </c>
      <c r="B54" s="440"/>
      <c r="C54" s="195" t="s">
        <v>514</v>
      </c>
      <c r="D54" s="195" t="s">
        <v>515</v>
      </c>
      <c r="E54" s="195" t="s">
        <v>516</v>
      </c>
      <c r="F54" s="431" t="s">
        <v>517</v>
      </c>
      <c r="G54" s="431"/>
      <c r="H54" s="431"/>
      <c r="I54" s="431"/>
      <c r="J54" s="431"/>
      <c r="K54" s="431"/>
      <c r="L54" s="431"/>
      <c r="M54" s="441"/>
      <c r="N54" s="194" t="s">
        <v>380</v>
      </c>
      <c r="O54" s="124" t="s">
        <v>408</v>
      </c>
      <c r="P54" s="440" t="s">
        <v>393</v>
      </c>
      <c r="Q54" s="440"/>
      <c r="R54" s="440" t="s">
        <v>525</v>
      </c>
      <c r="S54" s="440"/>
      <c r="T54" s="440"/>
      <c r="U54" s="440"/>
      <c r="V54" s="431" t="s">
        <v>526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342</v>
      </c>
      <c r="B55" s="440"/>
      <c r="C55" s="195" t="s">
        <v>391</v>
      </c>
      <c r="D55" s="195" t="s">
        <v>381</v>
      </c>
      <c r="E55" s="195" t="s">
        <v>382</v>
      </c>
      <c r="F55" s="431" t="s">
        <v>518</v>
      </c>
      <c r="G55" s="431"/>
      <c r="H55" s="431"/>
      <c r="I55" s="431"/>
      <c r="J55" s="431"/>
      <c r="K55" s="431"/>
      <c r="L55" s="431"/>
      <c r="M55" s="441"/>
      <c r="N55" s="194" t="s">
        <v>370</v>
      </c>
      <c r="O55" s="124" t="s">
        <v>479</v>
      </c>
      <c r="P55" s="440" t="s">
        <v>445</v>
      </c>
      <c r="Q55" s="440"/>
      <c r="R55" s="440" t="s">
        <v>480</v>
      </c>
      <c r="S55" s="440"/>
      <c r="T55" s="440"/>
      <c r="U55" s="440"/>
      <c r="V55" s="431" t="s">
        <v>481</v>
      </c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495</v>
      </c>
      <c r="B56" s="440"/>
      <c r="C56" s="195" t="s">
        <v>519</v>
      </c>
      <c r="D56" s="195" t="s">
        <v>499</v>
      </c>
      <c r="E56" s="195" t="s">
        <v>500</v>
      </c>
      <c r="F56" s="431" t="s">
        <v>518</v>
      </c>
      <c r="G56" s="431"/>
      <c r="H56" s="431"/>
      <c r="I56" s="431"/>
      <c r="J56" s="431"/>
      <c r="K56" s="431"/>
      <c r="L56" s="431"/>
      <c r="M56" s="441"/>
      <c r="N56" s="194" t="s">
        <v>370</v>
      </c>
      <c r="O56" s="124" t="s">
        <v>468</v>
      </c>
      <c r="P56" s="440" t="s">
        <v>466</v>
      </c>
      <c r="Q56" s="440"/>
      <c r="R56" s="440" t="s">
        <v>464</v>
      </c>
      <c r="S56" s="440"/>
      <c r="T56" s="440"/>
      <c r="U56" s="440"/>
      <c r="V56" s="431" t="s">
        <v>481</v>
      </c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 t="s">
        <v>440</v>
      </c>
      <c r="B57" s="440"/>
      <c r="C57" s="195" t="s">
        <v>469</v>
      </c>
      <c r="D57" s="195" t="s">
        <v>445</v>
      </c>
      <c r="E57" s="195" t="s">
        <v>501</v>
      </c>
      <c r="F57" s="431" t="s">
        <v>386</v>
      </c>
      <c r="G57" s="431"/>
      <c r="H57" s="431"/>
      <c r="I57" s="431"/>
      <c r="J57" s="431"/>
      <c r="K57" s="431"/>
      <c r="L57" s="431"/>
      <c r="M57" s="441"/>
      <c r="N57" s="194" t="s">
        <v>450</v>
      </c>
      <c r="O57" s="124" t="s">
        <v>485</v>
      </c>
      <c r="P57" s="446" t="s">
        <v>486</v>
      </c>
      <c r="Q57" s="447"/>
      <c r="R57" s="440" t="s">
        <v>484</v>
      </c>
      <c r="S57" s="440"/>
      <c r="T57" s="440"/>
      <c r="U57" s="440"/>
      <c r="V57" s="431" t="s">
        <v>527</v>
      </c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 t="s">
        <v>450</v>
      </c>
      <c r="B58" s="440"/>
      <c r="C58" s="195" t="s">
        <v>470</v>
      </c>
      <c r="D58" s="195" t="s">
        <v>451</v>
      </c>
      <c r="E58" s="195" t="s">
        <v>503</v>
      </c>
      <c r="F58" s="431" t="s">
        <v>386</v>
      </c>
      <c r="G58" s="431"/>
      <c r="H58" s="431"/>
      <c r="I58" s="431"/>
      <c r="J58" s="431"/>
      <c r="K58" s="431"/>
      <c r="L58" s="431"/>
      <c r="M58" s="441"/>
      <c r="N58" s="194" t="s">
        <v>520</v>
      </c>
      <c r="O58" s="124" t="s">
        <v>528</v>
      </c>
      <c r="P58" s="446" t="s">
        <v>505</v>
      </c>
      <c r="Q58" s="447"/>
      <c r="R58" s="440" t="s">
        <v>529</v>
      </c>
      <c r="S58" s="440"/>
      <c r="T58" s="440"/>
      <c r="U58" s="440"/>
      <c r="V58" s="431" t="s">
        <v>386</v>
      </c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 t="s">
        <v>520</v>
      </c>
      <c r="B59" s="440"/>
      <c r="C59" s="195" t="s">
        <v>470</v>
      </c>
      <c r="D59" s="195" t="s">
        <v>505</v>
      </c>
      <c r="E59" s="195" t="s">
        <v>506</v>
      </c>
      <c r="F59" s="431" t="s">
        <v>386</v>
      </c>
      <c r="G59" s="431"/>
      <c r="H59" s="431"/>
      <c r="I59" s="431"/>
      <c r="J59" s="431"/>
      <c r="K59" s="431"/>
      <c r="L59" s="431"/>
      <c r="M59" s="441"/>
      <c r="N59" s="194" t="s">
        <v>495</v>
      </c>
      <c r="O59" s="124" t="s">
        <v>530</v>
      </c>
      <c r="P59" s="446" t="s">
        <v>531</v>
      </c>
      <c r="Q59" s="447"/>
      <c r="R59" s="440" t="s">
        <v>532</v>
      </c>
      <c r="S59" s="440"/>
      <c r="T59" s="440"/>
      <c r="U59" s="440"/>
      <c r="V59" s="431" t="s">
        <v>386</v>
      </c>
      <c r="W59" s="431"/>
      <c r="X59" s="431"/>
      <c r="Y59" s="431"/>
      <c r="Z59" s="431"/>
      <c r="AA59" s="431"/>
      <c r="AB59" s="431"/>
      <c r="AC59" s="431"/>
      <c r="AD59" s="441"/>
    </row>
    <row r="60" spans="1:32" ht="27" customHeight="1">
      <c r="A60" s="439" t="s">
        <v>508</v>
      </c>
      <c r="B60" s="440"/>
      <c r="C60" s="195" t="s">
        <v>471</v>
      </c>
      <c r="D60" s="195" t="s">
        <v>509</v>
      </c>
      <c r="E60" s="195" t="s">
        <v>510</v>
      </c>
      <c r="F60" s="431" t="s">
        <v>386</v>
      </c>
      <c r="G60" s="431"/>
      <c r="H60" s="431"/>
      <c r="I60" s="431"/>
      <c r="J60" s="431"/>
      <c r="K60" s="431"/>
      <c r="L60" s="431"/>
      <c r="M60" s="441"/>
      <c r="N60" s="194" t="s">
        <v>534</v>
      </c>
      <c r="O60" s="124" t="s">
        <v>535</v>
      </c>
      <c r="P60" s="440"/>
      <c r="Q60" s="440"/>
      <c r="R60" s="440" t="s">
        <v>533</v>
      </c>
      <c r="S60" s="440"/>
      <c r="T60" s="440"/>
      <c r="U60" s="440"/>
      <c r="V60" s="431" t="s">
        <v>386</v>
      </c>
      <c r="W60" s="431"/>
      <c r="X60" s="431"/>
      <c r="Y60" s="431"/>
      <c r="Z60" s="431"/>
      <c r="AA60" s="431"/>
      <c r="AB60" s="431"/>
      <c r="AC60" s="431"/>
      <c r="AD60" s="441"/>
      <c r="AF60" s="93">
        <f>8*3000</f>
        <v>24000</v>
      </c>
    </row>
    <row r="61" spans="1:32" ht="27" customHeight="1" thickBot="1">
      <c r="A61" s="442"/>
      <c r="B61" s="443"/>
      <c r="C61" s="197"/>
      <c r="D61" s="197"/>
      <c r="E61" s="197"/>
      <c r="F61" s="489"/>
      <c r="G61" s="489"/>
      <c r="H61" s="489"/>
      <c r="I61" s="489"/>
      <c r="J61" s="489"/>
      <c r="K61" s="489"/>
      <c r="L61" s="489"/>
      <c r="M61" s="490"/>
      <c r="N61" s="196"/>
      <c r="O61" s="120"/>
      <c r="P61" s="443"/>
      <c r="Q61" s="443"/>
      <c r="R61" s="443"/>
      <c r="S61" s="443"/>
      <c r="T61" s="443"/>
      <c r="U61" s="443"/>
      <c r="V61" s="444"/>
      <c r="W61" s="444"/>
      <c r="X61" s="444"/>
      <c r="Y61" s="444"/>
      <c r="Z61" s="444"/>
      <c r="AA61" s="444"/>
      <c r="AB61" s="444"/>
      <c r="AC61" s="444"/>
      <c r="AD61" s="445"/>
      <c r="AF61" s="93">
        <f>16*3000</f>
        <v>48000</v>
      </c>
    </row>
    <row r="62" spans="1:32" ht="27.75" thickBot="1">
      <c r="A62" s="437" t="s">
        <v>536</v>
      </c>
      <c r="B62" s="437"/>
      <c r="C62" s="437"/>
      <c r="D62" s="437"/>
      <c r="E62" s="43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38" t="s">
        <v>113</v>
      </c>
      <c r="B63" s="435"/>
      <c r="C63" s="198" t="s">
        <v>2</v>
      </c>
      <c r="D63" s="198" t="s">
        <v>37</v>
      </c>
      <c r="E63" s="198" t="s">
        <v>3</v>
      </c>
      <c r="F63" s="435" t="s">
        <v>110</v>
      </c>
      <c r="G63" s="435"/>
      <c r="H63" s="435"/>
      <c r="I63" s="435"/>
      <c r="J63" s="435"/>
      <c r="K63" s="435" t="s">
        <v>39</v>
      </c>
      <c r="L63" s="435"/>
      <c r="M63" s="198" t="s">
        <v>40</v>
      </c>
      <c r="N63" s="435" t="s">
        <v>41</v>
      </c>
      <c r="O63" s="435"/>
      <c r="P63" s="432" t="s">
        <v>42</v>
      </c>
      <c r="Q63" s="434"/>
      <c r="R63" s="432" t="s">
        <v>43</v>
      </c>
      <c r="S63" s="433"/>
      <c r="T63" s="433"/>
      <c r="U63" s="433"/>
      <c r="V63" s="433"/>
      <c r="W63" s="433"/>
      <c r="X63" s="433"/>
      <c r="Y63" s="433"/>
      <c r="Z63" s="433"/>
      <c r="AA63" s="434"/>
      <c r="AB63" s="435" t="s">
        <v>44</v>
      </c>
      <c r="AC63" s="435"/>
      <c r="AD63" s="436"/>
      <c r="AF63" s="93">
        <f>SUM(AF60:AF62)</f>
        <v>96000</v>
      </c>
    </row>
    <row r="64" spans="1:32" ht="25.5" customHeight="1">
      <c r="A64" s="427">
        <v>1</v>
      </c>
      <c r="B64" s="428"/>
      <c r="C64" s="123"/>
      <c r="D64" s="201"/>
      <c r="E64" s="199"/>
      <c r="F64" s="429"/>
      <c r="G64" s="421"/>
      <c r="H64" s="421"/>
      <c r="I64" s="421"/>
      <c r="J64" s="421"/>
      <c r="K64" s="421"/>
      <c r="L64" s="421"/>
      <c r="M64" s="54"/>
      <c r="N64" s="421"/>
      <c r="O64" s="421"/>
      <c r="P64" s="430"/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2</v>
      </c>
      <c r="B65" s="428"/>
      <c r="C65" s="123"/>
      <c r="D65" s="201"/>
      <c r="E65" s="199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3</v>
      </c>
      <c r="B66" s="428"/>
      <c r="C66" s="123"/>
      <c r="D66" s="201"/>
      <c r="E66" s="199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4</v>
      </c>
      <c r="B67" s="428"/>
      <c r="C67" s="123"/>
      <c r="D67" s="201"/>
      <c r="E67" s="199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5</v>
      </c>
      <c r="B68" s="428"/>
      <c r="C68" s="123"/>
      <c r="D68" s="201"/>
      <c r="E68" s="199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6</v>
      </c>
      <c r="B69" s="428"/>
      <c r="C69" s="123"/>
      <c r="D69" s="201"/>
      <c r="E69" s="199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7</v>
      </c>
      <c r="B70" s="428"/>
      <c r="C70" s="123"/>
      <c r="D70" s="201"/>
      <c r="E70" s="199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5.5" customHeight="1">
      <c r="A71" s="427">
        <v>8</v>
      </c>
      <c r="B71" s="428"/>
      <c r="C71" s="123"/>
      <c r="D71" s="201"/>
      <c r="E71" s="199"/>
      <c r="F71" s="429"/>
      <c r="G71" s="421"/>
      <c r="H71" s="421"/>
      <c r="I71" s="421"/>
      <c r="J71" s="421"/>
      <c r="K71" s="421"/>
      <c r="L71" s="421"/>
      <c r="M71" s="54"/>
      <c r="N71" s="421"/>
      <c r="O71" s="421"/>
      <c r="P71" s="430"/>
      <c r="Q71" s="430"/>
      <c r="R71" s="431"/>
      <c r="S71" s="431"/>
      <c r="T71" s="431"/>
      <c r="U71" s="431"/>
      <c r="V71" s="431"/>
      <c r="W71" s="431"/>
      <c r="X71" s="431"/>
      <c r="Y71" s="431"/>
      <c r="Z71" s="431"/>
      <c r="AA71" s="431"/>
      <c r="AB71" s="421"/>
      <c r="AC71" s="421"/>
      <c r="AD71" s="422"/>
      <c r="AF71" s="53"/>
    </row>
    <row r="72" spans="1:32" ht="26.25" customHeight="1" thickBot="1">
      <c r="A72" s="401" t="s">
        <v>537</v>
      </c>
      <c r="B72" s="401"/>
      <c r="C72" s="401"/>
      <c r="D72" s="401"/>
      <c r="E72" s="401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02" t="s">
        <v>113</v>
      </c>
      <c r="B73" s="403"/>
      <c r="C73" s="200" t="s">
        <v>2</v>
      </c>
      <c r="D73" s="200" t="s">
        <v>37</v>
      </c>
      <c r="E73" s="200" t="s">
        <v>3</v>
      </c>
      <c r="F73" s="403" t="s">
        <v>38</v>
      </c>
      <c r="G73" s="403"/>
      <c r="H73" s="403"/>
      <c r="I73" s="403"/>
      <c r="J73" s="403"/>
      <c r="K73" s="423" t="s">
        <v>58</v>
      </c>
      <c r="L73" s="424"/>
      <c r="M73" s="424"/>
      <c r="N73" s="424"/>
      <c r="O73" s="424"/>
      <c r="P73" s="424"/>
      <c r="Q73" s="424"/>
      <c r="R73" s="424"/>
      <c r="S73" s="425"/>
      <c r="T73" s="403" t="s">
        <v>49</v>
      </c>
      <c r="U73" s="403"/>
      <c r="V73" s="423" t="s">
        <v>50</v>
      </c>
      <c r="W73" s="425"/>
      <c r="X73" s="424" t="s">
        <v>51</v>
      </c>
      <c r="Y73" s="424"/>
      <c r="Z73" s="424"/>
      <c r="AA73" s="424"/>
      <c r="AB73" s="424"/>
      <c r="AC73" s="424"/>
      <c r="AD73" s="426"/>
      <c r="AF73" s="53"/>
    </row>
    <row r="74" spans="1:32" ht="33.75" customHeight="1">
      <c r="A74" s="395">
        <v>1</v>
      </c>
      <c r="B74" s="396"/>
      <c r="C74" s="202" t="s">
        <v>114</v>
      </c>
      <c r="D74" s="202"/>
      <c r="E74" s="71" t="s">
        <v>119</v>
      </c>
      <c r="F74" s="410" t="s">
        <v>120</v>
      </c>
      <c r="G74" s="411"/>
      <c r="H74" s="411"/>
      <c r="I74" s="411"/>
      <c r="J74" s="412"/>
      <c r="K74" s="413" t="s">
        <v>115</v>
      </c>
      <c r="L74" s="414"/>
      <c r="M74" s="414"/>
      <c r="N74" s="414"/>
      <c r="O74" s="414"/>
      <c r="P74" s="414"/>
      <c r="Q74" s="414"/>
      <c r="R74" s="414"/>
      <c r="S74" s="415"/>
      <c r="T74" s="416">
        <v>42901</v>
      </c>
      <c r="U74" s="417"/>
      <c r="V74" s="418"/>
      <c r="W74" s="418"/>
      <c r="X74" s="419"/>
      <c r="Y74" s="419"/>
      <c r="Z74" s="419"/>
      <c r="AA74" s="419"/>
      <c r="AB74" s="419"/>
      <c r="AC74" s="419"/>
      <c r="AD74" s="420"/>
      <c r="AF74" s="53"/>
    </row>
    <row r="75" spans="1:32" ht="30" customHeight="1">
      <c r="A75" s="388">
        <f>A74+1</f>
        <v>2</v>
      </c>
      <c r="B75" s="389"/>
      <c r="C75" s="201" t="s">
        <v>114</v>
      </c>
      <c r="D75" s="201"/>
      <c r="E75" s="35" t="s">
        <v>116</v>
      </c>
      <c r="F75" s="389" t="s">
        <v>117</v>
      </c>
      <c r="G75" s="389"/>
      <c r="H75" s="389"/>
      <c r="I75" s="389"/>
      <c r="J75" s="389"/>
      <c r="K75" s="404" t="s">
        <v>118</v>
      </c>
      <c r="L75" s="405"/>
      <c r="M75" s="405"/>
      <c r="N75" s="405"/>
      <c r="O75" s="405"/>
      <c r="P75" s="405"/>
      <c r="Q75" s="405"/>
      <c r="R75" s="405"/>
      <c r="S75" s="406"/>
      <c r="T75" s="407">
        <v>42867</v>
      </c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ref="A76:A82" si="19">A75+1</f>
        <v>3</v>
      </c>
      <c r="B76" s="389"/>
      <c r="C76" s="201"/>
      <c r="D76" s="201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9"/>
        <v>4</v>
      </c>
      <c r="B77" s="389"/>
      <c r="C77" s="201"/>
      <c r="D77" s="201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9"/>
        <v>5</v>
      </c>
      <c r="B78" s="389"/>
      <c r="C78" s="201"/>
      <c r="D78" s="201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9"/>
        <v>6</v>
      </c>
      <c r="B79" s="389"/>
      <c r="C79" s="201"/>
      <c r="D79" s="201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9"/>
        <v>7</v>
      </c>
      <c r="B80" s="389"/>
      <c r="C80" s="201"/>
      <c r="D80" s="201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9"/>
        <v>8</v>
      </c>
      <c r="B81" s="389"/>
      <c r="C81" s="201"/>
      <c r="D81" s="201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0" customHeight="1">
      <c r="A82" s="388">
        <f t="shared" si="19"/>
        <v>9</v>
      </c>
      <c r="B82" s="389"/>
      <c r="C82" s="201"/>
      <c r="D82" s="201"/>
      <c r="E82" s="35"/>
      <c r="F82" s="389"/>
      <c r="G82" s="389"/>
      <c r="H82" s="389"/>
      <c r="I82" s="389"/>
      <c r="J82" s="389"/>
      <c r="K82" s="404"/>
      <c r="L82" s="405"/>
      <c r="M82" s="405"/>
      <c r="N82" s="405"/>
      <c r="O82" s="405"/>
      <c r="P82" s="405"/>
      <c r="Q82" s="405"/>
      <c r="R82" s="405"/>
      <c r="S82" s="406"/>
      <c r="T82" s="407"/>
      <c r="U82" s="407"/>
      <c r="V82" s="407"/>
      <c r="W82" s="407"/>
      <c r="X82" s="408"/>
      <c r="Y82" s="408"/>
      <c r="Z82" s="408"/>
      <c r="AA82" s="408"/>
      <c r="AB82" s="408"/>
      <c r="AC82" s="408"/>
      <c r="AD82" s="409"/>
      <c r="AF82" s="53"/>
    </row>
    <row r="83" spans="1:32" ht="36" thickBot="1">
      <c r="A83" s="401" t="s">
        <v>538</v>
      </c>
      <c r="B83" s="401"/>
      <c r="C83" s="401"/>
      <c r="D83" s="401"/>
      <c r="E83" s="401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02" t="s">
        <v>113</v>
      </c>
      <c r="B84" s="403"/>
      <c r="C84" s="393" t="s">
        <v>52</v>
      </c>
      <c r="D84" s="393"/>
      <c r="E84" s="393" t="s">
        <v>53</v>
      </c>
      <c r="F84" s="393"/>
      <c r="G84" s="393"/>
      <c r="H84" s="393"/>
      <c r="I84" s="393"/>
      <c r="J84" s="393"/>
      <c r="K84" s="393" t="s">
        <v>54</v>
      </c>
      <c r="L84" s="393"/>
      <c r="M84" s="393"/>
      <c r="N84" s="393"/>
      <c r="O84" s="393"/>
      <c r="P84" s="393"/>
      <c r="Q84" s="393"/>
      <c r="R84" s="393"/>
      <c r="S84" s="393"/>
      <c r="T84" s="393" t="s">
        <v>55</v>
      </c>
      <c r="U84" s="393"/>
      <c r="V84" s="393" t="s">
        <v>56</v>
      </c>
      <c r="W84" s="393"/>
      <c r="X84" s="393"/>
      <c r="Y84" s="393" t="s">
        <v>51</v>
      </c>
      <c r="Z84" s="393"/>
      <c r="AA84" s="393"/>
      <c r="AB84" s="393"/>
      <c r="AC84" s="393"/>
      <c r="AD84" s="394"/>
      <c r="AF84" s="53"/>
    </row>
    <row r="85" spans="1:32" ht="30.75" customHeight="1">
      <c r="A85" s="395">
        <v>1</v>
      </c>
      <c r="B85" s="396"/>
      <c r="C85" s="397"/>
      <c r="D85" s="397"/>
      <c r="E85" s="397"/>
      <c r="F85" s="397"/>
      <c r="G85" s="397"/>
      <c r="H85" s="397"/>
      <c r="I85" s="397"/>
      <c r="J85" s="397"/>
      <c r="K85" s="397"/>
      <c r="L85" s="397"/>
      <c r="M85" s="397"/>
      <c r="N85" s="397"/>
      <c r="O85" s="397"/>
      <c r="P85" s="397"/>
      <c r="Q85" s="397"/>
      <c r="R85" s="397"/>
      <c r="S85" s="397"/>
      <c r="T85" s="397"/>
      <c r="U85" s="397"/>
      <c r="V85" s="398"/>
      <c r="W85" s="398"/>
      <c r="X85" s="398"/>
      <c r="Y85" s="399"/>
      <c r="Z85" s="399"/>
      <c r="AA85" s="399"/>
      <c r="AB85" s="399"/>
      <c r="AC85" s="399"/>
      <c r="AD85" s="400"/>
      <c r="AF85" s="53"/>
    </row>
    <row r="86" spans="1:32" ht="30.75" customHeight="1">
      <c r="A86" s="388">
        <v>2</v>
      </c>
      <c r="B86" s="389"/>
      <c r="C86" s="390"/>
      <c r="D86" s="390"/>
      <c r="E86" s="390"/>
      <c r="F86" s="390"/>
      <c r="G86" s="390"/>
      <c r="H86" s="390"/>
      <c r="I86" s="390"/>
      <c r="J86" s="390"/>
      <c r="K86" s="390"/>
      <c r="L86" s="390"/>
      <c r="M86" s="390"/>
      <c r="N86" s="390"/>
      <c r="O86" s="390"/>
      <c r="P86" s="390"/>
      <c r="Q86" s="390"/>
      <c r="R86" s="390"/>
      <c r="S86" s="390"/>
      <c r="T86" s="391"/>
      <c r="U86" s="391"/>
      <c r="V86" s="392"/>
      <c r="W86" s="392"/>
      <c r="X86" s="392"/>
      <c r="Y86" s="381"/>
      <c r="Z86" s="381"/>
      <c r="AA86" s="381"/>
      <c r="AB86" s="381"/>
      <c r="AC86" s="381"/>
      <c r="AD86" s="382"/>
      <c r="AF86" s="53"/>
    </row>
    <row r="87" spans="1:32" ht="30.75" customHeight="1" thickBot="1">
      <c r="A87" s="383">
        <v>3</v>
      </c>
      <c r="B87" s="384"/>
      <c r="C87" s="385"/>
      <c r="D87" s="385"/>
      <c r="E87" s="385"/>
      <c r="F87" s="385"/>
      <c r="G87" s="385"/>
      <c r="H87" s="385"/>
      <c r="I87" s="385"/>
      <c r="J87" s="385"/>
      <c r="K87" s="385"/>
      <c r="L87" s="385"/>
      <c r="M87" s="385"/>
      <c r="N87" s="385"/>
      <c r="O87" s="385"/>
      <c r="P87" s="385"/>
      <c r="Q87" s="385"/>
      <c r="R87" s="385"/>
      <c r="S87" s="385"/>
      <c r="T87" s="385"/>
      <c r="U87" s="385"/>
      <c r="V87" s="385"/>
      <c r="W87" s="385"/>
      <c r="X87" s="385"/>
      <c r="Y87" s="386"/>
      <c r="Z87" s="386"/>
      <c r="AA87" s="386"/>
      <c r="AB87" s="386"/>
      <c r="AC87" s="386"/>
      <c r="AD87" s="387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F86"/>
  <sheetViews>
    <sheetView zoomScale="72" zoomScaleNormal="72" zoomScaleSheetLayoutView="70" workbookViewId="0">
      <selection activeCell="F78" sqref="F78:J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539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13" t="s">
        <v>17</v>
      </c>
      <c r="L5" s="213" t="s">
        <v>18</v>
      </c>
      <c r="M5" s="213" t="s">
        <v>19</v>
      </c>
      <c r="N5" s="21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0.35255972500177296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0.35255972500177296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540</v>
      </c>
      <c r="D8" s="55" t="s">
        <v>541</v>
      </c>
      <c r="E8" s="57" t="s">
        <v>542</v>
      </c>
      <c r="F8" s="33" t="s">
        <v>543</v>
      </c>
      <c r="G8" s="36">
        <v>1</v>
      </c>
      <c r="H8" s="38">
        <v>25</v>
      </c>
      <c r="I8" s="7">
        <v>2000</v>
      </c>
      <c r="J8" s="5">
        <v>2060</v>
      </c>
      <c r="K8" s="15">
        <f>L8</f>
        <v>2059</v>
      </c>
      <c r="L8" s="15">
        <f>1525+534</f>
        <v>2059</v>
      </c>
      <c r="M8" s="16">
        <f t="shared" si="0"/>
        <v>2059</v>
      </c>
      <c r="N8" s="16">
        <v>0</v>
      </c>
      <c r="O8" s="62">
        <f t="shared" si="1"/>
        <v>0</v>
      </c>
      <c r="P8" s="42">
        <f t="shared" si="2"/>
        <v>16</v>
      </c>
      <c r="Q8" s="43">
        <f t="shared" si="3"/>
        <v>8</v>
      </c>
      <c r="R8" s="7"/>
      <c r="S8" s="6"/>
      <c r="T8" s="17"/>
      <c r="U8" s="17"/>
      <c r="V8" s="18"/>
      <c r="W8" s="19">
        <v>8</v>
      </c>
      <c r="X8" s="17"/>
      <c r="Y8" s="20"/>
      <c r="Z8" s="20"/>
      <c r="AA8" s="21"/>
      <c r="AB8" s="8">
        <f t="shared" si="4"/>
        <v>0.99951456310679609</v>
      </c>
      <c r="AC8" s="9">
        <f t="shared" si="5"/>
        <v>0.66666666666666663</v>
      </c>
      <c r="AD8" s="10">
        <f t="shared" si="6"/>
        <v>0.66634304207119732</v>
      </c>
      <c r="AE8" s="39">
        <f t="shared" si="7"/>
        <v>0.35255972500177296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495</v>
      </c>
      <c r="D9" s="55" t="s">
        <v>544</v>
      </c>
      <c r="E9" s="57" t="s">
        <v>545</v>
      </c>
      <c r="F9" s="12" t="s">
        <v>546</v>
      </c>
      <c r="G9" s="12">
        <v>1</v>
      </c>
      <c r="H9" s="13">
        <v>25</v>
      </c>
      <c r="I9" s="7">
        <v>2000</v>
      </c>
      <c r="J9" s="5">
        <v>4250</v>
      </c>
      <c r="K9" s="15">
        <f>L9</f>
        <v>4249</v>
      </c>
      <c r="L9" s="15">
        <f>3125+1124</f>
        <v>4249</v>
      </c>
      <c r="M9" s="16">
        <f t="shared" si="0"/>
        <v>4249</v>
      </c>
      <c r="N9" s="16">
        <v>0</v>
      </c>
      <c r="O9" s="62">
        <f t="shared" si="1"/>
        <v>0</v>
      </c>
      <c r="P9" s="42">
        <f t="shared" si="2"/>
        <v>20</v>
      </c>
      <c r="Q9" s="43">
        <f t="shared" si="3"/>
        <v>4</v>
      </c>
      <c r="R9" s="7"/>
      <c r="S9" s="6">
        <v>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0.99976470588235289</v>
      </c>
      <c r="AC9" s="9">
        <f t="shared" si="5"/>
        <v>0.83333333333333337</v>
      </c>
      <c r="AD9" s="10">
        <f t="shared" si="6"/>
        <v>0.83313725490196078</v>
      </c>
      <c r="AE9" s="39">
        <f t="shared" si="7"/>
        <v>0.35255972500177296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334</v>
      </c>
      <c r="D10" s="55" t="s">
        <v>377</v>
      </c>
      <c r="E10" s="57" t="s">
        <v>498</v>
      </c>
      <c r="F10" s="12" t="s">
        <v>379</v>
      </c>
      <c r="G10" s="12">
        <v>16</v>
      </c>
      <c r="H10" s="13">
        <v>25</v>
      </c>
      <c r="I10" s="7">
        <v>200000</v>
      </c>
      <c r="J10" s="14">
        <v>72520</v>
      </c>
      <c r="K10" s="15">
        <f>L10+12128</f>
        <v>84640</v>
      </c>
      <c r="L10" s="15">
        <f>3601*16+931*16</f>
        <v>72512</v>
      </c>
      <c r="M10" s="16">
        <f t="shared" si="0"/>
        <v>72512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0.99988968560397129</v>
      </c>
      <c r="AC10" s="9">
        <f t="shared" si="5"/>
        <v>0.79166666666666663</v>
      </c>
      <c r="AD10" s="10">
        <f t="shared" si="6"/>
        <v>0.79157933443647721</v>
      </c>
      <c r="AE10" s="39">
        <f t="shared" si="7"/>
        <v>0.35255972500177296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380</v>
      </c>
      <c r="D11" s="55" t="s">
        <v>381</v>
      </c>
      <c r="E11" s="57" t="s">
        <v>382</v>
      </c>
      <c r="F11" s="12" t="s">
        <v>383</v>
      </c>
      <c r="G11" s="12">
        <v>1</v>
      </c>
      <c r="H11" s="13">
        <v>25</v>
      </c>
      <c r="I11" s="34">
        <v>4000</v>
      </c>
      <c r="J11" s="5">
        <v>1852</v>
      </c>
      <c r="K11" s="15">
        <f>L11+3461+4240+1852</f>
        <v>9553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0.35255972500177296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495</v>
      </c>
      <c r="D12" s="55" t="s">
        <v>499</v>
      </c>
      <c r="E12" s="57" t="s">
        <v>500</v>
      </c>
      <c r="F12" s="12" t="s">
        <v>447</v>
      </c>
      <c r="G12" s="12">
        <v>1</v>
      </c>
      <c r="H12" s="13">
        <v>25</v>
      </c>
      <c r="I12" s="7">
        <v>30000</v>
      </c>
      <c r="J12" s="14">
        <v>1360</v>
      </c>
      <c r="K12" s="15">
        <f>L12+1359</f>
        <v>1359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>
        <v>24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0.35255972500177296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123</v>
      </c>
      <c r="E13" s="57" t="s">
        <v>145</v>
      </c>
      <c r="F13" s="12" t="s">
        <v>132</v>
      </c>
      <c r="G13" s="12">
        <v>1</v>
      </c>
      <c r="H13" s="13">
        <v>25</v>
      </c>
      <c r="I13" s="7">
        <v>28000</v>
      </c>
      <c r="J13" s="14">
        <v>2520</v>
      </c>
      <c r="K13" s="15">
        <f>L13</f>
        <v>2514</v>
      </c>
      <c r="L13" s="15">
        <f>2514</f>
        <v>2514</v>
      </c>
      <c r="M13" s="16">
        <f t="shared" si="0"/>
        <v>2514</v>
      </c>
      <c r="N13" s="16">
        <v>0</v>
      </c>
      <c r="O13" s="62">
        <f t="shared" si="1"/>
        <v>0</v>
      </c>
      <c r="P13" s="42">
        <f t="shared" si="2"/>
        <v>16</v>
      </c>
      <c r="Q13" s="43">
        <f t="shared" si="3"/>
        <v>8</v>
      </c>
      <c r="R13" s="7"/>
      <c r="S13" s="6">
        <v>8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0.99761904761904763</v>
      </c>
      <c r="AC13" s="9">
        <f t="shared" si="5"/>
        <v>0.66666666666666663</v>
      </c>
      <c r="AD13" s="10">
        <f t="shared" si="6"/>
        <v>0.66507936507936505</v>
      </c>
      <c r="AE13" s="39">
        <f t="shared" si="7"/>
        <v>0.35255972500177296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501</v>
      </c>
      <c r="F14" s="33" t="s">
        <v>502</v>
      </c>
      <c r="G14" s="36">
        <v>1</v>
      </c>
      <c r="H14" s="38">
        <v>25</v>
      </c>
      <c r="I14" s="7">
        <v>400</v>
      </c>
      <c r="J14" s="5">
        <v>434</v>
      </c>
      <c r="K14" s="15">
        <f>L14+434</f>
        <v>434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0.35255972500177296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288</v>
      </c>
      <c r="D15" s="55" t="s">
        <v>289</v>
      </c>
      <c r="E15" s="57" t="s">
        <v>290</v>
      </c>
      <c r="F15" s="12" t="s">
        <v>291</v>
      </c>
      <c r="G15" s="12">
        <v>8</v>
      </c>
      <c r="H15" s="13">
        <v>24</v>
      </c>
      <c r="I15" s="34">
        <v>20000</v>
      </c>
      <c r="J15" s="14">
        <v>32361</v>
      </c>
      <c r="K15" s="15">
        <f>L15+23296+32361</f>
        <v>55657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0.35255972500177296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138</v>
      </c>
      <c r="E16" s="57" t="s">
        <v>139</v>
      </c>
      <c r="F16" s="33" t="s">
        <v>134</v>
      </c>
      <c r="G16" s="36">
        <v>1</v>
      </c>
      <c r="H16" s="38">
        <v>25</v>
      </c>
      <c r="I16" s="7">
        <v>12000</v>
      </c>
      <c r="J16" s="5">
        <v>4150</v>
      </c>
      <c r="K16" s="15">
        <f>L16+4095+4538+4147</f>
        <v>12780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0.35255972500177296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504</v>
      </c>
      <c r="D17" s="55" t="s">
        <v>505</v>
      </c>
      <c r="E17" s="57" t="s">
        <v>547</v>
      </c>
      <c r="F17" s="12" t="s">
        <v>507</v>
      </c>
      <c r="G17" s="12">
        <v>1</v>
      </c>
      <c r="H17" s="13">
        <v>24</v>
      </c>
      <c r="I17" s="34">
        <v>1500</v>
      </c>
      <c r="J17" s="14">
        <v>1686</v>
      </c>
      <c r="K17" s="15">
        <f>L17</f>
        <v>1686</v>
      </c>
      <c r="L17" s="15">
        <f>1686</f>
        <v>1686</v>
      </c>
      <c r="M17" s="16">
        <f t="shared" si="0"/>
        <v>1686</v>
      </c>
      <c r="N17" s="16">
        <v>0</v>
      </c>
      <c r="O17" s="62">
        <f t="shared" si="1"/>
        <v>0</v>
      </c>
      <c r="P17" s="42">
        <f t="shared" si="2"/>
        <v>10</v>
      </c>
      <c r="Q17" s="43">
        <f t="shared" si="3"/>
        <v>14</v>
      </c>
      <c r="R17" s="7"/>
      <c r="S17" s="6"/>
      <c r="T17" s="17"/>
      <c r="U17" s="17"/>
      <c r="V17" s="18"/>
      <c r="W17" s="19">
        <v>14</v>
      </c>
      <c r="X17" s="17"/>
      <c r="Y17" s="20"/>
      <c r="Z17" s="20"/>
      <c r="AA17" s="21"/>
      <c r="AB17" s="8">
        <f t="shared" si="4"/>
        <v>1</v>
      </c>
      <c r="AC17" s="9">
        <f t="shared" si="5"/>
        <v>0.41666666666666669</v>
      </c>
      <c r="AD17" s="10">
        <f t="shared" si="6"/>
        <v>0.41666666666666669</v>
      </c>
      <c r="AE17" s="39">
        <f t="shared" si="7"/>
        <v>0.35255972500177296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548</v>
      </c>
      <c r="D18" s="55" t="s">
        <v>549</v>
      </c>
      <c r="E18" s="57" t="s">
        <v>550</v>
      </c>
      <c r="F18" s="12" t="s">
        <v>551</v>
      </c>
      <c r="G18" s="36">
        <v>1</v>
      </c>
      <c r="H18" s="38">
        <v>30</v>
      </c>
      <c r="I18" s="7">
        <v>8000</v>
      </c>
      <c r="J18" s="5">
        <v>3030</v>
      </c>
      <c r="K18" s="15">
        <f>L18</f>
        <v>3026</v>
      </c>
      <c r="L18" s="15">
        <f>334+2692</f>
        <v>3026</v>
      </c>
      <c r="M18" s="16">
        <f t="shared" si="0"/>
        <v>3026</v>
      </c>
      <c r="N18" s="16">
        <v>0</v>
      </c>
      <c r="O18" s="62">
        <f t="shared" si="1"/>
        <v>0</v>
      </c>
      <c r="P18" s="42">
        <f t="shared" si="2"/>
        <v>18</v>
      </c>
      <c r="Q18" s="43">
        <f t="shared" si="3"/>
        <v>6</v>
      </c>
      <c r="R18" s="7"/>
      <c r="S18" s="6">
        <v>6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0.99867986798679864</v>
      </c>
      <c r="AC18" s="9">
        <f t="shared" si="5"/>
        <v>0.75</v>
      </c>
      <c r="AD18" s="10">
        <f t="shared" si="6"/>
        <v>0.74900990099009901</v>
      </c>
      <c r="AE18" s="39">
        <f t="shared" si="7"/>
        <v>0.35255972500177296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342</v>
      </c>
      <c r="D19" s="55" t="s">
        <v>343</v>
      </c>
      <c r="E19" s="57" t="s">
        <v>552</v>
      </c>
      <c r="F19" s="33" t="s">
        <v>345</v>
      </c>
      <c r="G19" s="12">
        <v>1</v>
      </c>
      <c r="H19" s="13">
        <v>25</v>
      </c>
      <c r="I19" s="34">
        <v>10000</v>
      </c>
      <c r="J19" s="5">
        <v>1172</v>
      </c>
      <c r="K19" s="15">
        <f>L19</f>
        <v>1172</v>
      </c>
      <c r="L19" s="15">
        <f>236+936</f>
        <v>1172</v>
      </c>
      <c r="M19" s="16">
        <f t="shared" si="0"/>
        <v>1172</v>
      </c>
      <c r="N19" s="16">
        <v>0</v>
      </c>
      <c r="O19" s="62">
        <f t="shared" si="1"/>
        <v>0</v>
      </c>
      <c r="P19" s="42">
        <f t="shared" si="2"/>
        <v>8</v>
      </c>
      <c r="Q19" s="43">
        <f t="shared" si="3"/>
        <v>16</v>
      </c>
      <c r="R19" s="7"/>
      <c r="S19" s="6">
        <v>16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0.33333333333333331</v>
      </c>
      <c r="AD19" s="10">
        <f t="shared" si="6"/>
        <v>0.33333333333333331</v>
      </c>
      <c r="AE19" s="39">
        <f t="shared" si="7"/>
        <v>0.35255972500177296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140</v>
      </c>
      <c r="F20" s="12" t="s">
        <v>122</v>
      </c>
      <c r="G20" s="12">
        <v>4</v>
      </c>
      <c r="H20" s="38">
        <v>20</v>
      </c>
      <c r="I20" s="7">
        <v>140000</v>
      </c>
      <c r="J20" s="14">
        <v>38600</v>
      </c>
      <c r="K20" s="15">
        <f>L20</f>
        <v>38596</v>
      </c>
      <c r="L20" s="15">
        <f>6726*4+2923*4</f>
        <v>38596</v>
      </c>
      <c r="M20" s="16">
        <f t="shared" si="0"/>
        <v>38596</v>
      </c>
      <c r="N20" s="16">
        <v>0</v>
      </c>
      <c r="O20" s="62">
        <f t="shared" si="1"/>
        <v>0</v>
      </c>
      <c r="P20" s="42">
        <f t="shared" si="2"/>
        <v>20</v>
      </c>
      <c r="Q20" s="43">
        <f t="shared" si="3"/>
        <v>4</v>
      </c>
      <c r="R20" s="7"/>
      <c r="S20" s="6">
        <v>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0.99989637305699486</v>
      </c>
      <c r="AC20" s="9">
        <f t="shared" si="5"/>
        <v>0.83333333333333337</v>
      </c>
      <c r="AD20" s="10">
        <f t="shared" si="6"/>
        <v>0.83324697754749577</v>
      </c>
      <c r="AE20" s="39">
        <f t="shared" si="7"/>
        <v>0.35255972500177296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658900</v>
      </c>
      <c r="J21" s="22">
        <f t="shared" si="9"/>
        <v>203635</v>
      </c>
      <c r="K21" s="23">
        <f t="shared" si="9"/>
        <v>405003</v>
      </c>
      <c r="L21" s="24">
        <f t="shared" si="9"/>
        <v>125814</v>
      </c>
      <c r="M21" s="23">
        <f t="shared" si="9"/>
        <v>125814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127</v>
      </c>
      <c r="Q21" s="46">
        <f t="shared" si="10"/>
        <v>233</v>
      </c>
      <c r="R21" s="26">
        <f t="shared" si="10"/>
        <v>24</v>
      </c>
      <c r="S21" s="27">
        <f t="shared" si="10"/>
        <v>91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118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0.53302428288373072</v>
      </c>
      <c r="AC21" s="4">
        <f>SUM(AC6:AC20)/15</f>
        <v>0.35277777777777775</v>
      </c>
      <c r="AD21" s="4">
        <f>SUM(AD6:AD20)/15</f>
        <v>0.35255972500177296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553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572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12" t="s">
        <v>46</v>
      </c>
      <c r="D50" s="212" t="s">
        <v>47</v>
      </c>
      <c r="E50" s="212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12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554</v>
      </c>
      <c r="B51" s="440"/>
      <c r="C51" s="209" t="s">
        <v>385</v>
      </c>
      <c r="D51" s="209" t="s">
        <v>541</v>
      </c>
      <c r="E51" s="209" t="s">
        <v>542</v>
      </c>
      <c r="F51" s="431" t="s">
        <v>386</v>
      </c>
      <c r="G51" s="431"/>
      <c r="H51" s="431"/>
      <c r="I51" s="431"/>
      <c r="J51" s="431"/>
      <c r="K51" s="431"/>
      <c r="L51" s="431"/>
      <c r="M51" s="441"/>
      <c r="N51" s="208" t="s">
        <v>370</v>
      </c>
      <c r="O51" s="124" t="s">
        <v>476</v>
      </c>
      <c r="P51" s="440" t="s">
        <v>558</v>
      </c>
      <c r="Q51" s="440"/>
      <c r="R51" s="440" t="s">
        <v>573</v>
      </c>
      <c r="S51" s="440"/>
      <c r="T51" s="440"/>
      <c r="U51" s="440"/>
      <c r="V51" s="431" t="s">
        <v>386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495</v>
      </c>
      <c r="B52" s="440"/>
      <c r="C52" s="209" t="s">
        <v>387</v>
      </c>
      <c r="D52" s="209" t="s">
        <v>544</v>
      </c>
      <c r="E52" s="209" t="s">
        <v>545</v>
      </c>
      <c r="F52" s="431" t="s">
        <v>555</v>
      </c>
      <c r="G52" s="431"/>
      <c r="H52" s="431"/>
      <c r="I52" s="431"/>
      <c r="J52" s="431"/>
      <c r="K52" s="431"/>
      <c r="L52" s="431"/>
      <c r="M52" s="441"/>
      <c r="N52" s="208" t="s">
        <v>380</v>
      </c>
      <c r="O52" s="124" t="s">
        <v>408</v>
      </c>
      <c r="P52" s="440" t="s">
        <v>393</v>
      </c>
      <c r="Q52" s="440"/>
      <c r="R52" s="440" t="s">
        <v>525</v>
      </c>
      <c r="S52" s="440"/>
      <c r="T52" s="440"/>
      <c r="U52" s="440"/>
      <c r="V52" s="431" t="s">
        <v>574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450</v>
      </c>
      <c r="B53" s="440"/>
      <c r="C53" s="209" t="s">
        <v>514</v>
      </c>
      <c r="D53" s="209" t="s">
        <v>515</v>
      </c>
      <c r="E53" s="209" t="s">
        <v>516</v>
      </c>
      <c r="F53" s="431" t="s">
        <v>556</v>
      </c>
      <c r="G53" s="431"/>
      <c r="H53" s="431"/>
      <c r="I53" s="431"/>
      <c r="J53" s="431"/>
      <c r="K53" s="431"/>
      <c r="L53" s="431"/>
      <c r="M53" s="441"/>
      <c r="N53" s="208" t="s">
        <v>370</v>
      </c>
      <c r="O53" s="124" t="s">
        <v>468</v>
      </c>
      <c r="P53" s="440" t="s">
        <v>466</v>
      </c>
      <c r="Q53" s="440"/>
      <c r="R53" s="440" t="s">
        <v>464</v>
      </c>
      <c r="S53" s="440"/>
      <c r="T53" s="440"/>
      <c r="U53" s="440"/>
      <c r="V53" s="431" t="s">
        <v>481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548</v>
      </c>
      <c r="B54" s="440"/>
      <c r="C54" s="209" t="s">
        <v>557</v>
      </c>
      <c r="D54" s="209" t="s">
        <v>558</v>
      </c>
      <c r="E54" s="209" t="s">
        <v>559</v>
      </c>
      <c r="F54" s="431" t="s">
        <v>560</v>
      </c>
      <c r="G54" s="431"/>
      <c r="H54" s="431"/>
      <c r="I54" s="431"/>
      <c r="J54" s="431"/>
      <c r="K54" s="431"/>
      <c r="L54" s="431"/>
      <c r="M54" s="441"/>
      <c r="N54" s="208"/>
      <c r="O54" s="124"/>
      <c r="P54" s="440"/>
      <c r="Q54" s="440"/>
      <c r="R54" s="440"/>
      <c r="S54" s="440"/>
      <c r="T54" s="440"/>
      <c r="U54" s="440"/>
      <c r="V54" s="431"/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520</v>
      </c>
      <c r="B55" s="440"/>
      <c r="C55" s="209" t="s">
        <v>470</v>
      </c>
      <c r="D55" s="209" t="s">
        <v>505</v>
      </c>
      <c r="E55" s="209" t="s">
        <v>547</v>
      </c>
      <c r="F55" s="431" t="s">
        <v>386</v>
      </c>
      <c r="G55" s="431"/>
      <c r="H55" s="431"/>
      <c r="I55" s="431"/>
      <c r="J55" s="431"/>
      <c r="K55" s="431"/>
      <c r="L55" s="431"/>
      <c r="M55" s="441"/>
      <c r="N55" s="208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548</v>
      </c>
      <c r="B56" s="440"/>
      <c r="C56" s="209" t="s">
        <v>561</v>
      </c>
      <c r="D56" s="209" t="s">
        <v>562</v>
      </c>
      <c r="E56" s="209" t="s">
        <v>563</v>
      </c>
      <c r="F56" s="431" t="s">
        <v>555</v>
      </c>
      <c r="G56" s="431"/>
      <c r="H56" s="431"/>
      <c r="I56" s="431"/>
      <c r="J56" s="431"/>
      <c r="K56" s="431"/>
      <c r="L56" s="431"/>
      <c r="M56" s="441"/>
      <c r="N56" s="208"/>
      <c r="O56" s="124"/>
      <c r="P56" s="446"/>
      <c r="Q56" s="447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 t="s">
        <v>564</v>
      </c>
      <c r="B57" s="440"/>
      <c r="C57" s="209" t="s">
        <v>565</v>
      </c>
      <c r="D57" s="209" t="s">
        <v>566</v>
      </c>
      <c r="E57" s="209" t="s">
        <v>552</v>
      </c>
      <c r="F57" s="431" t="s">
        <v>567</v>
      </c>
      <c r="G57" s="431"/>
      <c r="H57" s="431"/>
      <c r="I57" s="431"/>
      <c r="J57" s="431"/>
      <c r="K57" s="431"/>
      <c r="L57" s="431"/>
      <c r="M57" s="441"/>
      <c r="N57" s="208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 t="s">
        <v>568</v>
      </c>
      <c r="B58" s="440"/>
      <c r="C58" s="209" t="s">
        <v>569</v>
      </c>
      <c r="D58" s="209"/>
      <c r="E58" s="209" t="s">
        <v>570</v>
      </c>
      <c r="F58" s="431" t="s">
        <v>571</v>
      </c>
      <c r="G58" s="431"/>
      <c r="H58" s="431"/>
      <c r="I58" s="431"/>
      <c r="J58" s="431"/>
      <c r="K58" s="431"/>
      <c r="L58" s="431"/>
      <c r="M58" s="441"/>
      <c r="N58" s="208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209"/>
      <c r="D59" s="209"/>
      <c r="E59" s="209"/>
      <c r="F59" s="431"/>
      <c r="G59" s="431"/>
      <c r="H59" s="431"/>
      <c r="I59" s="431"/>
      <c r="J59" s="431"/>
      <c r="K59" s="431"/>
      <c r="L59" s="431"/>
      <c r="M59" s="441"/>
      <c r="N59" s="208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211"/>
      <c r="D60" s="211"/>
      <c r="E60" s="211"/>
      <c r="F60" s="489"/>
      <c r="G60" s="489"/>
      <c r="H60" s="489"/>
      <c r="I60" s="489"/>
      <c r="J60" s="489"/>
      <c r="K60" s="489"/>
      <c r="L60" s="489"/>
      <c r="M60" s="490"/>
      <c r="N60" s="210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575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207" t="s">
        <v>2</v>
      </c>
      <c r="D62" s="207" t="s">
        <v>37</v>
      </c>
      <c r="E62" s="207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207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548</v>
      </c>
      <c r="D63" s="203"/>
      <c r="E63" s="206" t="s">
        <v>576</v>
      </c>
      <c r="F63" s="429" t="s">
        <v>577</v>
      </c>
      <c r="G63" s="421"/>
      <c r="H63" s="421"/>
      <c r="I63" s="421"/>
      <c r="J63" s="421"/>
      <c r="K63" s="421" t="s">
        <v>578</v>
      </c>
      <c r="L63" s="421"/>
      <c r="M63" s="54" t="s">
        <v>579</v>
      </c>
      <c r="N63" s="421">
        <v>6</v>
      </c>
      <c r="O63" s="421"/>
      <c r="P63" s="430">
        <v>50</v>
      </c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/>
      <c r="D64" s="203"/>
      <c r="E64" s="206"/>
      <c r="F64" s="429"/>
      <c r="G64" s="421"/>
      <c r="H64" s="421"/>
      <c r="I64" s="421"/>
      <c r="J64" s="421"/>
      <c r="K64" s="421"/>
      <c r="L64" s="421"/>
      <c r="M64" s="54"/>
      <c r="N64" s="421"/>
      <c r="O64" s="421"/>
      <c r="P64" s="430"/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/>
      <c r="D65" s="203"/>
      <c r="E65" s="206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/>
      <c r="D66" s="203"/>
      <c r="E66" s="206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203"/>
      <c r="E67" s="206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203"/>
      <c r="E68" s="206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203"/>
      <c r="E69" s="206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203"/>
      <c r="E70" s="206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580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205" t="s">
        <v>2</v>
      </c>
      <c r="D72" s="205" t="s">
        <v>37</v>
      </c>
      <c r="E72" s="205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204" t="s">
        <v>114</v>
      </c>
      <c r="D73" s="204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203" t="s">
        <v>114</v>
      </c>
      <c r="D74" s="203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203"/>
      <c r="D75" s="203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203"/>
      <c r="D76" s="203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203"/>
      <c r="D77" s="203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203"/>
      <c r="D78" s="203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203"/>
      <c r="D79" s="203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203"/>
      <c r="D80" s="203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203"/>
      <c r="D81" s="203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581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/>
      <c r="D84" s="397"/>
      <c r="E84" s="397"/>
      <c r="F84" s="397"/>
      <c r="G84" s="397"/>
      <c r="H84" s="397"/>
      <c r="I84" s="397"/>
      <c r="J84" s="397"/>
      <c r="K84" s="397"/>
      <c r="L84" s="397"/>
      <c r="M84" s="397"/>
      <c r="N84" s="397"/>
      <c r="O84" s="397"/>
      <c r="P84" s="397"/>
      <c r="Q84" s="397"/>
      <c r="R84" s="397"/>
      <c r="S84" s="397"/>
      <c r="T84" s="397"/>
      <c r="U84" s="397"/>
      <c r="V84" s="398"/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F86"/>
  <sheetViews>
    <sheetView topLeftCell="A40" zoomScale="72" zoomScaleNormal="72" zoomScaleSheetLayoutView="70" workbookViewId="0">
      <selection activeCell="M16" sqref="M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582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14" t="s">
        <v>17</v>
      </c>
      <c r="L5" s="214" t="s">
        <v>18</v>
      </c>
      <c r="M5" s="214" t="s">
        <v>19</v>
      </c>
      <c r="N5" s="21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0.2664863791108017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0.2664863791108017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540</v>
      </c>
      <c r="D8" s="55" t="s">
        <v>541</v>
      </c>
      <c r="E8" s="57" t="s">
        <v>542</v>
      </c>
      <c r="F8" s="33" t="s">
        <v>543</v>
      </c>
      <c r="G8" s="36">
        <v>1</v>
      </c>
      <c r="H8" s="38">
        <v>25</v>
      </c>
      <c r="I8" s="7">
        <v>2000</v>
      </c>
      <c r="J8" s="5">
        <v>2060</v>
      </c>
      <c r="K8" s="15">
        <f>L8+2059</f>
        <v>2059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0.2664863791108017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495</v>
      </c>
      <c r="D9" s="55" t="s">
        <v>583</v>
      </c>
      <c r="E9" s="57" t="s">
        <v>584</v>
      </c>
      <c r="F9" s="12" t="s">
        <v>585</v>
      </c>
      <c r="G9" s="12">
        <v>1</v>
      </c>
      <c r="H9" s="13">
        <v>25</v>
      </c>
      <c r="I9" s="7">
        <v>200</v>
      </c>
      <c r="J9" s="5">
        <v>320</v>
      </c>
      <c r="K9" s="15">
        <f>L9</f>
        <v>320</v>
      </c>
      <c r="L9" s="15">
        <v>320</v>
      </c>
      <c r="M9" s="16">
        <f t="shared" si="0"/>
        <v>320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0.2664863791108017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334</v>
      </c>
      <c r="D10" s="55" t="s">
        <v>377</v>
      </c>
      <c r="E10" s="57" t="s">
        <v>498</v>
      </c>
      <c r="F10" s="12" t="s">
        <v>379</v>
      </c>
      <c r="G10" s="12">
        <v>16</v>
      </c>
      <c r="H10" s="13">
        <v>25</v>
      </c>
      <c r="I10" s="7">
        <v>200000</v>
      </c>
      <c r="J10" s="14">
        <v>38992</v>
      </c>
      <c r="K10" s="15">
        <f>L10+12128+72512</f>
        <v>123632</v>
      </c>
      <c r="L10" s="15">
        <f>2437*16</f>
        <v>38992</v>
      </c>
      <c r="M10" s="16">
        <f t="shared" si="0"/>
        <v>38992</v>
      </c>
      <c r="N10" s="16">
        <v>0</v>
      </c>
      <c r="O10" s="62">
        <f t="shared" si="1"/>
        <v>0</v>
      </c>
      <c r="P10" s="42">
        <f t="shared" si="2"/>
        <v>6</v>
      </c>
      <c r="Q10" s="43">
        <f t="shared" si="3"/>
        <v>18</v>
      </c>
      <c r="R10" s="7"/>
      <c r="S10" s="6"/>
      <c r="T10" s="17"/>
      <c r="U10" s="17"/>
      <c r="V10" s="18"/>
      <c r="W10" s="19">
        <v>18</v>
      </c>
      <c r="X10" s="17"/>
      <c r="Y10" s="20"/>
      <c r="Z10" s="20"/>
      <c r="AA10" s="21"/>
      <c r="AB10" s="8">
        <f t="shared" si="4"/>
        <v>1</v>
      </c>
      <c r="AC10" s="9">
        <f t="shared" si="5"/>
        <v>0.25</v>
      </c>
      <c r="AD10" s="10">
        <f t="shared" si="6"/>
        <v>0.25</v>
      </c>
      <c r="AE10" s="39">
        <f t="shared" si="7"/>
        <v>0.2664863791108017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380</v>
      </c>
      <c r="D11" s="55" t="s">
        <v>381</v>
      </c>
      <c r="E11" s="57" t="s">
        <v>382</v>
      </c>
      <c r="F11" s="12" t="s">
        <v>383</v>
      </c>
      <c r="G11" s="12">
        <v>1</v>
      </c>
      <c r="H11" s="13">
        <v>25</v>
      </c>
      <c r="I11" s="34">
        <v>4000</v>
      </c>
      <c r="J11" s="5">
        <v>1852</v>
      </c>
      <c r="K11" s="15">
        <f>L11+3461+4240+1852</f>
        <v>9553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0.2664863791108017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495</v>
      </c>
      <c r="D12" s="55" t="s">
        <v>499</v>
      </c>
      <c r="E12" s="57" t="s">
        <v>500</v>
      </c>
      <c r="F12" s="12" t="s">
        <v>447</v>
      </c>
      <c r="G12" s="12">
        <v>1</v>
      </c>
      <c r="H12" s="13">
        <v>25</v>
      </c>
      <c r="I12" s="7">
        <v>30000</v>
      </c>
      <c r="J12" s="14">
        <v>1862</v>
      </c>
      <c r="K12" s="15">
        <f>L12+1359</f>
        <v>3221</v>
      </c>
      <c r="L12" s="15">
        <f>1030+832</f>
        <v>1862</v>
      </c>
      <c r="M12" s="16">
        <f t="shared" si="0"/>
        <v>1862</v>
      </c>
      <c r="N12" s="16">
        <v>0</v>
      </c>
      <c r="O12" s="62">
        <f t="shared" si="1"/>
        <v>0</v>
      </c>
      <c r="P12" s="42">
        <f t="shared" si="2"/>
        <v>10</v>
      </c>
      <c r="Q12" s="43">
        <f t="shared" si="3"/>
        <v>14</v>
      </c>
      <c r="R12" s="7"/>
      <c r="S12" s="6">
        <v>14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0.41666666666666669</v>
      </c>
      <c r="AD12" s="10">
        <f t="shared" si="6"/>
        <v>0.41666666666666669</v>
      </c>
      <c r="AE12" s="39">
        <f t="shared" si="7"/>
        <v>0.2664863791108017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123</v>
      </c>
      <c r="E13" s="57" t="s">
        <v>145</v>
      </c>
      <c r="F13" s="12" t="s">
        <v>132</v>
      </c>
      <c r="G13" s="12">
        <v>1</v>
      </c>
      <c r="H13" s="13">
        <v>25</v>
      </c>
      <c r="I13" s="7">
        <v>28000</v>
      </c>
      <c r="J13" s="14">
        <v>5800</v>
      </c>
      <c r="K13" s="15">
        <f>L13+2514</f>
        <v>8308</v>
      </c>
      <c r="L13" s="15">
        <f>3014+2780</f>
        <v>5794</v>
      </c>
      <c r="M13" s="16">
        <f t="shared" si="0"/>
        <v>5794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0.99896551724137927</v>
      </c>
      <c r="AC13" s="9">
        <f t="shared" si="5"/>
        <v>1</v>
      </c>
      <c r="AD13" s="10">
        <f t="shared" si="6"/>
        <v>0.99896551724137927</v>
      </c>
      <c r="AE13" s="39">
        <f t="shared" si="7"/>
        <v>0.2664863791108017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501</v>
      </c>
      <c r="F14" s="33" t="s">
        <v>502</v>
      </c>
      <c r="G14" s="36">
        <v>1</v>
      </c>
      <c r="H14" s="38">
        <v>25</v>
      </c>
      <c r="I14" s="7">
        <v>400</v>
      </c>
      <c r="J14" s="5">
        <v>434</v>
      </c>
      <c r="K14" s="15">
        <f>L14+434</f>
        <v>434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0.2664863791108017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288</v>
      </c>
      <c r="D15" s="55" t="s">
        <v>289</v>
      </c>
      <c r="E15" s="57" t="s">
        <v>290</v>
      </c>
      <c r="F15" s="12" t="s">
        <v>291</v>
      </c>
      <c r="G15" s="12">
        <v>8</v>
      </c>
      <c r="H15" s="13">
        <v>24</v>
      </c>
      <c r="I15" s="34">
        <v>20000</v>
      </c>
      <c r="J15" s="14">
        <v>32361</v>
      </c>
      <c r="K15" s="15">
        <f>L15+23296+32361</f>
        <v>55657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0.2664863791108017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138</v>
      </c>
      <c r="E16" s="57" t="s">
        <v>139</v>
      </c>
      <c r="F16" s="33" t="s">
        <v>134</v>
      </c>
      <c r="G16" s="36">
        <v>1</v>
      </c>
      <c r="H16" s="38">
        <v>25</v>
      </c>
      <c r="I16" s="7">
        <v>12000</v>
      </c>
      <c r="J16" s="5">
        <v>4150</v>
      </c>
      <c r="K16" s="15">
        <f>L16+4095+4538+4147</f>
        <v>12780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0.2664863791108017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504</v>
      </c>
      <c r="D17" s="55" t="s">
        <v>505</v>
      </c>
      <c r="E17" s="57" t="s">
        <v>547</v>
      </c>
      <c r="F17" s="12" t="s">
        <v>507</v>
      </c>
      <c r="G17" s="12">
        <v>1</v>
      </c>
      <c r="H17" s="13">
        <v>24</v>
      </c>
      <c r="I17" s="34">
        <v>1500</v>
      </c>
      <c r="J17" s="14">
        <v>1686</v>
      </c>
      <c r="K17" s="15">
        <f>L17+1686</f>
        <v>1686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0.2664863791108017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548</v>
      </c>
      <c r="D18" s="55" t="s">
        <v>549</v>
      </c>
      <c r="E18" s="57" t="s">
        <v>550</v>
      </c>
      <c r="F18" s="12" t="s">
        <v>551</v>
      </c>
      <c r="G18" s="36">
        <v>1</v>
      </c>
      <c r="H18" s="38">
        <v>30</v>
      </c>
      <c r="I18" s="7">
        <v>8000</v>
      </c>
      <c r="J18" s="5">
        <v>5300</v>
      </c>
      <c r="K18" s="15">
        <f>L18+3026</f>
        <v>8318</v>
      </c>
      <c r="L18" s="15">
        <f>2795+2497</f>
        <v>5292</v>
      </c>
      <c r="M18" s="16">
        <f t="shared" si="0"/>
        <v>5292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0.99849056603773589</v>
      </c>
      <c r="AC18" s="9">
        <f t="shared" si="5"/>
        <v>1</v>
      </c>
      <c r="AD18" s="10">
        <f t="shared" si="6"/>
        <v>0.99849056603773589</v>
      </c>
      <c r="AE18" s="39">
        <f t="shared" si="7"/>
        <v>0.2664863791108017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342</v>
      </c>
      <c r="D19" s="55" t="s">
        <v>343</v>
      </c>
      <c r="E19" s="57" t="s">
        <v>552</v>
      </c>
      <c r="F19" s="33" t="s">
        <v>345</v>
      </c>
      <c r="G19" s="12">
        <v>1</v>
      </c>
      <c r="H19" s="13">
        <v>25</v>
      </c>
      <c r="I19" s="34">
        <v>10000</v>
      </c>
      <c r="J19" s="5">
        <v>971</v>
      </c>
      <c r="K19" s="15">
        <f>L19+1172</f>
        <v>2143</v>
      </c>
      <c r="L19" s="15">
        <f>971</f>
        <v>971</v>
      </c>
      <c r="M19" s="16">
        <f t="shared" si="0"/>
        <v>971</v>
      </c>
      <c r="N19" s="16">
        <v>0</v>
      </c>
      <c r="O19" s="62">
        <f t="shared" si="1"/>
        <v>0</v>
      </c>
      <c r="P19" s="42">
        <f t="shared" si="2"/>
        <v>6</v>
      </c>
      <c r="Q19" s="43">
        <f t="shared" si="3"/>
        <v>18</v>
      </c>
      <c r="R19" s="7"/>
      <c r="S19" s="6">
        <v>18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9">
        <f t="shared" si="7"/>
        <v>0.2664863791108017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140</v>
      </c>
      <c r="F20" s="12" t="s">
        <v>122</v>
      </c>
      <c r="G20" s="12">
        <v>4</v>
      </c>
      <c r="H20" s="38">
        <v>20</v>
      </c>
      <c r="I20" s="7">
        <v>140000</v>
      </c>
      <c r="J20" s="14">
        <v>45720</v>
      </c>
      <c r="K20" s="15">
        <f>L20+38596</f>
        <v>84308</v>
      </c>
      <c r="L20" s="15">
        <f>6951*4+4477*4</f>
        <v>45712</v>
      </c>
      <c r="M20" s="16">
        <f t="shared" si="0"/>
        <v>45712</v>
      </c>
      <c r="N20" s="16">
        <v>0</v>
      </c>
      <c r="O20" s="62">
        <f t="shared" si="1"/>
        <v>0</v>
      </c>
      <c r="P20" s="42">
        <f t="shared" si="2"/>
        <v>22</v>
      </c>
      <c r="Q20" s="43">
        <f t="shared" si="3"/>
        <v>2</v>
      </c>
      <c r="R20" s="7"/>
      <c r="S20" s="6">
        <v>2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0.99982502187226596</v>
      </c>
      <c r="AC20" s="9">
        <f t="shared" si="5"/>
        <v>0.91666666666666663</v>
      </c>
      <c r="AD20" s="10">
        <f t="shared" si="6"/>
        <v>0.91650627004957708</v>
      </c>
      <c r="AE20" s="39">
        <f t="shared" si="7"/>
        <v>0.2664863791108017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657100</v>
      </c>
      <c r="J21" s="22">
        <f t="shared" si="9"/>
        <v>179148</v>
      </c>
      <c r="K21" s="23">
        <f t="shared" si="9"/>
        <v>499697</v>
      </c>
      <c r="L21" s="24">
        <f t="shared" si="9"/>
        <v>98943</v>
      </c>
      <c r="M21" s="23">
        <f t="shared" si="9"/>
        <v>98943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96</v>
      </c>
      <c r="Q21" s="46">
        <f t="shared" si="10"/>
        <v>264</v>
      </c>
      <c r="R21" s="26">
        <f t="shared" si="10"/>
        <v>24</v>
      </c>
      <c r="S21" s="27">
        <f t="shared" si="10"/>
        <v>58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182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0.46648540701009206</v>
      </c>
      <c r="AC21" s="4">
        <f>SUM(AC6:AC20)/15</f>
        <v>0.26666666666666666</v>
      </c>
      <c r="AD21" s="4">
        <f>SUM(AD6:AD20)/15</f>
        <v>0.2664863791108017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586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595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15" t="s">
        <v>46</v>
      </c>
      <c r="D50" s="215" t="s">
        <v>47</v>
      </c>
      <c r="E50" s="215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15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587</v>
      </c>
      <c r="B51" s="440"/>
      <c r="C51" s="217" t="s">
        <v>588</v>
      </c>
      <c r="D51" s="217" t="s">
        <v>583</v>
      </c>
      <c r="E51" s="217" t="s">
        <v>589</v>
      </c>
      <c r="F51" s="431" t="s">
        <v>386</v>
      </c>
      <c r="G51" s="431"/>
      <c r="H51" s="431"/>
      <c r="I51" s="431"/>
      <c r="J51" s="431"/>
      <c r="K51" s="431"/>
      <c r="L51" s="431"/>
      <c r="M51" s="441"/>
      <c r="N51" s="216" t="s">
        <v>370</v>
      </c>
      <c r="O51" s="124" t="s">
        <v>468</v>
      </c>
      <c r="P51" s="440" t="s">
        <v>466</v>
      </c>
      <c r="Q51" s="440"/>
      <c r="R51" s="440" t="s">
        <v>464</v>
      </c>
      <c r="S51" s="440"/>
      <c r="T51" s="440"/>
      <c r="U51" s="440"/>
      <c r="V51" s="431" t="s">
        <v>481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495</v>
      </c>
      <c r="B52" s="440"/>
      <c r="C52" s="217" t="s">
        <v>590</v>
      </c>
      <c r="D52" s="217" t="s">
        <v>544</v>
      </c>
      <c r="E52" s="217" t="s">
        <v>591</v>
      </c>
      <c r="F52" s="431" t="s">
        <v>592</v>
      </c>
      <c r="G52" s="431"/>
      <c r="H52" s="431"/>
      <c r="I52" s="431"/>
      <c r="J52" s="431"/>
      <c r="K52" s="431"/>
      <c r="L52" s="431"/>
      <c r="M52" s="441"/>
      <c r="N52" s="216"/>
      <c r="O52" s="124"/>
      <c r="P52" s="440"/>
      <c r="Q52" s="440"/>
      <c r="R52" s="440"/>
      <c r="S52" s="440"/>
      <c r="T52" s="440"/>
      <c r="U52" s="440"/>
      <c r="V52" s="431"/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564</v>
      </c>
      <c r="B53" s="440"/>
      <c r="C53" s="217" t="s">
        <v>565</v>
      </c>
      <c r="D53" s="217" t="s">
        <v>566</v>
      </c>
      <c r="E53" s="217" t="s">
        <v>552</v>
      </c>
      <c r="F53" s="431" t="s">
        <v>593</v>
      </c>
      <c r="G53" s="431"/>
      <c r="H53" s="431"/>
      <c r="I53" s="431"/>
      <c r="J53" s="431"/>
      <c r="K53" s="431"/>
      <c r="L53" s="431"/>
      <c r="M53" s="441"/>
      <c r="N53" s="216"/>
      <c r="O53" s="124"/>
      <c r="P53" s="440"/>
      <c r="Q53" s="440"/>
      <c r="R53" s="440"/>
      <c r="S53" s="440"/>
      <c r="T53" s="440"/>
      <c r="U53" s="440"/>
      <c r="V53" s="431"/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568</v>
      </c>
      <c r="B54" s="440"/>
      <c r="C54" s="217" t="s">
        <v>569</v>
      </c>
      <c r="D54" s="217"/>
      <c r="E54" s="217" t="s">
        <v>570</v>
      </c>
      <c r="F54" s="431" t="s">
        <v>594</v>
      </c>
      <c r="G54" s="431"/>
      <c r="H54" s="431"/>
      <c r="I54" s="431"/>
      <c r="J54" s="431"/>
      <c r="K54" s="431"/>
      <c r="L54" s="431"/>
      <c r="M54" s="441"/>
      <c r="N54" s="216"/>
      <c r="O54" s="124"/>
      <c r="P54" s="440"/>
      <c r="Q54" s="440"/>
      <c r="R54" s="440"/>
      <c r="S54" s="440"/>
      <c r="T54" s="440"/>
      <c r="U54" s="440"/>
      <c r="V54" s="431"/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/>
      <c r="B55" s="440"/>
      <c r="C55" s="217"/>
      <c r="D55" s="217"/>
      <c r="E55" s="217"/>
      <c r="F55" s="431"/>
      <c r="G55" s="431"/>
      <c r="H55" s="431"/>
      <c r="I55" s="431"/>
      <c r="J55" s="431"/>
      <c r="K55" s="431"/>
      <c r="L55" s="431"/>
      <c r="M55" s="441"/>
      <c r="N55" s="216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/>
      <c r="B56" s="440"/>
      <c r="C56" s="217"/>
      <c r="D56" s="217"/>
      <c r="E56" s="217"/>
      <c r="F56" s="431"/>
      <c r="G56" s="431"/>
      <c r="H56" s="431"/>
      <c r="I56" s="431"/>
      <c r="J56" s="431"/>
      <c r="K56" s="431"/>
      <c r="L56" s="431"/>
      <c r="M56" s="441"/>
      <c r="N56" s="216"/>
      <c r="O56" s="124"/>
      <c r="P56" s="446"/>
      <c r="Q56" s="447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/>
      <c r="B57" s="440"/>
      <c r="C57" s="217"/>
      <c r="D57" s="217"/>
      <c r="E57" s="217"/>
      <c r="F57" s="431"/>
      <c r="G57" s="431"/>
      <c r="H57" s="431"/>
      <c r="I57" s="431"/>
      <c r="J57" s="431"/>
      <c r="K57" s="431"/>
      <c r="L57" s="431"/>
      <c r="M57" s="441"/>
      <c r="N57" s="216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217"/>
      <c r="D58" s="217"/>
      <c r="E58" s="217"/>
      <c r="F58" s="431"/>
      <c r="G58" s="431"/>
      <c r="H58" s="431"/>
      <c r="I58" s="431"/>
      <c r="J58" s="431"/>
      <c r="K58" s="431"/>
      <c r="L58" s="431"/>
      <c r="M58" s="441"/>
      <c r="N58" s="216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217"/>
      <c r="D59" s="217"/>
      <c r="E59" s="217"/>
      <c r="F59" s="431"/>
      <c r="G59" s="431"/>
      <c r="H59" s="431"/>
      <c r="I59" s="431"/>
      <c r="J59" s="431"/>
      <c r="K59" s="431"/>
      <c r="L59" s="431"/>
      <c r="M59" s="441"/>
      <c r="N59" s="216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219"/>
      <c r="D60" s="219"/>
      <c r="E60" s="219"/>
      <c r="F60" s="489"/>
      <c r="G60" s="489"/>
      <c r="H60" s="489"/>
      <c r="I60" s="489"/>
      <c r="J60" s="489"/>
      <c r="K60" s="489"/>
      <c r="L60" s="489"/>
      <c r="M60" s="490"/>
      <c r="N60" s="218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596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220" t="s">
        <v>2</v>
      </c>
      <c r="D62" s="220" t="s">
        <v>37</v>
      </c>
      <c r="E62" s="220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220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597</v>
      </c>
      <c r="D63" s="223"/>
      <c r="E63" s="221"/>
      <c r="F63" s="429" t="s">
        <v>598</v>
      </c>
      <c r="G63" s="421"/>
      <c r="H63" s="421"/>
      <c r="I63" s="421"/>
      <c r="J63" s="421"/>
      <c r="K63" s="421">
        <v>7301</v>
      </c>
      <c r="L63" s="421"/>
      <c r="M63" s="54" t="s">
        <v>599</v>
      </c>
      <c r="N63" s="421">
        <v>3</v>
      </c>
      <c r="O63" s="421"/>
      <c r="P63" s="430">
        <v>100</v>
      </c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 t="s">
        <v>600</v>
      </c>
      <c r="D64" s="223"/>
      <c r="E64" s="221"/>
      <c r="F64" s="429" t="s">
        <v>601</v>
      </c>
      <c r="G64" s="421"/>
      <c r="H64" s="421"/>
      <c r="I64" s="421"/>
      <c r="J64" s="421"/>
      <c r="K64" s="421">
        <v>8301</v>
      </c>
      <c r="L64" s="421"/>
      <c r="M64" s="54" t="s">
        <v>602</v>
      </c>
      <c r="N64" s="421">
        <v>12</v>
      </c>
      <c r="O64" s="421"/>
      <c r="P64" s="430">
        <v>100</v>
      </c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/>
      <c r="D65" s="223"/>
      <c r="E65" s="221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/>
      <c r="D66" s="223"/>
      <c r="E66" s="221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223"/>
      <c r="E67" s="221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223"/>
      <c r="E68" s="221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223"/>
      <c r="E69" s="221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223"/>
      <c r="E70" s="221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603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222" t="s">
        <v>2</v>
      </c>
      <c r="D72" s="222" t="s">
        <v>37</v>
      </c>
      <c r="E72" s="222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224" t="s">
        <v>114</v>
      </c>
      <c r="D73" s="224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223" t="s">
        <v>114</v>
      </c>
      <c r="D74" s="223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223"/>
      <c r="D75" s="223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223"/>
      <c r="D76" s="223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223"/>
      <c r="D77" s="223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223"/>
      <c r="D78" s="223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223"/>
      <c r="D79" s="223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223"/>
      <c r="D80" s="223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223"/>
      <c r="D81" s="223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604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/>
      <c r="D84" s="397"/>
      <c r="E84" s="397"/>
      <c r="F84" s="397"/>
      <c r="G84" s="397"/>
      <c r="H84" s="397"/>
      <c r="I84" s="397"/>
      <c r="J84" s="397"/>
      <c r="K84" s="397"/>
      <c r="L84" s="397"/>
      <c r="M84" s="397"/>
      <c r="N84" s="397"/>
      <c r="O84" s="397"/>
      <c r="P84" s="397"/>
      <c r="Q84" s="397"/>
      <c r="R84" s="397"/>
      <c r="S84" s="397"/>
      <c r="T84" s="397"/>
      <c r="U84" s="397"/>
      <c r="V84" s="398"/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F86"/>
  <sheetViews>
    <sheetView topLeftCell="A43" zoomScale="72" zoomScaleNormal="72" zoomScaleSheetLayoutView="70" workbookViewId="0">
      <selection activeCell="C63" sqref="C63:Q6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605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35" t="s">
        <v>17</v>
      </c>
      <c r="L5" s="235" t="s">
        <v>18</v>
      </c>
      <c r="M5" s="235" t="s">
        <v>19</v>
      </c>
      <c r="N5" s="23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0.26095538677338875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0.26095538677338875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540</v>
      </c>
      <c r="D8" s="55" t="s">
        <v>541</v>
      </c>
      <c r="E8" s="57" t="s">
        <v>542</v>
      </c>
      <c r="F8" s="33" t="s">
        <v>543</v>
      </c>
      <c r="G8" s="36">
        <v>1</v>
      </c>
      <c r="H8" s="38">
        <v>25</v>
      </c>
      <c r="I8" s="7">
        <v>2000</v>
      </c>
      <c r="J8" s="5">
        <v>2060</v>
      </c>
      <c r="K8" s="15">
        <f>L8+2059</f>
        <v>2059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0.26095538677338875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495</v>
      </c>
      <c r="D9" s="55" t="s">
        <v>583</v>
      </c>
      <c r="E9" s="57" t="s">
        <v>584</v>
      </c>
      <c r="F9" s="12" t="s">
        <v>585</v>
      </c>
      <c r="G9" s="12">
        <v>1</v>
      </c>
      <c r="H9" s="13">
        <v>25</v>
      </c>
      <c r="I9" s="7">
        <v>200</v>
      </c>
      <c r="J9" s="5">
        <v>320</v>
      </c>
      <c r="K9" s="15">
        <f>L9+320</f>
        <v>320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0.26095538677338875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606</v>
      </c>
      <c r="D10" s="55" t="s">
        <v>607</v>
      </c>
      <c r="E10" s="57" t="s">
        <v>608</v>
      </c>
      <c r="F10" s="12" t="s">
        <v>609</v>
      </c>
      <c r="G10" s="12">
        <v>2</v>
      </c>
      <c r="H10" s="13">
        <v>25</v>
      </c>
      <c r="I10" s="7">
        <v>3000</v>
      </c>
      <c r="J10" s="14">
        <v>6300</v>
      </c>
      <c r="K10" s="15">
        <f>L10</f>
        <v>6292</v>
      </c>
      <c r="L10" s="15">
        <f>1718*2+1428*2</f>
        <v>6292</v>
      </c>
      <c r="M10" s="16">
        <f t="shared" si="0"/>
        <v>6292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/>
      <c r="T10" s="17">
        <v>5</v>
      </c>
      <c r="U10" s="17"/>
      <c r="V10" s="18"/>
      <c r="W10" s="19"/>
      <c r="X10" s="17"/>
      <c r="Y10" s="20"/>
      <c r="Z10" s="20"/>
      <c r="AA10" s="21"/>
      <c r="AB10" s="8">
        <f t="shared" si="4"/>
        <v>0.99873015873015869</v>
      </c>
      <c r="AC10" s="9">
        <f t="shared" si="5"/>
        <v>0.79166666666666663</v>
      </c>
      <c r="AD10" s="10">
        <f t="shared" si="6"/>
        <v>0.79066137566137562</v>
      </c>
      <c r="AE10" s="39">
        <f t="shared" si="7"/>
        <v>0.26095538677338875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380</v>
      </c>
      <c r="D11" s="55" t="s">
        <v>381</v>
      </c>
      <c r="E11" s="57" t="s">
        <v>382</v>
      </c>
      <c r="F11" s="12" t="s">
        <v>383</v>
      </c>
      <c r="G11" s="12">
        <v>1</v>
      </c>
      <c r="H11" s="13">
        <v>25</v>
      </c>
      <c r="I11" s="34">
        <v>4000</v>
      </c>
      <c r="J11" s="5">
        <v>1852</v>
      </c>
      <c r="K11" s="15">
        <f>L11+3461+4240+1852</f>
        <v>9553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0.26095538677338875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495</v>
      </c>
      <c r="D12" s="55" t="s">
        <v>499</v>
      </c>
      <c r="E12" s="57" t="s">
        <v>500</v>
      </c>
      <c r="F12" s="12" t="s">
        <v>447</v>
      </c>
      <c r="G12" s="12">
        <v>1</v>
      </c>
      <c r="H12" s="13">
        <v>25</v>
      </c>
      <c r="I12" s="7">
        <v>30000</v>
      </c>
      <c r="J12" s="14">
        <v>4005</v>
      </c>
      <c r="K12" s="15">
        <f>L12+1359+1862</f>
        <v>7226</v>
      </c>
      <c r="L12" s="15">
        <f>2960+1045</f>
        <v>4005</v>
      </c>
      <c r="M12" s="16">
        <f t="shared" si="0"/>
        <v>4005</v>
      </c>
      <c r="N12" s="16">
        <v>0</v>
      </c>
      <c r="O12" s="62">
        <f t="shared" si="1"/>
        <v>0</v>
      </c>
      <c r="P12" s="42">
        <f t="shared" si="2"/>
        <v>22</v>
      </c>
      <c r="Q12" s="43">
        <f t="shared" si="3"/>
        <v>2</v>
      </c>
      <c r="R12" s="7"/>
      <c r="S12" s="6">
        <v>2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0.91666666666666663</v>
      </c>
      <c r="AD12" s="10">
        <f t="shared" si="6"/>
        <v>0.91666666666666663</v>
      </c>
      <c r="AE12" s="39">
        <f t="shared" si="7"/>
        <v>0.26095538677338875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123</v>
      </c>
      <c r="E13" s="57" t="s">
        <v>145</v>
      </c>
      <c r="F13" s="12" t="s">
        <v>132</v>
      </c>
      <c r="G13" s="12">
        <v>1</v>
      </c>
      <c r="H13" s="13">
        <v>25</v>
      </c>
      <c r="I13" s="7">
        <v>28000</v>
      </c>
      <c r="J13" s="14">
        <v>3900</v>
      </c>
      <c r="K13" s="15">
        <f>L13+2514+5794</f>
        <v>12205</v>
      </c>
      <c r="L13" s="15">
        <f>1628+2269</f>
        <v>3897</v>
      </c>
      <c r="M13" s="16">
        <f t="shared" si="0"/>
        <v>3897</v>
      </c>
      <c r="N13" s="16">
        <v>0</v>
      </c>
      <c r="O13" s="62">
        <f t="shared" si="1"/>
        <v>0</v>
      </c>
      <c r="P13" s="42">
        <f t="shared" si="2"/>
        <v>19</v>
      </c>
      <c r="Q13" s="43">
        <f t="shared" si="3"/>
        <v>5</v>
      </c>
      <c r="R13" s="7"/>
      <c r="S13" s="6">
        <v>5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0.99923076923076926</v>
      </c>
      <c r="AC13" s="9">
        <f t="shared" si="5"/>
        <v>0.79166666666666663</v>
      </c>
      <c r="AD13" s="10">
        <f t="shared" si="6"/>
        <v>0.7910576923076923</v>
      </c>
      <c r="AE13" s="39">
        <f t="shared" si="7"/>
        <v>0.26095538677338875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501</v>
      </c>
      <c r="F14" s="33" t="s">
        <v>502</v>
      </c>
      <c r="G14" s="36">
        <v>1</v>
      </c>
      <c r="H14" s="38">
        <v>25</v>
      </c>
      <c r="I14" s="7">
        <v>400</v>
      </c>
      <c r="J14" s="5">
        <v>434</v>
      </c>
      <c r="K14" s="15">
        <f>L14+434</f>
        <v>434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0.26095538677338875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288</v>
      </c>
      <c r="D15" s="55" t="s">
        <v>289</v>
      </c>
      <c r="E15" s="57" t="s">
        <v>290</v>
      </c>
      <c r="F15" s="12" t="s">
        <v>291</v>
      </c>
      <c r="G15" s="12">
        <v>8</v>
      </c>
      <c r="H15" s="13">
        <v>24</v>
      </c>
      <c r="I15" s="34">
        <v>20000</v>
      </c>
      <c r="J15" s="14">
        <v>32361</v>
      </c>
      <c r="K15" s="15">
        <f>L15+23296+32361</f>
        <v>55657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0.26095538677338875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138</v>
      </c>
      <c r="E16" s="57" t="s">
        <v>139</v>
      </c>
      <c r="F16" s="33" t="s">
        <v>134</v>
      </c>
      <c r="G16" s="36">
        <v>1</v>
      </c>
      <c r="H16" s="38">
        <v>25</v>
      </c>
      <c r="I16" s="7">
        <v>12000</v>
      </c>
      <c r="J16" s="5">
        <v>4150</v>
      </c>
      <c r="K16" s="15">
        <f>L16+4095+4538+4147</f>
        <v>12780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0.26095538677338875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504</v>
      </c>
      <c r="D17" s="55" t="s">
        <v>505</v>
      </c>
      <c r="E17" s="57" t="s">
        <v>547</v>
      </c>
      <c r="F17" s="12" t="s">
        <v>507</v>
      </c>
      <c r="G17" s="12">
        <v>1</v>
      </c>
      <c r="H17" s="13">
        <v>24</v>
      </c>
      <c r="I17" s="34">
        <v>1500</v>
      </c>
      <c r="J17" s="14">
        <v>1686</v>
      </c>
      <c r="K17" s="15">
        <f>L17+1686</f>
        <v>1686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0.26095538677338875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548</v>
      </c>
      <c r="D18" s="55" t="s">
        <v>549</v>
      </c>
      <c r="E18" s="57" t="s">
        <v>550</v>
      </c>
      <c r="F18" s="12" t="s">
        <v>551</v>
      </c>
      <c r="G18" s="36">
        <v>1</v>
      </c>
      <c r="H18" s="38">
        <v>30</v>
      </c>
      <c r="I18" s="7">
        <v>8000</v>
      </c>
      <c r="J18" s="5">
        <v>2090</v>
      </c>
      <c r="K18" s="15">
        <f>L18+3026+5292</f>
        <v>10401</v>
      </c>
      <c r="L18" s="15">
        <f>2083</f>
        <v>2083</v>
      </c>
      <c r="M18" s="16">
        <f t="shared" si="0"/>
        <v>2083</v>
      </c>
      <c r="N18" s="16">
        <v>0</v>
      </c>
      <c r="O18" s="62">
        <f t="shared" si="1"/>
        <v>0</v>
      </c>
      <c r="P18" s="42">
        <f t="shared" si="2"/>
        <v>10</v>
      </c>
      <c r="Q18" s="43">
        <f t="shared" si="3"/>
        <v>14</v>
      </c>
      <c r="R18" s="7"/>
      <c r="S18" s="6"/>
      <c r="T18" s="17"/>
      <c r="U18" s="17"/>
      <c r="V18" s="18"/>
      <c r="W18" s="19">
        <v>14</v>
      </c>
      <c r="X18" s="17"/>
      <c r="Y18" s="20"/>
      <c r="Z18" s="20"/>
      <c r="AA18" s="21"/>
      <c r="AB18" s="8">
        <f t="shared" si="4"/>
        <v>0.99665071770334923</v>
      </c>
      <c r="AC18" s="9">
        <f t="shared" si="5"/>
        <v>0.41666666666666669</v>
      </c>
      <c r="AD18" s="10">
        <f t="shared" si="6"/>
        <v>0.41527113237639551</v>
      </c>
      <c r="AE18" s="39">
        <f t="shared" si="7"/>
        <v>0.26095538677338875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342</v>
      </c>
      <c r="D19" s="55" t="s">
        <v>343</v>
      </c>
      <c r="E19" s="57" t="s">
        <v>552</v>
      </c>
      <c r="F19" s="33" t="s">
        <v>345</v>
      </c>
      <c r="G19" s="12">
        <v>1</v>
      </c>
      <c r="H19" s="13">
        <v>25</v>
      </c>
      <c r="I19" s="34">
        <v>10000</v>
      </c>
      <c r="J19" s="5">
        <v>971</v>
      </c>
      <c r="K19" s="15">
        <f>L19+1172+971</f>
        <v>2143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>
        <v>24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0.26095538677338875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140</v>
      </c>
      <c r="F20" s="12" t="s">
        <v>122</v>
      </c>
      <c r="G20" s="12">
        <v>4</v>
      </c>
      <c r="H20" s="38">
        <v>20</v>
      </c>
      <c r="I20" s="7">
        <v>140000</v>
      </c>
      <c r="J20" s="14">
        <v>50450</v>
      </c>
      <c r="K20" s="15">
        <f>L20+38596+45712</f>
        <v>134792</v>
      </c>
      <c r="L20" s="15">
        <f>5216*4+7405*4</f>
        <v>50484</v>
      </c>
      <c r="M20" s="16">
        <f t="shared" si="0"/>
        <v>50484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1.0006739345887017</v>
      </c>
      <c r="AC20" s="9">
        <f t="shared" si="5"/>
        <v>1</v>
      </c>
      <c r="AD20" s="10">
        <f t="shared" si="6"/>
        <v>1.0006739345887017</v>
      </c>
      <c r="AE20" s="39">
        <f t="shared" si="7"/>
        <v>0.26095538677338875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460100</v>
      </c>
      <c r="J21" s="22">
        <f t="shared" si="9"/>
        <v>148219</v>
      </c>
      <c r="K21" s="23">
        <f t="shared" si="9"/>
        <v>442826</v>
      </c>
      <c r="L21" s="24">
        <f t="shared" si="9"/>
        <v>66761</v>
      </c>
      <c r="M21" s="23">
        <f t="shared" si="9"/>
        <v>66761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94</v>
      </c>
      <c r="Q21" s="46">
        <f t="shared" si="10"/>
        <v>266</v>
      </c>
      <c r="R21" s="26">
        <f t="shared" si="10"/>
        <v>24</v>
      </c>
      <c r="S21" s="27">
        <f t="shared" si="10"/>
        <v>55</v>
      </c>
      <c r="T21" s="27">
        <f t="shared" si="10"/>
        <v>5</v>
      </c>
      <c r="U21" s="27">
        <f t="shared" si="10"/>
        <v>0</v>
      </c>
      <c r="V21" s="28">
        <f t="shared" si="10"/>
        <v>0</v>
      </c>
      <c r="W21" s="29">
        <f t="shared" si="10"/>
        <v>182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0.33301903868353194</v>
      </c>
      <c r="AC21" s="4">
        <f>SUM(AC6:AC20)/15</f>
        <v>0.26111111111111113</v>
      </c>
      <c r="AD21" s="4">
        <f>SUM(AD6:AD20)/15</f>
        <v>0.26095538677338875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610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617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34" t="s">
        <v>46</v>
      </c>
      <c r="D50" s="234" t="s">
        <v>47</v>
      </c>
      <c r="E50" s="234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34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495</v>
      </c>
      <c r="B51" s="440"/>
      <c r="C51" s="231" t="s">
        <v>590</v>
      </c>
      <c r="D51" s="231" t="s">
        <v>544</v>
      </c>
      <c r="E51" s="231" t="s">
        <v>591</v>
      </c>
      <c r="F51" s="431" t="s">
        <v>611</v>
      </c>
      <c r="G51" s="431"/>
      <c r="H51" s="431"/>
      <c r="I51" s="431"/>
      <c r="J51" s="431"/>
      <c r="K51" s="431"/>
      <c r="L51" s="431"/>
      <c r="M51" s="441"/>
      <c r="N51" s="230" t="s">
        <v>370</v>
      </c>
      <c r="O51" s="124" t="s">
        <v>618</v>
      </c>
      <c r="P51" s="440" t="s">
        <v>614</v>
      </c>
      <c r="Q51" s="440"/>
      <c r="R51" s="440" t="s">
        <v>615</v>
      </c>
      <c r="S51" s="440"/>
      <c r="T51" s="440"/>
      <c r="U51" s="440"/>
      <c r="V51" s="431" t="s">
        <v>481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612</v>
      </c>
      <c r="B52" s="440"/>
      <c r="C52" s="231" t="s">
        <v>613</v>
      </c>
      <c r="D52" s="231" t="s">
        <v>614</v>
      </c>
      <c r="E52" s="231" t="s">
        <v>615</v>
      </c>
      <c r="F52" s="431" t="s">
        <v>616</v>
      </c>
      <c r="G52" s="431"/>
      <c r="H52" s="431"/>
      <c r="I52" s="431"/>
      <c r="J52" s="431"/>
      <c r="K52" s="431"/>
      <c r="L52" s="431"/>
      <c r="M52" s="441"/>
      <c r="N52" s="230" t="s">
        <v>619</v>
      </c>
      <c r="O52" s="124" t="s">
        <v>620</v>
      </c>
      <c r="P52" s="440" t="s">
        <v>621</v>
      </c>
      <c r="Q52" s="440"/>
      <c r="R52" s="440" t="s">
        <v>622</v>
      </c>
      <c r="S52" s="440"/>
      <c r="T52" s="440"/>
      <c r="U52" s="440"/>
      <c r="V52" s="431" t="s">
        <v>623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/>
      <c r="B53" s="440"/>
      <c r="C53" s="231"/>
      <c r="D53" s="231"/>
      <c r="E53" s="231"/>
      <c r="F53" s="431"/>
      <c r="G53" s="431"/>
      <c r="H53" s="431"/>
      <c r="I53" s="431"/>
      <c r="J53" s="431"/>
      <c r="K53" s="431"/>
      <c r="L53" s="431"/>
      <c r="M53" s="441"/>
      <c r="N53" s="230"/>
      <c r="O53" s="124"/>
      <c r="P53" s="440"/>
      <c r="Q53" s="440"/>
      <c r="R53" s="440"/>
      <c r="S53" s="440"/>
      <c r="T53" s="440"/>
      <c r="U53" s="440"/>
      <c r="V53" s="431"/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/>
      <c r="B54" s="440"/>
      <c r="C54" s="231"/>
      <c r="D54" s="231"/>
      <c r="E54" s="231"/>
      <c r="F54" s="431"/>
      <c r="G54" s="431"/>
      <c r="H54" s="431"/>
      <c r="I54" s="431"/>
      <c r="J54" s="431"/>
      <c r="K54" s="431"/>
      <c r="L54" s="431"/>
      <c r="M54" s="441"/>
      <c r="N54" s="230"/>
      <c r="O54" s="124"/>
      <c r="P54" s="440"/>
      <c r="Q54" s="440"/>
      <c r="R54" s="440"/>
      <c r="S54" s="440"/>
      <c r="T54" s="440"/>
      <c r="U54" s="440"/>
      <c r="V54" s="431"/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/>
      <c r="B55" s="440"/>
      <c r="C55" s="231"/>
      <c r="D55" s="231"/>
      <c r="E55" s="231"/>
      <c r="F55" s="431"/>
      <c r="G55" s="431"/>
      <c r="H55" s="431"/>
      <c r="I55" s="431"/>
      <c r="J55" s="431"/>
      <c r="K55" s="431"/>
      <c r="L55" s="431"/>
      <c r="M55" s="441"/>
      <c r="N55" s="230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/>
      <c r="B56" s="440"/>
      <c r="C56" s="231"/>
      <c r="D56" s="231"/>
      <c r="E56" s="231"/>
      <c r="F56" s="431"/>
      <c r="G56" s="431"/>
      <c r="H56" s="431"/>
      <c r="I56" s="431"/>
      <c r="J56" s="431"/>
      <c r="K56" s="431"/>
      <c r="L56" s="431"/>
      <c r="M56" s="441"/>
      <c r="N56" s="230"/>
      <c r="O56" s="124"/>
      <c r="P56" s="446"/>
      <c r="Q56" s="447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/>
      <c r="B57" s="440"/>
      <c r="C57" s="231"/>
      <c r="D57" s="231"/>
      <c r="E57" s="231"/>
      <c r="F57" s="431"/>
      <c r="G57" s="431"/>
      <c r="H57" s="431"/>
      <c r="I57" s="431"/>
      <c r="J57" s="431"/>
      <c r="K57" s="431"/>
      <c r="L57" s="431"/>
      <c r="M57" s="441"/>
      <c r="N57" s="230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231"/>
      <c r="D58" s="231"/>
      <c r="E58" s="231"/>
      <c r="F58" s="431"/>
      <c r="G58" s="431"/>
      <c r="H58" s="431"/>
      <c r="I58" s="431"/>
      <c r="J58" s="431"/>
      <c r="K58" s="431"/>
      <c r="L58" s="431"/>
      <c r="M58" s="441"/>
      <c r="N58" s="230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231"/>
      <c r="D59" s="231"/>
      <c r="E59" s="231"/>
      <c r="F59" s="431"/>
      <c r="G59" s="431"/>
      <c r="H59" s="431"/>
      <c r="I59" s="431"/>
      <c r="J59" s="431"/>
      <c r="K59" s="431"/>
      <c r="L59" s="431"/>
      <c r="M59" s="441"/>
      <c r="N59" s="230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233"/>
      <c r="D60" s="233"/>
      <c r="E60" s="233"/>
      <c r="F60" s="489"/>
      <c r="G60" s="489"/>
      <c r="H60" s="489"/>
      <c r="I60" s="489"/>
      <c r="J60" s="489"/>
      <c r="K60" s="489"/>
      <c r="L60" s="489"/>
      <c r="M60" s="490"/>
      <c r="N60" s="232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624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229" t="s">
        <v>2</v>
      </c>
      <c r="D62" s="229" t="s">
        <v>37</v>
      </c>
      <c r="E62" s="229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229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612</v>
      </c>
      <c r="D63" s="225"/>
      <c r="E63" s="228" t="s">
        <v>625</v>
      </c>
      <c r="F63" s="429" t="s">
        <v>626</v>
      </c>
      <c r="G63" s="421"/>
      <c r="H63" s="421"/>
      <c r="I63" s="421"/>
      <c r="J63" s="421"/>
      <c r="K63" s="421" t="s">
        <v>627</v>
      </c>
      <c r="L63" s="421"/>
      <c r="M63" s="54" t="s">
        <v>628</v>
      </c>
      <c r="N63" s="421">
        <v>6</v>
      </c>
      <c r="O63" s="421"/>
      <c r="P63" s="430">
        <v>50</v>
      </c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 t="s">
        <v>612</v>
      </c>
      <c r="D64" s="225"/>
      <c r="E64" s="228" t="s">
        <v>630</v>
      </c>
      <c r="F64" s="429" t="s">
        <v>631</v>
      </c>
      <c r="G64" s="421"/>
      <c r="H64" s="421"/>
      <c r="I64" s="421"/>
      <c r="J64" s="421"/>
      <c r="K64" s="421" t="s">
        <v>629</v>
      </c>
      <c r="L64" s="421"/>
      <c r="M64" s="54" t="s">
        <v>602</v>
      </c>
      <c r="N64" s="421">
        <v>4</v>
      </c>
      <c r="O64" s="421"/>
      <c r="P64" s="430">
        <v>50</v>
      </c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/>
      <c r="D65" s="225"/>
      <c r="E65" s="228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/>
      <c r="D66" s="225"/>
      <c r="E66" s="228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225"/>
      <c r="E67" s="228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225"/>
      <c r="E68" s="228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225"/>
      <c r="E69" s="228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225"/>
      <c r="E70" s="228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632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227" t="s">
        <v>2</v>
      </c>
      <c r="D72" s="227" t="s">
        <v>37</v>
      </c>
      <c r="E72" s="227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226" t="s">
        <v>114</v>
      </c>
      <c r="D73" s="226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225" t="s">
        <v>114</v>
      </c>
      <c r="D74" s="225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225"/>
      <c r="D75" s="225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225"/>
      <c r="D76" s="225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225"/>
      <c r="D77" s="225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225"/>
      <c r="D78" s="225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225"/>
      <c r="D79" s="225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225"/>
      <c r="D80" s="225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225"/>
      <c r="D81" s="225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633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/>
      <c r="D84" s="397"/>
      <c r="E84" s="397"/>
      <c r="F84" s="397"/>
      <c r="G84" s="397"/>
      <c r="H84" s="397"/>
      <c r="I84" s="397"/>
      <c r="J84" s="397"/>
      <c r="K84" s="397"/>
      <c r="L84" s="397"/>
      <c r="M84" s="397"/>
      <c r="N84" s="397"/>
      <c r="O84" s="397"/>
      <c r="P84" s="397"/>
      <c r="Q84" s="397"/>
      <c r="R84" s="397"/>
      <c r="S84" s="397"/>
      <c r="T84" s="397"/>
      <c r="U84" s="397"/>
      <c r="V84" s="398"/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F86"/>
  <sheetViews>
    <sheetView zoomScale="72" zoomScaleNormal="72" zoomScaleSheetLayoutView="70" workbookViewId="0">
      <selection activeCell="L16" sqref="L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634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36" t="s">
        <v>17</v>
      </c>
      <c r="L5" s="236" t="s">
        <v>18</v>
      </c>
      <c r="M5" s="236" t="s">
        <v>19</v>
      </c>
      <c r="N5" s="23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0.28607906564963342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0.28607906564963342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540</v>
      </c>
      <c r="D8" s="55" t="s">
        <v>541</v>
      </c>
      <c r="E8" s="57" t="s">
        <v>542</v>
      </c>
      <c r="F8" s="33" t="s">
        <v>543</v>
      </c>
      <c r="G8" s="36">
        <v>1</v>
      </c>
      <c r="H8" s="38">
        <v>25</v>
      </c>
      <c r="I8" s="7">
        <v>2000</v>
      </c>
      <c r="J8" s="5">
        <v>2060</v>
      </c>
      <c r="K8" s="15">
        <f>L8+2059</f>
        <v>2059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0.28607906564963342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495</v>
      </c>
      <c r="D9" s="55" t="s">
        <v>635</v>
      </c>
      <c r="E9" s="57" t="s">
        <v>636</v>
      </c>
      <c r="F9" s="12" t="s">
        <v>637</v>
      </c>
      <c r="G9" s="12">
        <v>1</v>
      </c>
      <c r="H9" s="13">
        <v>25</v>
      </c>
      <c r="I9" s="7">
        <v>1200</v>
      </c>
      <c r="J9" s="5">
        <v>3584</v>
      </c>
      <c r="K9" s="15">
        <f>L9</f>
        <v>3584</v>
      </c>
      <c r="L9" s="15">
        <f>216+3368</f>
        <v>3584</v>
      </c>
      <c r="M9" s="16">
        <f t="shared" si="0"/>
        <v>3584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/>
      <c r="S9" s="6"/>
      <c r="T9" s="17">
        <v>5</v>
      </c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9">
        <f t="shared" si="7"/>
        <v>0.28607906564963342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606</v>
      </c>
      <c r="D10" s="55" t="s">
        <v>607</v>
      </c>
      <c r="E10" s="57" t="s">
        <v>608</v>
      </c>
      <c r="F10" s="12" t="s">
        <v>609</v>
      </c>
      <c r="G10" s="12">
        <v>2</v>
      </c>
      <c r="H10" s="13">
        <v>25</v>
      </c>
      <c r="I10" s="7">
        <v>3000</v>
      </c>
      <c r="J10" s="14">
        <v>6300</v>
      </c>
      <c r="K10" s="15">
        <f>L10+6292</f>
        <v>6292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0.28607906564963342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380</v>
      </c>
      <c r="D11" s="55" t="s">
        <v>381</v>
      </c>
      <c r="E11" s="57" t="s">
        <v>382</v>
      </c>
      <c r="F11" s="12" t="s">
        <v>383</v>
      </c>
      <c r="G11" s="12">
        <v>1</v>
      </c>
      <c r="H11" s="13">
        <v>25</v>
      </c>
      <c r="I11" s="34">
        <v>4000</v>
      </c>
      <c r="J11" s="5">
        <v>1852</v>
      </c>
      <c r="K11" s="15">
        <f>L11+3461+4240+1852</f>
        <v>9553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0.28607906564963342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495</v>
      </c>
      <c r="D12" s="55" t="s">
        <v>499</v>
      </c>
      <c r="E12" s="57" t="s">
        <v>500</v>
      </c>
      <c r="F12" s="12" t="s">
        <v>447</v>
      </c>
      <c r="G12" s="12">
        <v>1</v>
      </c>
      <c r="H12" s="13">
        <v>25</v>
      </c>
      <c r="I12" s="7">
        <v>30000</v>
      </c>
      <c r="J12" s="14">
        <v>5480</v>
      </c>
      <c r="K12" s="15">
        <f>L12+1359+1862+4005</f>
        <v>12704</v>
      </c>
      <c r="L12" s="15">
        <f>2860+2618</f>
        <v>5478</v>
      </c>
      <c r="M12" s="16">
        <f t="shared" si="0"/>
        <v>5478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0.99963503649635033</v>
      </c>
      <c r="AC12" s="9">
        <f t="shared" si="5"/>
        <v>1</v>
      </c>
      <c r="AD12" s="10">
        <f t="shared" si="6"/>
        <v>0.99963503649635033</v>
      </c>
      <c r="AE12" s="39">
        <f t="shared" si="7"/>
        <v>0.28607906564963342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123</v>
      </c>
      <c r="E13" s="57" t="s">
        <v>145</v>
      </c>
      <c r="F13" s="12" t="s">
        <v>132</v>
      </c>
      <c r="G13" s="12">
        <v>1</v>
      </c>
      <c r="H13" s="13">
        <v>25</v>
      </c>
      <c r="I13" s="7">
        <v>28000</v>
      </c>
      <c r="J13" s="14">
        <v>4264</v>
      </c>
      <c r="K13" s="15">
        <f>L13+2514+5794+3897</f>
        <v>16469</v>
      </c>
      <c r="L13" s="15">
        <f>1042+2985+237</f>
        <v>4264</v>
      </c>
      <c r="M13" s="16">
        <f t="shared" si="0"/>
        <v>4264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>
        <v>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9">
        <f t="shared" si="7"/>
        <v>0.28607906564963342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501</v>
      </c>
      <c r="F14" s="33" t="s">
        <v>502</v>
      </c>
      <c r="G14" s="36">
        <v>1</v>
      </c>
      <c r="H14" s="38">
        <v>25</v>
      </c>
      <c r="I14" s="7">
        <v>400</v>
      </c>
      <c r="J14" s="5">
        <v>434</v>
      </c>
      <c r="K14" s="15">
        <f>L14+434</f>
        <v>434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0.28607906564963342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288</v>
      </c>
      <c r="D15" s="55" t="s">
        <v>289</v>
      </c>
      <c r="E15" s="57" t="s">
        <v>290</v>
      </c>
      <c r="F15" s="12" t="s">
        <v>291</v>
      </c>
      <c r="G15" s="12">
        <v>8</v>
      </c>
      <c r="H15" s="13">
        <v>24</v>
      </c>
      <c r="I15" s="34">
        <v>20000</v>
      </c>
      <c r="J15" s="14">
        <v>32361</v>
      </c>
      <c r="K15" s="15">
        <f>L15+23296+32361</f>
        <v>55657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0.28607906564963342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138</v>
      </c>
      <c r="E16" s="57" t="s">
        <v>139</v>
      </c>
      <c r="F16" s="33" t="s">
        <v>134</v>
      </c>
      <c r="G16" s="36">
        <v>1</v>
      </c>
      <c r="H16" s="38">
        <v>25</v>
      </c>
      <c r="I16" s="7">
        <v>12000</v>
      </c>
      <c r="J16" s="5">
        <v>4150</v>
      </c>
      <c r="K16" s="15">
        <f>L16+4095+4538+4147</f>
        <v>12780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0.28607906564963342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504</v>
      </c>
      <c r="D17" s="55" t="s">
        <v>505</v>
      </c>
      <c r="E17" s="57" t="s">
        <v>547</v>
      </c>
      <c r="F17" s="12" t="s">
        <v>507</v>
      </c>
      <c r="G17" s="12">
        <v>1</v>
      </c>
      <c r="H17" s="13">
        <v>24</v>
      </c>
      <c r="I17" s="34">
        <v>1500</v>
      </c>
      <c r="J17" s="14">
        <v>1686</v>
      </c>
      <c r="K17" s="15">
        <f>L17+1686</f>
        <v>1686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0.28607906564963342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638</v>
      </c>
      <c r="D18" s="55" t="s">
        <v>639</v>
      </c>
      <c r="E18" s="57" t="s">
        <v>640</v>
      </c>
      <c r="F18" s="12" t="s">
        <v>641</v>
      </c>
      <c r="G18" s="36">
        <v>1</v>
      </c>
      <c r="H18" s="38">
        <v>30</v>
      </c>
      <c r="I18" s="7">
        <v>3000</v>
      </c>
      <c r="J18" s="5">
        <v>2262</v>
      </c>
      <c r="K18" s="15">
        <f>L18</f>
        <v>2262</v>
      </c>
      <c r="L18" s="15">
        <f>2262</f>
        <v>2262</v>
      </c>
      <c r="M18" s="16">
        <f t="shared" si="0"/>
        <v>2262</v>
      </c>
      <c r="N18" s="16">
        <v>0</v>
      </c>
      <c r="O18" s="62">
        <f t="shared" si="1"/>
        <v>0</v>
      </c>
      <c r="P18" s="42">
        <f t="shared" si="2"/>
        <v>16</v>
      </c>
      <c r="Q18" s="43">
        <f t="shared" si="3"/>
        <v>8</v>
      </c>
      <c r="R18" s="7"/>
      <c r="S18" s="6">
        <v>8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0.66666666666666663</v>
      </c>
      <c r="AD18" s="10">
        <f t="shared" si="6"/>
        <v>0.66666666666666663</v>
      </c>
      <c r="AE18" s="39">
        <f t="shared" si="7"/>
        <v>0.28607906564963342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342</v>
      </c>
      <c r="D19" s="55" t="s">
        <v>343</v>
      </c>
      <c r="E19" s="57" t="s">
        <v>552</v>
      </c>
      <c r="F19" s="33" t="s">
        <v>345</v>
      </c>
      <c r="G19" s="12">
        <v>1</v>
      </c>
      <c r="H19" s="13">
        <v>25</v>
      </c>
      <c r="I19" s="34">
        <v>10000</v>
      </c>
      <c r="J19" s="5">
        <v>971</v>
      </c>
      <c r="K19" s="15">
        <f>L19+1172+971</f>
        <v>2143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>
        <v>24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0.28607906564963342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140</v>
      </c>
      <c r="F20" s="12" t="s">
        <v>122</v>
      </c>
      <c r="G20" s="12">
        <v>4</v>
      </c>
      <c r="H20" s="38">
        <v>20</v>
      </c>
      <c r="I20" s="7">
        <v>140000</v>
      </c>
      <c r="J20" s="14">
        <v>51850</v>
      </c>
      <c r="K20" s="15">
        <f>L20+38596+45712+50484</f>
        <v>186636</v>
      </c>
      <c r="L20" s="15">
        <f>6124*4+6837*4</f>
        <v>51844</v>
      </c>
      <c r="M20" s="16">
        <f t="shared" si="0"/>
        <v>51844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0.99988428158148501</v>
      </c>
      <c r="AC20" s="9">
        <f t="shared" si="5"/>
        <v>1</v>
      </c>
      <c r="AD20" s="10">
        <f t="shared" si="6"/>
        <v>0.99988428158148501</v>
      </c>
      <c r="AE20" s="39">
        <f t="shared" si="7"/>
        <v>0.28607906564963342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456100</v>
      </c>
      <c r="J21" s="22">
        <f t="shared" si="9"/>
        <v>154894</v>
      </c>
      <c r="K21" s="23">
        <f t="shared" si="9"/>
        <v>499537</v>
      </c>
      <c r="L21" s="24">
        <f t="shared" si="9"/>
        <v>67432</v>
      </c>
      <c r="M21" s="23">
        <f t="shared" si="9"/>
        <v>67432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103</v>
      </c>
      <c r="Q21" s="46">
        <f t="shared" si="10"/>
        <v>257</v>
      </c>
      <c r="R21" s="26">
        <f t="shared" si="10"/>
        <v>24</v>
      </c>
      <c r="S21" s="27">
        <f t="shared" si="10"/>
        <v>60</v>
      </c>
      <c r="T21" s="27">
        <f t="shared" si="10"/>
        <v>5</v>
      </c>
      <c r="U21" s="27">
        <f t="shared" si="10"/>
        <v>0</v>
      </c>
      <c r="V21" s="28">
        <f t="shared" si="10"/>
        <v>0</v>
      </c>
      <c r="W21" s="29">
        <f t="shared" si="10"/>
        <v>168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0.3333012878718557</v>
      </c>
      <c r="AC21" s="4">
        <f>SUM(AC6:AC20)/15</f>
        <v>0.28611111111111109</v>
      </c>
      <c r="AD21" s="4">
        <f>SUM(AD6:AD20)/15</f>
        <v>0.28607906564963342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642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652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37" t="s">
        <v>46</v>
      </c>
      <c r="D50" s="237" t="s">
        <v>47</v>
      </c>
      <c r="E50" s="237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37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125</v>
      </c>
      <c r="B51" s="440"/>
      <c r="C51" s="239" t="s">
        <v>613</v>
      </c>
      <c r="D51" s="239" t="s">
        <v>583</v>
      </c>
      <c r="E51" s="239" t="s">
        <v>615</v>
      </c>
      <c r="F51" s="431" t="s">
        <v>643</v>
      </c>
      <c r="G51" s="431"/>
      <c r="H51" s="431"/>
      <c r="I51" s="431"/>
      <c r="J51" s="431"/>
      <c r="K51" s="431"/>
      <c r="L51" s="431"/>
      <c r="M51" s="441"/>
      <c r="N51" s="238" t="s">
        <v>114</v>
      </c>
      <c r="O51" s="124" t="s">
        <v>620</v>
      </c>
      <c r="P51" s="440" t="s">
        <v>621</v>
      </c>
      <c r="Q51" s="440"/>
      <c r="R51" s="440" t="s">
        <v>622</v>
      </c>
      <c r="S51" s="440"/>
      <c r="T51" s="440"/>
      <c r="U51" s="440"/>
      <c r="V51" s="431" t="s">
        <v>643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644</v>
      </c>
      <c r="B52" s="440"/>
      <c r="C52" s="239" t="s">
        <v>645</v>
      </c>
      <c r="D52" s="239" t="s">
        <v>646</v>
      </c>
      <c r="E52" s="239" t="s">
        <v>647</v>
      </c>
      <c r="F52" s="431" t="s">
        <v>648</v>
      </c>
      <c r="G52" s="431"/>
      <c r="H52" s="431"/>
      <c r="I52" s="431"/>
      <c r="J52" s="431"/>
      <c r="K52" s="431"/>
      <c r="L52" s="431"/>
      <c r="M52" s="441"/>
      <c r="N52" s="238"/>
      <c r="O52" s="124"/>
      <c r="P52" s="440"/>
      <c r="Q52" s="440"/>
      <c r="R52" s="440"/>
      <c r="S52" s="440"/>
      <c r="T52" s="440"/>
      <c r="U52" s="440"/>
      <c r="V52" s="431"/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638</v>
      </c>
      <c r="B53" s="440"/>
      <c r="C53" s="239" t="s">
        <v>649</v>
      </c>
      <c r="D53" s="239" t="s">
        <v>650</v>
      </c>
      <c r="E53" s="239" t="s">
        <v>640</v>
      </c>
      <c r="F53" s="431" t="s">
        <v>651</v>
      </c>
      <c r="G53" s="431"/>
      <c r="H53" s="431"/>
      <c r="I53" s="431"/>
      <c r="J53" s="431"/>
      <c r="K53" s="431"/>
      <c r="L53" s="431"/>
      <c r="M53" s="441"/>
      <c r="N53" s="238"/>
      <c r="O53" s="124"/>
      <c r="P53" s="440"/>
      <c r="Q53" s="440"/>
      <c r="R53" s="440"/>
      <c r="S53" s="440"/>
      <c r="T53" s="440"/>
      <c r="U53" s="440"/>
      <c r="V53" s="431"/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/>
      <c r="B54" s="440"/>
      <c r="C54" s="239"/>
      <c r="D54" s="239"/>
      <c r="E54" s="239"/>
      <c r="F54" s="431"/>
      <c r="G54" s="431"/>
      <c r="H54" s="431"/>
      <c r="I54" s="431"/>
      <c r="J54" s="431"/>
      <c r="K54" s="431"/>
      <c r="L54" s="431"/>
      <c r="M54" s="441"/>
      <c r="N54" s="238"/>
      <c r="O54" s="124"/>
      <c r="P54" s="440"/>
      <c r="Q54" s="440"/>
      <c r="R54" s="440"/>
      <c r="S54" s="440"/>
      <c r="T54" s="440"/>
      <c r="U54" s="440"/>
      <c r="V54" s="431"/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/>
      <c r="B55" s="440"/>
      <c r="C55" s="239"/>
      <c r="D55" s="239"/>
      <c r="E55" s="239"/>
      <c r="F55" s="431"/>
      <c r="G55" s="431"/>
      <c r="H55" s="431"/>
      <c r="I55" s="431"/>
      <c r="J55" s="431"/>
      <c r="K55" s="431"/>
      <c r="L55" s="431"/>
      <c r="M55" s="441"/>
      <c r="N55" s="238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/>
      <c r="B56" s="440"/>
      <c r="C56" s="239"/>
      <c r="D56" s="239"/>
      <c r="E56" s="239"/>
      <c r="F56" s="431"/>
      <c r="G56" s="431"/>
      <c r="H56" s="431"/>
      <c r="I56" s="431"/>
      <c r="J56" s="431"/>
      <c r="K56" s="431"/>
      <c r="L56" s="431"/>
      <c r="M56" s="441"/>
      <c r="N56" s="238"/>
      <c r="O56" s="124"/>
      <c r="P56" s="446"/>
      <c r="Q56" s="447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/>
      <c r="B57" s="440"/>
      <c r="C57" s="239"/>
      <c r="D57" s="239"/>
      <c r="E57" s="239"/>
      <c r="F57" s="431"/>
      <c r="G57" s="431"/>
      <c r="H57" s="431"/>
      <c r="I57" s="431"/>
      <c r="J57" s="431"/>
      <c r="K57" s="431"/>
      <c r="L57" s="431"/>
      <c r="M57" s="441"/>
      <c r="N57" s="238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239"/>
      <c r="D58" s="239"/>
      <c r="E58" s="239"/>
      <c r="F58" s="431"/>
      <c r="G58" s="431"/>
      <c r="H58" s="431"/>
      <c r="I58" s="431"/>
      <c r="J58" s="431"/>
      <c r="K58" s="431"/>
      <c r="L58" s="431"/>
      <c r="M58" s="441"/>
      <c r="N58" s="238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239"/>
      <c r="D59" s="239"/>
      <c r="E59" s="239"/>
      <c r="F59" s="431"/>
      <c r="G59" s="431"/>
      <c r="H59" s="431"/>
      <c r="I59" s="431"/>
      <c r="J59" s="431"/>
      <c r="K59" s="431"/>
      <c r="L59" s="431"/>
      <c r="M59" s="441"/>
      <c r="N59" s="238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241"/>
      <c r="D60" s="241"/>
      <c r="E60" s="241"/>
      <c r="F60" s="489"/>
      <c r="G60" s="489"/>
      <c r="H60" s="489"/>
      <c r="I60" s="489"/>
      <c r="J60" s="489"/>
      <c r="K60" s="489"/>
      <c r="L60" s="489"/>
      <c r="M60" s="490"/>
      <c r="N60" s="240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653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242" t="s">
        <v>2</v>
      </c>
      <c r="D62" s="242" t="s">
        <v>37</v>
      </c>
      <c r="E62" s="242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242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/>
      <c r="D63" s="245"/>
      <c r="E63" s="243"/>
      <c r="F63" s="429"/>
      <c r="G63" s="421"/>
      <c r="H63" s="421"/>
      <c r="I63" s="421"/>
      <c r="J63" s="421"/>
      <c r="K63" s="421"/>
      <c r="L63" s="421"/>
      <c r="M63" s="54"/>
      <c r="N63" s="421"/>
      <c r="O63" s="421"/>
      <c r="P63" s="430"/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/>
      <c r="D64" s="245"/>
      <c r="E64" s="243"/>
      <c r="F64" s="429"/>
      <c r="G64" s="421"/>
      <c r="H64" s="421"/>
      <c r="I64" s="421"/>
      <c r="J64" s="421"/>
      <c r="K64" s="421"/>
      <c r="L64" s="421"/>
      <c r="M64" s="54"/>
      <c r="N64" s="421"/>
      <c r="O64" s="421"/>
      <c r="P64" s="430"/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/>
      <c r="D65" s="245"/>
      <c r="E65" s="243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/>
      <c r="D66" s="245"/>
      <c r="E66" s="243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245"/>
      <c r="E67" s="243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245"/>
      <c r="E68" s="243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245"/>
      <c r="E69" s="243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245"/>
      <c r="E70" s="243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654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244" t="s">
        <v>2</v>
      </c>
      <c r="D72" s="244" t="s">
        <v>37</v>
      </c>
      <c r="E72" s="244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246" t="s">
        <v>114</v>
      </c>
      <c r="D73" s="246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245" t="s">
        <v>114</v>
      </c>
      <c r="D74" s="245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245"/>
      <c r="D75" s="245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245"/>
      <c r="D76" s="245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245"/>
      <c r="D77" s="245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245"/>
      <c r="D78" s="245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245"/>
      <c r="D79" s="245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245"/>
      <c r="D80" s="245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245"/>
      <c r="D81" s="245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655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/>
      <c r="D84" s="397"/>
      <c r="E84" s="397"/>
      <c r="F84" s="397"/>
      <c r="G84" s="397"/>
      <c r="H84" s="397"/>
      <c r="I84" s="397"/>
      <c r="J84" s="397"/>
      <c r="K84" s="397"/>
      <c r="L84" s="397"/>
      <c r="M84" s="397"/>
      <c r="N84" s="397"/>
      <c r="O84" s="397"/>
      <c r="P84" s="397"/>
      <c r="Q84" s="397"/>
      <c r="R84" s="397"/>
      <c r="S84" s="397"/>
      <c r="T84" s="397"/>
      <c r="U84" s="397"/>
      <c r="V84" s="398"/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656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57" t="s">
        <v>17</v>
      </c>
      <c r="L5" s="257" t="s">
        <v>18</v>
      </c>
      <c r="M5" s="257" t="s">
        <v>19</v>
      </c>
      <c r="N5" s="25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0.27625274472120448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0.27625274472120448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540</v>
      </c>
      <c r="D8" s="55" t="s">
        <v>218</v>
      </c>
      <c r="E8" s="57" t="s">
        <v>542</v>
      </c>
      <c r="F8" s="33" t="s">
        <v>543</v>
      </c>
      <c r="G8" s="36">
        <v>1</v>
      </c>
      <c r="H8" s="38">
        <v>25</v>
      </c>
      <c r="I8" s="7">
        <v>2000</v>
      </c>
      <c r="J8" s="5">
        <v>2060</v>
      </c>
      <c r="K8" s="15">
        <f>L8+2059</f>
        <v>2059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0.27625274472120448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495</v>
      </c>
      <c r="D9" s="55" t="s">
        <v>635</v>
      </c>
      <c r="E9" s="57" t="s">
        <v>636</v>
      </c>
      <c r="F9" s="12" t="s">
        <v>637</v>
      </c>
      <c r="G9" s="12">
        <v>1</v>
      </c>
      <c r="H9" s="13">
        <v>25</v>
      </c>
      <c r="I9" s="7">
        <v>1200</v>
      </c>
      <c r="J9" s="5">
        <v>3584</v>
      </c>
      <c r="K9" s="15">
        <f>L9+3584</f>
        <v>3584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0.27625274472120448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606</v>
      </c>
      <c r="D10" s="55" t="s">
        <v>607</v>
      </c>
      <c r="E10" s="57" t="s">
        <v>608</v>
      </c>
      <c r="F10" s="12" t="s">
        <v>609</v>
      </c>
      <c r="G10" s="12">
        <v>2</v>
      </c>
      <c r="H10" s="13">
        <v>25</v>
      </c>
      <c r="I10" s="7">
        <v>3000</v>
      </c>
      <c r="J10" s="14">
        <v>6300</v>
      </c>
      <c r="K10" s="15">
        <f>L10+6292</f>
        <v>6292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0.27625274472120448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657</v>
      </c>
      <c r="D11" s="55" t="s">
        <v>658</v>
      </c>
      <c r="E11" s="57" t="s">
        <v>659</v>
      </c>
      <c r="F11" s="12" t="s">
        <v>660</v>
      </c>
      <c r="G11" s="12">
        <v>1</v>
      </c>
      <c r="H11" s="13">
        <v>25</v>
      </c>
      <c r="I11" s="34">
        <v>2500</v>
      </c>
      <c r="J11" s="5">
        <v>2962</v>
      </c>
      <c r="K11" s="15">
        <f>L11</f>
        <v>2962</v>
      </c>
      <c r="L11" s="15">
        <v>2962</v>
      </c>
      <c r="M11" s="16">
        <f t="shared" si="0"/>
        <v>2962</v>
      </c>
      <c r="N11" s="16">
        <v>0</v>
      </c>
      <c r="O11" s="62">
        <f t="shared" si="1"/>
        <v>0</v>
      </c>
      <c r="P11" s="42">
        <f t="shared" si="2"/>
        <v>16</v>
      </c>
      <c r="Q11" s="43">
        <f t="shared" si="3"/>
        <v>8</v>
      </c>
      <c r="R11" s="7"/>
      <c r="S11" s="6"/>
      <c r="T11" s="17">
        <v>8</v>
      </c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0.66666666666666663</v>
      </c>
      <c r="AD11" s="10">
        <f t="shared" si="6"/>
        <v>0.66666666666666663</v>
      </c>
      <c r="AE11" s="39">
        <f t="shared" si="7"/>
        <v>0.27625274472120448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495</v>
      </c>
      <c r="D12" s="55" t="s">
        <v>499</v>
      </c>
      <c r="E12" s="57" t="s">
        <v>301</v>
      </c>
      <c r="F12" s="12" t="s">
        <v>447</v>
      </c>
      <c r="G12" s="12">
        <v>1</v>
      </c>
      <c r="H12" s="13">
        <v>25</v>
      </c>
      <c r="I12" s="7">
        <v>30000</v>
      </c>
      <c r="J12" s="14">
        <v>5480</v>
      </c>
      <c r="K12" s="15">
        <f>L12+1359+1862+4005+5478</f>
        <v>18520</v>
      </c>
      <c r="L12" s="15">
        <f>3251+2565</f>
        <v>5816</v>
      </c>
      <c r="M12" s="16">
        <f t="shared" si="0"/>
        <v>5816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1.0613138686131387</v>
      </c>
      <c r="AC12" s="9">
        <f t="shared" si="5"/>
        <v>1</v>
      </c>
      <c r="AD12" s="10">
        <f t="shared" si="6"/>
        <v>1.0613138686131387</v>
      </c>
      <c r="AE12" s="39">
        <f t="shared" si="7"/>
        <v>0.27625274472120448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123</v>
      </c>
      <c r="E13" s="57" t="s">
        <v>145</v>
      </c>
      <c r="F13" s="12" t="s">
        <v>132</v>
      </c>
      <c r="G13" s="12">
        <v>1</v>
      </c>
      <c r="H13" s="13">
        <v>25</v>
      </c>
      <c r="I13" s="7">
        <v>28000</v>
      </c>
      <c r="J13" s="14">
        <v>2651</v>
      </c>
      <c r="K13" s="15">
        <f>L13+2514+5794+3897+4264</f>
        <v>19120</v>
      </c>
      <c r="L13" s="15">
        <f>1124+1527</f>
        <v>2651</v>
      </c>
      <c r="M13" s="16">
        <f t="shared" si="0"/>
        <v>2651</v>
      </c>
      <c r="N13" s="16">
        <v>0</v>
      </c>
      <c r="O13" s="62">
        <f t="shared" si="1"/>
        <v>0</v>
      </c>
      <c r="P13" s="42">
        <f t="shared" si="2"/>
        <v>14</v>
      </c>
      <c r="Q13" s="43">
        <f t="shared" si="3"/>
        <v>10</v>
      </c>
      <c r="R13" s="7"/>
      <c r="S13" s="6">
        <v>10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0.58333333333333337</v>
      </c>
      <c r="AD13" s="10">
        <f t="shared" si="6"/>
        <v>0.58333333333333337</v>
      </c>
      <c r="AE13" s="39">
        <f t="shared" si="7"/>
        <v>0.27625274472120448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501</v>
      </c>
      <c r="F14" s="33" t="s">
        <v>502</v>
      </c>
      <c r="G14" s="36">
        <v>1</v>
      </c>
      <c r="H14" s="38">
        <v>25</v>
      </c>
      <c r="I14" s="7">
        <v>400</v>
      </c>
      <c r="J14" s="5">
        <v>434</v>
      </c>
      <c r="K14" s="15">
        <f>L14+434</f>
        <v>434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0.27625274472120448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288</v>
      </c>
      <c r="D15" s="55" t="s">
        <v>289</v>
      </c>
      <c r="E15" s="57" t="s">
        <v>290</v>
      </c>
      <c r="F15" s="12" t="s">
        <v>291</v>
      </c>
      <c r="G15" s="12">
        <v>8</v>
      </c>
      <c r="H15" s="13">
        <v>24</v>
      </c>
      <c r="I15" s="34">
        <v>20000</v>
      </c>
      <c r="J15" s="14">
        <v>32361</v>
      </c>
      <c r="K15" s="15">
        <f>L15+23296+32361</f>
        <v>55657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0.27625274472120448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138</v>
      </c>
      <c r="E16" s="57" t="s">
        <v>139</v>
      </c>
      <c r="F16" s="33" t="s">
        <v>134</v>
      </c>
      <c r="G16" s="36">
        <v>1</v>
      </c>
      <c r="H16" s="38">
        <v>25</v>
      </c>
      <c r="I16" s="7">
        <v>12000</v>
      </c>
      <c r="J16" s="5">
        <v>4150</v>
      </c>
      <c r="K16" s="15">
        <f>L16+4095+4538+4147</f>
        <v>12780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0.27625274472120448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202</v>
      </c>
      <c r="D17" s="55" t="s">
        <v>431</v>
      </c>
      <c r="E17" s="57" t="s">
        <v>529</v>
      </c>
      <c r="F17" s="12" t="s">
        <v>507</v>
      </c>
      <c r="G17" s="12">
        <v>1</v>
      </c>
      <c r="H17" s="13">
        <v>24</v>
      </c>
      <c r="I17" s="34">
        <v>1500</v>
      </c>
      <c r="J17" s="14">
        <v>1686</v>
      </c>
      <c r="K17" s="15">
        <f>L17+1686</f>
        <v>1686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0.27625274472120448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284</v>
      </c>
      <c r="D18" s="55" t="s">
        <v>639</v>
      </c>
      <c r="E18" s="57" t="s">
        <v>458</v>
      </c>
      <c r="F18" s="12" t="s">
        <v>641</v>
      </c>
      <c r="G18" s="36">
        <v>1</v>
      </c>
      <c r="H18" s="38">
        <v>30</v>
      </c>
      <c r="I18" s="7">
        <v>3000</v>
      </c>
      <c r="J18" s="5">
        <v>3556</v>
      </c>
      <c r="K18" s="15">
        <f>L18+2262</f>
        <v>5818</v>
      </c>
      <c r="L18" s="15">
        <f>1886+1670</f>
        <v>3556</v>
      </c>
      <c r="M18" s="16">
        <f t="shared" si="0"/>
        <v>3556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>
        <v>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9">
        <f t="shared" si="7"/>
        <v>0.27625274472120448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342</v>
      </c>
      <c r="D19" s="55" t="s">
        <v>138</v>
      </c>
      <c r="E19" s="57" t="s">
        <v>525</v>
      </c>
      <c r="F19" s="33" t="s">
        <v>345</v>
      </c>
      <c r="G19" s="12">
        <v>1</v>
      </c>
      <c r="H19" s="13">
        <v>25</v>
      </c>
      <c r="I19" s="34">
        <v>10000</v>
      </c>
      <c r="J19" s="5">
        <v>971</v>
      </c>
      <c r="K19" s="15">
        <f>L19+1172+971</f>
        <v>2143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>
        <v>24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0.27625274472120448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140</v>
      </c>
      <c r="F20" s="12" t="s">
        <v>122</v>
      </c>
      <c r="G20" s="12">
        <v>4</v>
      </c>
      <c r="H20" s="38">
        <v>20</v>
      </c>
      <c r="I20" s="7">
        <v>140000</v>
      </c>
      <c r="J20" s="14">
        <v>51400</v>
      </c>
      <c r="K20" s="15">
        <f>L20+38596+45712+50484+51844</f>
        <v>237992</v>
      </c>
      <c r="L20" s="15">
        <f>6734*4+6105*4</f>
        <v>51356</v>
      </c>
      <c r="M20" s="16">
        <f t="shared" si="0"/>
        <v>51356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0.99914396887159529</v>
      </c>
      <c r="AC20" s="9">
        <f t="shared" si="5"/>
        <v>1</v>
      </c>
      <c r="AD20" s="10">
        <f t="shared" si="6"/>
        <v>0.99914396887159529</v>
      </c>
      <c r="AE20" s="39">
        <f t="shared" si="7"/>
        <v>0.27625274472120448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454600</v>
      </c>
      <c r="J21" s="22">
        <f t="shared" si="9"/>
        <v>155235</v>
      </c>
      <c r="K21" s="23">
        <f t="shared" si="9"/>
        <v>556325</v>
      </c>
      <c r="L21" s="24">
        <f t="shared" si="9"/>
        <v>66341</v>
      </c>
      <c r="M21" s="23">
        <f t="shared" si="9"/>
        <v>66341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98</v>
      </c>
      <c r="Q21" s="46">
        <f t="shared" si="10"/>
        <v>262</v>
      </c>
      <c r="R21" s="26">
        <f t="shared" si="10"/>
        <v>24</v>
      </c>
      <c r="S21" s="27">
        <f t="shared" si="10"/>
        <v>38</v>
      </c>
      <c r="T21" s="27">
        <f t="shared" si="10"/>
        <v>8</v>
      </c>
      <c r="U21" s="27">
        <f t="shared" si="10"/>
        <v>0</v>
      </c>
      <c r="V21" s="28">
        <f t="shared" si="10"/>
        <v>0</v>
      </c>
      <c r="W21" s="29">
        <f t="shared" si="10"/>
        <v>168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24</v>
      </c>
      <c r="AB21" s="31">
        <f>SUM(AB6:AB20)/15</f>
        <v>0.33736385583231565</v>
      </c>
      <c r="AC21" s="4">
        <f>SUM(AC6:AC20)/15</f>
        <v>0.27222222222222225</v>
      </c>
      <c r="AD21" s="4">
        <f>SUM(AD6:AD20)/15</f>
        <v>0.27625274472120448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661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665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56" t="s">
        <v>46</v>
      </c>
      <c r="D50" s="256" t="s">
        <v>47</v>
      </c>
      <c r="E50" s="256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56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125</v>
      </c>
      <c r="B51" s="440"/>
      <c r="C51" s="253" t="s">
        <v>204</v>
      </c>
      <c r="D51" s="253" t="s">
        <v>123</v>
      </c>
      <c r="E51" s="253" t="s">
        <v>203</v>
      </c>
      <c r="F51" s="431" t="s">
        <v>662</v>
      </c>
      <c r="G51" s="431"/>
      <c r="H51" s="431"/>
      <c r="I51" s="431"/>
      <c r="J51" s="431"/>
      <c r="K51" s="431"/>
      <c r="L51" s="431"/>
      <c r="M51" s="441"/>
      <c r="N51" s="252" t="s">
        <v>657</v>
      </c>
      <c r="O51" s="124" t="s">
        <v>204</v>
      </c>
      <c r="P51" s="440" t="s">
        <v>666</v>
      </c>
      <c r="Q51" s="440"/>
      <c r="R51" s="440" t="s">
        <v>667</v>
      </c>
      <c r="S51" s="440"/>
      <c r="T51" s="440"/>
      <c r="U51" s="440"/>
      <c r="V51" s="431" t="s">
        <v>196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147</v>
      </c>
      <c r="B52" s="440"/>
      <c r="C52" s="253" t="s">
        <v>357</v>
      </c>
      <c r="D52" s="253" t="s">
        <v>126</v>
      </c>
      <c r="E52" s="253" t="s">
        <v>659</v>
      </c>
      <c r="F52" s="431" t="s">
        <v>663</v>
      </c>
      <c r="G52" s="431"/>
      <c r="H52" s="431"/>
      <c r="I52" s="431"/>
      <c r="J52" s="431"/>
      <c r="K52" s="431"/>
      <c r="L52" s="431"/>
      <c r="M52" s="441"/>
      <c r="N52" s="252" t="s">
        <v>668</v>
      </c>
      <c r="O52" s="124" t="s">
        <v>669</v>
      </c>
      <c r="P52" s="440" t="s">
        <v>666</v>
      </c>
      <c r="Q52" s="440"/>
      <c r="R52" s="440" t="s">
        <v>670</v>
      </c>
      <c r="S52" s="440"/>
      <c r="T52" s="440"/>
      <c r="U52" s="440"/>
      <c r="V52" s="431" t="s">
        <v>671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284</v>
      </c>
      <c r="B53" s="440"/>
      <c r="C53" s="253" t="s">
        <v>194</v>
      </c>
      <c r="D53" s="253" t="s">
        <v>650</v>
      </c>
      <c r="E53" s="253" t="s">
        <v>458</v>
      </c>
      <c r="F53" s="431" t="s">
        <v>664</v>
      </c>
      <c r="G53" s="431"/>
      <c r="H53" s="431"/>
      <c r="I53" s="431"/>
      <c r="J53" s="431"/>
      <c r="K53" s="431"/>
      <c r="L53" s="431"/>
      <c r="M53" s="441"/>
      <c r="N53" s="252" t="s">
        <v>673</v>
      </c>
      <c r="O53" s="124" t="s">
        <v>674</v>
      </c>
      <c r="P53" s="440" t="s">
        <v>675</v>
      </c>
      <c r="Q53" s="440"/>
      <c r="R53" s="440" t="s">
        <v>672</v>
      </c>
      <c r="S53" s="440"/>
      <c r="T53" s="440"/>
      <c r="U53" s="440"/>
      <c r="V53" s="431" t="s">
        <v>671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/>
      <c r="B54" s="440"/>
      <c r="C54" s="253"/>
      <c r="D54" s="253"/>
      <c r="E54" s="253"/>
      <c r="F54" s="431"/>
      <c r="G54" s="431"/>
      <c r="H54" s="431"/>
      <c r="I54" s="431"/>
      <c r="J54" s="431"/>
      <c r="K54" s="431"/>
      <c r="L54" s="431"/>
      <c r="M54" s="441"/>
      <c r="N54" s="252" t="s">
        <v>677</v>
      </c>
      <c r="O54" s="124" t="s">
        <v>678</v>
      </c>
      <c r="P54" s="440"/>
      <c r="Q54" s="440"/>
      <c r="R54" s="440" t="s">
        <v>676</v>
      </c>
      <c r="S54" s="440"/>
      <c r="T54" s="440"/>
      <c r="U54" s="440"/>
      <c r="V54" s="431" t="s">
        <v>671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/>
      <c r="B55" s="440"/>
      <c r="C55" s="253"/>
      <c r="D55" s="253"/>
      <c r="E55" s="253"/>
      <c r="F55" s="431"/>
      <c r="G55" s="431"/>
      <c r="H55" s="431"/>
      <c r="I55" s="431"/>
      <c r="J55" s="431"/>
      <c r="K55" s="431"/>
      <c r="L55" s="431"/>
      <c r="M55" s="441"/>
      <c r="N55" s="252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/>
      <c r="B56" s="440"/>
      <c r="C56" s="253"/>
      <c r="D56" s="253"/>
      <c r="E56" s="253"/>
      <c r="F56" s="431"/>
      <c r="G56" s="431"/>
      <c r="H56" s="431"/>
      <c r="I56" s="431"/>
      <c r="J56" s="431"/>
      <c r="K56" s="431"/>
      <c r="L56" s="431"/>
      <c r="M56" s="441"/>
      <c r="N56" s="252"/>
      <c r="O56" s="124"/>
      <c r="P56" s="446"/>
      <c r="Q56" s="447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/>
      <c r="B57" s="440"/>
      <c r="C57" s="253"/>
      <c r="D57" s="253"/>
      <c r="E57" s="253"/>
      <c r="F57" s="431"/>
      <c r="G57" s="431"/>
      <c r="H57" s="431"/>
      <c r="I57" s="431"/>
      <c r="J57" s="431"/>
      <c r="K57" s="431"/>
      <c r="L57" s="431"/>
      <c r="M57" s="441"/>
      <c r="N57" s="252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253"/>
      <c r="D58" s="253"/>
      <c r="E58" s="253"/>
      <c r="F58" s="431"/>
      <c r="G58" s="431"/>
      <c r="H58" s="431"/>
      <c r="I58" s="431"/>
      <c r="J58" s="431"/>
      <c r="K58" s="431"/>
      <c r="L58" s="431"/>
      <c r="M58" s="441"/>
      <c r="N58" s="252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253"/>
      <c r="D59" s="253"/>
      <c r="E59" s="253"/>
      <c r="F59" s="431"/>
      <c r="G59" s="431"/>
      <c r="H59" s="431"/>
      <c r="I59" s="431"/>
      <c r="J59" s="431"/>
      <c r="K59" s="431"/>
      <c r="L59" s="431"/>
      <c r="M59" s="441"/>
      <c r="N59" s="252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255"/>
      <c r="D60" s="255"/>
      <c r="E60" s="255"/>
      <c r="F60" s="489"/>
      <c r="G60" s="489"/>
      <c r="H60" s="489"/>
      <c r="I60" s="489"/>
      <c r="J60" s="489"/>
      <c r="K60" s="489"/>
      <c r="L60" s="489"/>
      <c r="M60" s="490"/>
      <c r="N60" s="254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679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251" t="s">
        <v>2</v>
      </c>
      <c r="D62" s="251" t="s">
        <v>37</v>
      </c>
      <c r="E62" s="251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251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548</v>
      </c>
      <c r="D63" s="247"/>
      <c r="E63" s="250" t="s">
        <v>126</v>
      </c>
      <c r="F63" s="429" t="s">
        <v>626</v>
      </c>
      <c r="G63" s="421"/>
      <c r="H63" s="421"/>
      <c r="I63" s="421"/>
      <c r="J63" s="421"/>
      <c r="K63" s="421" t="s">
        <v>133</v>
      </c>
      <c r="L63" s="421"/>
      <c r="M63" s="54" t="s">
        <v>426</v>
      </c>
      <c r="N63" s="421">
        <v>6</v>
      </c>
      <c r="O63" s="421"/>
      <c r="P63" s="430">
        <v>50</v>
      </c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 t="s">
        <v>548</v>
      </c>
      <c r="D64" s="247"/>
      <c r="E64" s="250" t="s">
        <v>630</v>
      </c>
      <c r="F64" s="429" t="s">
        <v>631</v>
      </c>
      <c r="G64" s="421"/>
      <c r="H64" s="421"/>
      <c r="I64" s="421"/>
      <c r="J64" s="421"/>
      <c r="K64" s="421" t="s">
        <v>680</v>
      </c>
      <c r="L64" s="421"/>
      <c r="M64" s="54" t="s">
        <v>426</v>
      </c>
      <c r="N64" s="421">
        <v>4</v>
      </c>
      <c r="O64" s="421"/>
      <c r="P64" s="430">
        <v>50</v>
      </c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 t="s">
        <v>668</v>
      </c>
      <c r="D65" s="247"/>
      <c r="E65" s="250" t="s">
        <v>681</v>
      </c>
      <c r="F65" s="429" t="s">
        <v>682</v>
      </c>
      <c r="G65" s="421"/>
      <c r="H65" s="421"/>
      <c r="I65" s="421"/>
      <c r="J65" s="421"/>
      <c r="K65" s="421">
        <v>7301</v>
      </c>
      <c r="L65" s="421"/>
      <c r="M65" s="54" t="s">
        <v>683</v>
      </c>
      <c r="N65" s="421">
        <v>13</v>
      </c>
      <c r="O65" s="421"/>
      <c r="P65" s="430">
        <v>50</v>
      </c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 t="s">
        <v>673</v>
      </c>
      <c r="D66" s="247"/>
      <c r="E66" s="250" t="s">
        <v>675</v>
      </c>
      <c r="F66" s="429" t="s">
        <v>672</v>
      </c>
      <c r="G66" s="421"/>
      <c r="H66" s="421"/>
      <c r="I66" s="421"/>
      <c r="J66" s="421"/>
      <c r="K66" s="421">
        <v>7301</v>
      </c>
      <c r="L66" s="421"/>
      <c r="M66" s="54" t="s">
        <v>684</v>
      </c>
      <c r="N66" s="421">
        <v>5</v>
      </c>
      <c r="O66" s="421"/>
      <c r="P66" s="430">
        <v>100</v>
      </c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247"/>
      <c r="E67" s="250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247"/>
      <c r="E68" s="250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247"/>
      <c r="E69" s="250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247"/>
      <c r="E70" s="250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685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249" t="s">
        <v>2</v>
      </c>
      <c r="D72" s="249" t="s">
        <v>37</v>
      </c>
      <c r="E72" s="249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248" t="s">
        <v>114</v>
      </c>
      <c r="D73" s="248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247" t="s">
        <v>114</v>
      </c>
      <c r="D74" s="247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247"/>
      <c r="D75" s="247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247"/>
      <c r="D76" s="247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247"/>
      <c r="D77" s="247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247"/>
      <c r="D78" s="247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247"/>
      <c r="D79" s="247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247"/>
      <c r="D80" s="247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247"/>
      <c r="D81" s="247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686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/>
      <c r="D84" s="397"/>
      <c r="E84" s="397"/>
      <c r="F84" s="397"/>
      <c r="G84" s="397"/>
      <c r="H84" s="397"/>
      <c r="I84" s="397"/>
      <c r="J84" s="397"/>
      <c r="K84" s="397"/>
      <c r="L84" s="397"/>
      <c r="M84" s="397"/>
      <c r="N84" s="397"/>
      <c r="O84" s="397"/>
      <c r="P84" s="397"/>
      <c r="Q84" s="397"/>
      <c r="R84" s="397"/>
      <c r="S84" s="397"/>
      <c r="T84" s="397"/>
      <c r="U84" s="397"/>
      <c r="V84" s="398"/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F86"/>
  <sheetViews>
    <sheetView zoomScale="72" zoomScaleNormal="72" zoomScaleSheetLayoutView="70" workbookViewId="0">
      <selection activeCell="L16" sqref="L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687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58" t="s">
        <v>17</v>
      </c>
      <c r="L5" s="258" t="s">
        <v>18</v>
      </c>
      <c r="M5" s="258" t="s">
        <v>19</v>
      </c>
      <c r="N5" s="25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0.23872432249626238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0.23872432249626238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540</v>
      </c>
      <c r="D8" s="55" t="s">
        <v>218</v>
      </c>
      <c r="E8" s="57" t="s">
        <v>542</v>
      </c>
      <c r="F8" s="33" t="s">
        <v>543</v>
      </c>
      <c r="G8" s="36">
        <v>1</v>
      </c>
      <c r="H8" s="38">
        <v>25</v>
      </c>
      <c r="I8" s="7">
        <v>2000</v>
      </c>
      <c r="J8" s="5">
        <v>2060</v>
      </c>
      <c r="K8" s="15">
        <f>L8+2059</f>
        <v>2059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0.23872432249626238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495</v>
      </c>
      <c r="D9" s="55" t="s">
        <v>635</v>
      </c>
      <c r="E9" s="57" t="s">
        <v>636</v>
      </c>
      <c r="F9" s="12" t="s">
        <v>637</v>
      </c>
      <c r="G9" s="12">
        <v>1</v>
      </c>
      <c r="H9" s="13">
        <v>25</v>
      </c>
      <c r="I9" s="7">
        <v>1200</v>
      </c>
      <c r="J9" s="5">
        <v>3584</v>
      </c>
      <c r="K9" s="15">
        <f>L9+3584</f>
        <v>3584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0.23872432249626238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606</v>
      </c>
      <c r="D10" s="55" t="s">
        <v>607</v>
      </c>
      <c r="E10" s="57" t="s">
        <v>608</v>
      </c>
      <c r="F10" s="12" t="s">
        <v>609</v>
      </c>
      <c r="G10" s="12">
        <v>2</v>
      </c>
      <c r="H10" s="13">
        <v>25</v>
      </c>
      <c r="I10" s="7">
        <v>3000</v>
      </c>
      <c r="J10" s="14">
        <v>6300</v>
      </c>
      <c r="K10" s="15">
        <f>L10+6292</f>
        <v>6292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0.23872432249626238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688</v>
      </c>
      <c r="D11" s="55" t="s">
        <v>689</v>
      </c>
      <c r="E11" s="57" t="s">
        <v>690</v>
      </c>
      <c r="F11" s="12">
        <v>8301</v>
      </c>
      <c r="G11" s="12">
        <v>1</v>
      </c>
      <c r="H11" s="13">
        <v>25</v>
      </c>
      <c r="I11" s="34">
        <v>800</v>
      </c>
      <c r="J11" s="5">
        <v>2490</v>
      </c>
      <c r="K11" s="15">
        <f>L11</f>
        <v>2488</v>
      </c>
      <c r="L11" s="15">
        <f>2488</f>
        <v>2488</v>
      </c>
      <c r="M11" s="16">
        <f t="shared" si="0"/>
        <v>2488</v>
      </c>
      <c r="N11" s="16">
        <v>0</v>
      </c>
      <c r="O11" s="62">
        <f t="shared" si="1"/>
        <v>0</v>
      </c>
      <c r="P11" s="42">
        <f t="shared" si="2"/>
        <v>14</v>
      </c>
      <c r="Q11" s="43">
        <f t="shared" si="3"/>
        <v>10</v>
      </c>
      <c r="R11" s="7"/>
      <c r="S11" s="6">
        <v>8</v>
      </c>
      <c r="T11" s="17">
        <v>2</v>
      </c>
      <c r="U11" s="17"/>
      <c r="V11" s="18"/>
      <c r="W11" s="19"/>
      <c r="X11" s="17"/>
      <c r="Y11" s="20"/>
      <c r="Z11" s="20"/>
      <c r="AA11" s="21"/>
      <c r="AB11" s="8">
        <f t="shared" si="4"/>
        <v>0.99919678714859439</v>
      </c>
      <c r="AC11" s="9">
        <f t="shared" si="5"/>
        <v>0.58333333333333337</v>
      </c>
      <c r="AD11" s="10">
        <f t="shared" si="6"/>
        <v>0.58286479250334677</v>
      </c>
      <c r="AE11" s="39">
        <f t="shared" si="7"/>
        <v>0.23872432249626238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495</v>
      </c>
      <c r="D12" s="55" t="s">
        <v>499</v>
      </c>
      <c r="E12" s="57" t="s">
        <v>301</v>
      </c>
      <c r="F12" s="12" t="s">
        <v>447</v>
      </c>
      <c r="G12" s="12">
        <v>1</v>
      </c>
      <c r="H12" s="13">
        <v>25</v>
      </c>
      <c r="I12" s="7">
        <v>30000</v>
      </c>
      <c r="J12" s="14">
        <v>630</v>
      </c>
      <c r="K12" s="15">
        <f>L12+1359+1862+4005+5478+5816</f>
        <v>19147</v>
      </c>
      <c r="L12" s="15">
        <v>627</v>
      </c>
      <c r="M12" s="16">
        <f t="shared" si="0"/>
        <v>627</v>
      </c>
      <c r="N12" s="16">
        <v>0</v>
      </c>
      <c r="O12" s="62">
        <f t="shared" si="1"/>
        <v>0</v>
      </c>
      <c r="P12" s="42">
        <f t="shared" si="2"/>
        <v>4</v>
      </c>
      <c r="Q12" s="43">
        <f t="shared" si="3"/>
        <v>20</v>
      </c>
      <c r="R12" s="7"/>
      <c r="S12" s="6">
        <v>20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0.99523809523809526</v>
      </c>
      <c r="AC12" s="9">
        <f t="shared" si="5"/>
        <v>0.16666666666666666</v>
      </c>
      <c r="AD12" s="10">
        <f t="shared" si="6"/>
        <v>0.16587301587301587</v>
      </c>
      <c r="AE12" s="39">
        <f t="shared" si="7"/>
        <v>0.23872432249626238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123</v>
      </c>
      <c r="E13" s="57" t="s">
        <v>145</v>
      </c>
      <c r="F13" s="12" t="s">
        <v>132</v>
      </c>
      <c r="G13" s="12">
        <v>1</v>
      </c>
      <c r="H13" s="13">
        <v>25</v>
      </c>
      <c r="I13" s="7">
        <v>28000</v>
      </c>
      <c r="J13" s="14">
        <v>4500</v>
      </c>
      <c r="K13" s="15">
        <f>L13+2514+5794+3897+4264+2651</f>
        <v>23614</v>
      </c>
      <c r="L13" s="15">
        <f>1554+2940</f>
        <v>4494</v>
      </c>
      <c r="M13" s="16">
        <f t="shared" si="0"/>
        <v>4494</v>
      </c>
      <c r="N13" s="16">
        <v>0</v>
      </c>
      <c r="O13" s="62">
        <f t="shared" si="1"/>
        <v>0</v>
      </c>
      <c r="P13" s="42">
        <f t="shared" si="2"/>
        <v>21</v>
      </c>
      <c r="Q13" s="43">
        <f t="shared" si="3"/>
        <v>3</v>
      </c>
      <c r="R13" s="7"/>
      <c r="S13" s="6">
        <v>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0.9986666666666667</v>
      </c>
      <c r="AC13" s="9">
        <f t="shared" si="5"/>
        <v>0.875</v>
      </c>
      <c r="AD13" s="10">
        <f t="shared" si="6"/>
        <v>0.87383333333333335</v>
      </c>
      <c r="AE13" s="39">
        <f t="shared" si="7"/>
        <v>0.23872432249626238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691</v>
      </c>
      <c r="F14" s="33" t="s">
        <v>692</v>
      </c>
      <c r="G14" s="36">
        <v>1</v>
      </c>
      <c r="H14" s="38">
        <v>25</v>
      </c>
      <c r="I14" s="7">
        <v>1000</v>
      </c>
      <c r="J14" s="5">
        <v>1068</v>
      </c>
      <c r="K14" s="15">
        <f>L14</f>
        <v>1068</v>
      </c>
      <c r="L14" s="15">
        <v>1068</v>
      </c>
      <c r="M14" s="16">
        <f t="shared" si="0"/>
        <v>1068</v>
      </c>
      <c r="N14" s="16">
        <v>0</v>
      </c>
      <c r="O14" s="62">
        <f t="shared" si="1"/>
        <v>0</v>
      </c>
      <c r="P14" s="42">
        <f t="shared" si="2"/>
        <v>12</v>
      </c>
      <c r="Q14" s="43">
        <f t="shared" si="3"/>
        <v>12</v>
      </c>
      <c r="R14" s="7"/>
      <c r="S14" s="6"/>
      <c r="T14" s="17"/>
      <c r="U14" s="17"/>
      <c r="V14" s="18"/>
      <c r="W14" s="19">
        <v>12</v>
      </c>
      <c r="X14" s="17"/>
      <c r="Y14" s="20"/>
      <c r="Z14" s="20"/>
      <c r="AA14" s="21"/>
      <c r="AB14" s="8">
        <f t="shared" si="4"/>
        <v>1</v>
      </c>
      <c r="AC14" s="9">
        <f t="shared" si="5"/>
        <v>0.5</v>
      </c>
      <c r="AD14" s="10">
        <f t="shared" si="6"/>
        <v>0.5</v>
      </c>
      <c r="AE14" s="39">
        <f t="shared" si="7"/>
        <v>0.23872432249626238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288</v>
      </c>
      <c r="D15" s="55" t="s">
        <v>289</v>
      </c>
      <c r="E15" s="57" t="s">
        <v>290</v>
      </c>
      <c r="F15" s="12" t="s">
        <v>291</v>
      </c>
      <c r="G15" s="12">
        <v>8</v>
      </c>
      <c r="H15" s="13">
        <v>24</v>
      </c>
      <c r="I15" s="34">
        <v>20000</v>
      </c>
      <c r="J15" s="14">
        <v>32361</v>
      </c>
      <c r="K15" s="15">
        <f>L15+23296+32361</f>
        <v>55657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0.23872432249626238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138</v>
      </c>
      <c r="E16" s="57" t="s">
        <v>139</v>
      </c>
      <c r="F16" s="33" t="s">
        <v>134</v>
      </c>
      <c r="G16" s="36">
        <v>1</v>
      </c>
      <c r="H16" s="38">
        <v>25</v>
      </c>
      <c r="I16" s="7">
        <v>12000</v>
      </c>
      <c r="J16" s="5">
        <v>4150</v>
      </c>
      <c r="K16" s="15">
        <f>L16+4095+4538+4147</f>
        <v>12780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0.23872432249626238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202</v>
      </c>
      <c r="D17" s="55" t="s">
        <v>431</v>
      </c>
      <c r="E17" s="57" t="s">
        <v>529</v>
      </c>
      <c r="F17" s="12" t="s">
        <v>507</v>
      </c>
      <c r="G17" s="12">
        <v>1</v>
      </c>
      <c r="H17" s="13">
        <v>24</v>
      </c>
      <c r="I17" s="34">
        <v>1500</v>
      </c>
      <c r="J17" s="14">
        <v>1686</v>
      </c>
      <c r="K17" s="15">
        <f>L17+1686</f>
        <v>1686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0.23872432249626238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693</v>
      </c>
      <c r="D18" s="55" t="s">
        <v>694</v>
      </c>
      <c r="E18" s="57" t="s">
        <v>695</v>
      </c>
      <c r="F18" s="12">
        <v>7301</v>
      </c>
      <c r="G18" s="36">
        <v>1</v>
      </c>
      <c r="H18" s="38">
        <v>30</v>
      </c>
      <c r="I18" s="7">
        <v>1000</v>
      </c>
      <c r="J18" s="5">
        <v>1231</v>
      </c>
      <c r="K18" s="15">
        <f>L18</f>
        <v>1231</v>
      </c>
      <c r="L18" s="15">
        <f>849+382</f>
        <v>1231</v>
      </c>
      <c r="M18" s="16">
        <f t="shared" si="0"/>
        <v>1231</v>
      </c>
      <c r="N18" s="16">
        <v>0</v>
      </c>
      <c r="O18" s="62">
        <f t="shared" si="1"/>
        <v>0</v>
      </c>
      <c r="P18" s="42">
        <f t="shared" si="2"/>
        <v>14</v>
      </c>
      <c r="Q18" s="43">
        <f t="shared" si="3"/>
        <v>10</v>
      </c>
      <c r="R18" s="7"/>
      <c r="S18" s="6"/>
      <c r="T18" s="17"/>
      <c r="U18" s="17"/>
      <c r="V18" s="18"/>
      <c r="W18" s="19">
        <v>10</v>
      </c>
      <c r="X18" s="17"/>
      <c r="Y18" s="20"/>
      <c r="Z18" s="20"/>
      <c r="AA18" s="21"/>
      <c r="AB18" s="8">
        <f t="shared" si="4"/>
        <v>1</v>
      </c>
      <c r="AC18" s="9">
        <f t="shared" si="5"/>
        <v>0.58333333333333337</v>
      </c>
      <c r="AD18" s="10">
        <f t="shared" si="6"/>
        <v>0.58333333333333337</v>
      </c>
      <c r="AE18" s="39">
        <f t="shared" si="7"/>
        <v>0.23872432249626238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342</v>
      </c>
      <c r="D19" s="55" t="s">
        <v>138</v>
      </c>
      <c r="E19" s="57" t="s">
        <v>525</v>
      </c>
      <c r="F19" s="33" t="s">
        <v>345</v>
      </c>
      <c r="G19" s="12">
        <v>1</v>
      </c>
      <c r="H19" s="13">
        <v>25</v>
      </c>
      <c r="I19" s="34">
        <v>10000</v>
      </c>
      <c r="J19" s="5">
        <v>971</v>
      </c>
      <c r="K19" s="15">
        <f>L19+1172+971</f>
        <v>2143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>
        <v>24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0.23872432249626238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696</v>
      </c>
      <c r="F20" s="12" t="s">
        <v>122</v>
      </c>
      <c r="G20" s="12">
        <v>4</v>
      </c>
      <c r="H20" s="38">
        <v>20</v>
      </c>
      <c r="I20" s="7">
        <v>300000</v>
      </c>
      <c r="J20" s="14">
        <v>44150</v>
      </c>
      <c r="K20" s="15">
        <f>L20</f>
        <v>44148</v>
      </c>
      <c r="L20" s="15">
        <f>4428*4+6609*4</f>
        <v>44148</v>
      </c>
      <c r="M20" s="16">
        <f t="shared" si="0"/>
        <v>44148</v>
      </c>
      <c r="N20" s="16">
        <v>0</v>
      </c>
      <c r="O20" s="62">
        <f t="shared" si="1"/>
        <v>0</v>
      </c>
      <c r="P20" s="42">
        <f t="shared" si="2"/>
        <v>21</v>
      </c>
      <c r="Q20" s="43">
        <f t="shared" si="3"/>
        <v>3</v>
      </c>
      <c r="R20" s="7"/>
      <c r="S20" s="6">
        <v>3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0.99995469988674968</v>
      </c>
      <c r="AC20" s="9">
        <f t="shared" si="5"/>
        <v>0.875</v>
      </c>
      <c r="AD20" s="10">
        <f t="shared" si="6"/>
        <v>0.87496036240090591</v>
      </c>
      <c r="AE20" s="39">
        <f t="shared" si="7"/>
        <v>0.23872432249626238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611500</v>
      </c>
      <c r="J21" s="22">
        <f t="shared" si="9"/>
        <v>142821</v>
      </c>
      <c r="K21" s="23">
        <f t="shared" si="9"/>
        <v>363175</v>
      </c>
      <c r="L21" s="24">
        <f t="shared" si="9"/>
        <v>54056</v>
      </c>
      <c r="M21" s="23">
        <f t="shared" si="9"/>
        <v>54056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86</v>
      </c>
      <c r="Q21" s="46">
        <f t="shared" si="10"/>
        <v>274</v>
      </c>
      <c r="R21" s="26">
        <f t="shared" si="10"/>
        <v>24</v>
      </c>
      <c r="S21" s="27">
        <f t="shared" si="10"/>
        <v>58</v>
      </c>
      <c r="T21" s="27">
        <f t="shared" si="10"/>
        <v>2</v>
      </c>
      <c r="U21" s="27">
        <f t="shared" si="10"/>
        <v>0</v>
      </c>
      <c r="V21" s="28">
        <f t="shared" si="10"/>
        <v>0</v>
      </c>
      <c r="W21" s="29">
        <f t="shared" si="10"/>
        <v>166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24</v>
      </c>
      <c r="AB21" s="31">
        <f>SUM(AB6:AB20)/15</f>
        <v>0.39953708326267379</v>
      </c>
      <c r="AC21" s="4">
        <f>SUM(AC6:AC20)/15</f>
        <v>0.2388888888888889</v>
      </c>
      <c r="AD21" s="4">
        <f>SUM(AD6:AD20)/15</f>
        <v>0.23872432249626238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697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698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59" t="s">
        <v>46</v>
      </c>
      <c r="D50" s="259" t="s">
        <v>47</v>
      </c>
      <c r="E50" s="259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59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125</v>
      </c>
      <c r="B51" s="440"/>
      <c r="C51" s="261" t="s">
        <v>204</v>
      </c>
      <c r="D51" s="261" t="s">
        <v>123</v>
      </c>
      <c r="E51" s="261" t="s">
        <v>203</v>
      </c>
      <c r="F51" s="431" t="s">
        <v>700</v>
      </c>
      <c r="G51" s="431"/>
      <c r="H51" s="431"/>
      <c r="I51" s="431"/>
      <c r="J51" s="431"/>
      <c r="K51" s="431"/>
      <c r="L51" s="431"/>
      <c r="M51" s="441"/>
      <c r="N51" s="260" t="s">
        <v>657</v>
      </c>
      <c r="O51" s="124" t="s">
        <v>703</v>
      </c>
      <c r="P51" s="440" t="s">
        <v>704</v>
      </c>
      <c r="Q51" s="440"/>
      <c r="R51" s="440" t="s">
        <v>705</v>
      </c>
      <c r="S51" s="440"/>
      <c r="T51" s="440"/>
      <c r="U51" s="440"/>
      <c r="V51" s="431" t="s">
        <v>196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688</v>
      </c>
      <c r="B52" s="440"/>
      <c r="C52" s="261" t="s">
        <v>357</v>
      </c>
      <c r="D52" s="261" t="s">
        <v>699</v>
      </c>
      <c r="E52" s="261" t="s">
        <v>690</v>
      </c>
      <c r="F52" s="431" t="s">
        <v>701</v>
      </c>
      <c r="G52" s="431"/>
      <c r="H52" s="431"/>
      <c r="I52" s="431"/>
      <c r="J52" s="431"/>
      <c r="K52" s="431"/>
      <c r="L52" s="431"/>
      <c r="M52" s="441"/>
      <c r="N52" s="260" t="s">
        <v>715</v>
      </c>
      <c r="O52" s="124" t="s">
        <v>669</v>
      </c>
      <c r="P52" s="440" t="s">
        <v>666</v>
      </c>
      <c r="Q52" s="440"/>
      <c r="R52" s="440" t="s">
        <v>716</v>
      </c>
      <c r="S52" s="440"/>
      <c r="T52" s="440"/>
      <c r="U52" s="440"/>
      <c r="V52" s="431" t="s">
        <v>671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702</v>
      </c>
      <c r="B53" s="440"/>
      <c r="C53" s="261" t="s">
        <v>703</v>
      </c>
      <c r="D53" s="261" t="s">
        <v>704</v>
      </c>
      <c r="E53" s="261" t="s">
        <v>705</v>
      </c>
      <c r="F53" s="431" t="s">
        <v>706</v>
      </c>
      <c r="G53" s="431"/>
      <c r="H53" s="431"/>
      <c r="I53" s="431"/>
      <c r="J53" s="431"/>
      <c r="K53" s="431"/>
      <c r="L53" s="431"/>
      <c r="M53" s="441"/>
      <c r="N53" s="260" t="s">
        <v>717</v>
      </c>
      <c r="O53" s="124" t="s">
        <v>674</v>
      </c>
      <c r="P53" s="440"/>
      <c r="Q53" s="440"/>
      <c r="R53" s="440" t="s">
        <v>718</v>
      </c>
      <c r="S53" s="440"/>
      <c r="T53" s="440"/>
      <c r="U53" s="440"/>
      <c r="V53" s="431" t="s">
        <v>671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688</v>
      </c>
      <c r="B54" s="440"/>
      <c r="C54" s="261" t="s">
        <v>708</v>
      </c>
      <c r="D54" s="261" t="s">
        <v>709</v>
      </c>
      <c r="E54" s="261" t="s">
        <v>691</v>
      </c>
      <c r="F54" s="431" t="s">
        <v>707</v>
      </c>
      <c r="G54" s="431"/>
      <c r="H54" s="431"/>
      <c r="I54" s="431"/>
      <c r="J54" s="431"/>
      <c r="K54" s="431"/>
      <c r="L54" s="431"/>
      <c r="M54" s="441"/>
      <c r="N54" s="260" t="s">
        <v>702</v>
      </c>
      <c r="O54" s="124" t="s">
        <v>719</v>
      </c>
      <c r="P54" s="440" t="s">
        <v>720</v>
      </c>
      <c r="Q54" s="440"/>
      <c r="R54" s="440" t="s">
        <v>721</v>
      </c>
      <c r="S54" s="440"/>
      <c r="T54" s="440"/>
      <c r="U54" s="440"/>
      <c r="V54" s="431" t="s">
        <v>722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693</v>
      </c>
      <c r="B55" s="440"/>
      <c r="C55" s="261" t="s">
        <v>712</v>
      </c>
      <c r="D55" s="261" t="s">
        <v>694</v>
      </c>
      <c r="E55" s="261" t="s">
        <v>710</v>
      </c>
      <c r="F55" s="431" t="s">
        <v>711</v>
      </c>
      <c r="G55" s="431"/>
      <c r="H55" s="431"/>
      <c r="I55" s="431"/>
      <c r="J55" s="431"/>
      <c r="K55" s="431"/>
      <c r="L55" s="431"/>
      <c r="M55" s="441"/>
      <c r="N55" s="260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713</v>
      </c>
      <c r="B56" s="440"/>
      <c r="C56" s="261" t="s">
        <v>714</v>
      </c>
      <c r="D56" s="261"/>
      <c r="E56" s="261" t="s">
        <v>696</v>
      </c>
      <c r="F56" s="431" t="s">
        <v>707</v>
      </c>
      <c r="G56" s="431"/>
      <c r="H56" s="431"/>
      <c r="I56" s="431"/>
      <c r="J56" s="431"/>
      <c r="K56" s="431"/>
      <c r="L56" s="431"/>
      <c r="M56" s="441"/>
      <c r="N56" s="260"/>
      <c r="O56" s="124"/>
      <c r="P56" s="446"/>
      <c r="Q56" s="447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/>
      <c r="B57" s="440"/>
      <c r="C57" s="261"/>
      <c r="D57" s="261"/>
      <c r="E57" s="261"/>
      <c r="F57" s="431"/>
      <c r="G57" s="431"/>
      <c r="H57" s="431"/>
      <c r="I57" s="431"/>
      <c r="J57" s="431"/>
      <c r="K57" s="431"/>
      <c r="L57" s="431"/>
      <c r="M57" s="441"/>
      <c r="N57" s="260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261"/>
      <c r="D58" s="261"/>
      <c r="E58" s="261"/>
      <c r="F58" s="431"/>
      <c r="G58" s="431"/>
      <c r="H58" s="431"/>
      <c r="I58" s="431"/>
      <c r="J58" s="431"/>
      <c r="K58" s="431"/>
      <c r="L58" s="431"/>
      <c r="M58" s="441"/>
      <c r="N58" s="260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261"/>
      <c r="D59" s="261"/>
      <c r="E59" s="261"/>
      <c r="F59" s="431"/>
      <c r="G59" s="431"/>
      <c r="H59" s="431"/>
      <c r="I59" s="431"/>
      <c r="J59" s="431"/>
      <c r="K59" s="431"/>
      <c r="L59" s="431"/>
      <c r="M59" s="441"/>
      <c r="N59" s="260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263"/>
      <c r="D60" s="263"/>
      <c r="E60" s="263"/>
      <c r="F60" s="489"/>
      <c r="G60" s="489"/>
      <c r="H60" s="489"/>
      <c r="I60" s="489"/>
      <c r="J60" s="489"/>
      <c r="K60" s="489"/>
      <c r="L60" s="489"/>
      <c r="M60" s="490"/>
      <c r="N60" s="262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723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264" t="s">
        <v>2</v>
      </c>
      <c r="D62" s="264" t="s">
        <v>37</v>
      </c>
      <c r="E62" s="264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264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548</v>
      </c>
      <c r="D63" s="267"/>
      <c r="E63" s="265" t="s">
        <v>709</v>
      </c>
      <c r="F63" s="429" t="s">
        <v>724</v>
      </c>
      <c r="G63" s="421"/>
      <c r="H63" s="421"/>
      <c r="I63" s="421"/>
      <c r="J63" s="421"/>
      <c r="K63" s="421" t="s">
        <v>725</v>
      </c>
      <c r="L63" s="421"/>
      <c r="M63" s="54" t="s">
        <v>426</v>
      </c>
      <c r="N63" s="421">
        <v>4</v>
      </c>
      <c r="O63" s="421"/>
      <c r="P63" s="430">
        <v>50</v>
      </c>
      <c r="Q63" s="430"/>
      <c r="R63" s="431" t="s">
        <v>726</v>
      </c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/>
      <c r="D64" s="267"/>
      <c r="E64" s="265"/>
      <c r="F64" s="429"/>
      <c r="G64" s="421"/>
      <c r="H64" s="421"/>
      <c r="I64" s="421"/>
      <c r="J64" s="421"/>
      <c r="K64" s="421"/>
      <c r="L64" s="421"/>
      <c r="M64" s="54"/>
      <c r="N64" s="421"/>
      <c r="O64" s="421"/>
      <c r="P64" s="430"/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/>
      <c r="D65" s="267"/>
      <c r="E65" s="265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/>
      <c r="D66" s="267"/>
      <c r="E66" s="265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267"/>
      <c r="E67" s="265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267"/>
      <c r="E68" s="265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267"/>
      <c r="E69" s="265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267"/>
      <c r="E70" s="265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727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266" t="s">
        <v>2</v>
      </c>
      <c r="D72" s="266" t="s">
        <v>37</v>
      </c>
      <c r="E72" s="266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268" t="s">
        <v>114</v>
      </c>
      <c r="D73" s="268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267" t="s">
        <v>114</v>
      </c>
      <c r="D74" s="267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267"/>
      <c r="D75" s="267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267"/>
      <c r="D76" s="267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267"/>
      <c r="D77" s="267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267"/>
      <c r="D78" s="267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267"/>
      <c r="D79" s="267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267"/>
      <c r="D80" s="267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267"/>
      <c r="D81" s="267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728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/>
      <c r="D84" s="397"/>
      <c r="E84" s="397"/>
      <c r="F84" s="397"/>
      <c r="G84" s="397"/>
      <c r="H84" s="397"/>
      <c r="I84" s="397"/>
      <c r="J84" s="397"/>
      <c r="K84" s="397"/>
      <c r="L84" s="397"/>
      <c r="M84" s="397"/>
      <c r="N84" s="397"/>
      <c r="O84" s="397"/>
      <c r="P84" s="397"/>
      <c r="Q84" s="397"/>
      <c r="R84" s="397"/>
      <c r="S84" s="397"/>
      <c r="T84" s="397"/>
      <c r="U84" s="397"/>
      <c r="V84" s="398"/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F86"/>
  <sheetViews>
    <sheetView topLeftCell="A40" zoomScale="72" zoomScaleNormal="72" zoomScaleSheetLayoutView="70" workbookViewId="0">
      <selection activeCell="A65" sqref="A65:XFD6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729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79" t="s">
        <v>17</v>
      </c>
      <c r="L5" s="279" t="s">
        <v>18</v>
      </c>
      <c r="M5" s="279" t="s">
        <v>19</v>
      </c>
      <c r="N5" s="27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0.29155586535778777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0.29155586535778777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508</v>
      </c>
      <c r="D8" s="55" t="s">
        <v>218</v>
      </c>
      <c r="E8" s="57" t="s">
        <v>523</v>
      </c>
      <c r="F8" s="33" t="s">
        <v>511</v>
      </c>
      <c r="G8" s="36">
        <v>1</v>
      </c>
      <c r="H8" s="38">
        <v>25</v>
      </c>
      <c r="I8" s="7">
        <v>2000</v>
      </c>
      <c r="J8" s="5">
        <v>2060</v>
      </c>
      <c r="K8" s="15">
        <f>L8+2059</f>
        <v>2059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0.29155586535778777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125</v>
      </c>
      <c r="D9" s="55" t="s">
        <v>730</v>
      </c>
      <c r="E9" s="57" t="s">
        <v>731</v>
      </c>
      <c r="F9" s="12" t="s">
        <v>732</v>
      </c>
      <c r="G9" s="12">
        <v>1</v>
      </c>
      <c r="H9" s="13">
        <v>25</v>
      </c>
      <c r="I9" s="7">
        <v>1000</v>
      </c>
      <c r="J9" s="5">
        <v>908</v>
      </c>
      <c r="K9" s="15">
        <f>L9</f>
        <v>908</v>
      </c>
      <c r="L9" s="15">
        <v>908</v>
      </c>
      <c r="M9" s="16">
        <f t="shared" si="0"/>
        <v>908</v>
      </c>
      <c r="N9" s="16">
        <v>0</v>
      </c>
      <c r="O9" s="62">
        <f t="shared" si="1"/>
        <v>0</v>
      </c>
      <c r="P9" s="42">
        <f t="shared" si="2"/>
        <v>6</v>
      </c>
      <c r="Q9" s="43">
        <f t="shared" si="3"/>
        <v>18</v>
      </c>
      <c r="R9" s="7"/>
      <c r="S9" s="6"/>
      <c r="T9" s="17"/>
      <c r="U9" s="17"/>
      <c r="V9" s="18"/>
      <c r="W9" s="19">
        <v>18</v>
      </c>
      <c r="X9" s="17"/>
      <c r="Y9" s="20"/>
      <c r="Z9" s="20"/>
      <c r="AA9" s="21"/>
      <c r="AB9" s="8">
        <f t="shared" si="4"/>
        <v>1</v>
      </c>
      <c r="AC9" s="9">
        <f t="shared" si="5"/>
        <v>0.25</v>
      </c>
      <c r="AD9" s="10">
        <f t="shared" si="6"/>
        <v>0.25</v>
      </c>
      <c r="AE9" s="39">
        <f t="shared" si="7"/>
        <v>0.29155586535778777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606</v>
      </c>
      <c r="D10" s="55" t="s">
        <v>607</v>
      </c>
      <c r="E10" s="57" t="s">
        <v>608</v>
      </c>
      <c r="F10" s="12" t="s">
        <v>609</v>
      </c>
      <c r="G10" s="12">
        <v>2</v>
      </c>
      <c r="H10" s="13">
        <v>25</v>
      </c>
      <c r="I10" s="7">
        <v>3000</v>
      </c>
      <c r="J10" s="14">
        <v>6300</v>
      </c>
      <c r="K10" s="15">
        <f>L10+6292</f>
        <v>6292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0.29155586535778777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733</v>
      </c>
      <c r="D11" s="55" t="s">
        <v>734</v>
      </c>
      <c r="E11" s="57" t="s">
        <v>735</v>
      </c>
      <c r="F11" s="12" t="s">
        <v>736</v>
      </c>
      <c r="G11" s="12">
        <v>1</v>
      </c>
      <c r="H11" s="13">
        <v>25</v>
      </c>
      <c r="I11" s="34">
        <v>1000</v>
      </c>
      <c r="J11" s="5">
        <v>1090</v>
      </c>
      <c r="K11" s="15">
        <f>L11</f>
        <v>1090</v>
      </c>
      <c r="L11" s="15">
        <f>529+561</f>
        <v>1090</v>
      </c>
      <c r="M11" s="16">
        <f t="shared" si="0"/>
        <v>1090</v>
      </c>
      <c r="N11" s="16">
        <v>0</v>
      </c>
      <c r="O11" s="62">
        <f t="shared" si="1"/>
        <v>0</v>
      </c>
      <c r="P11" s="42">
        <f t="shared" si="2"/>
        <v>6</v>
      </c>
      <c r="Q11" s="43">
        <f t="shared" si="3"/>
        <v>18</v>
      </c>
      <c r="R11" s="7"/>
      <c r="S11" s="6"/>
      <c r="T11" s="17"/>
      <c r="U11" s="17"/>
      <c r="V11" s="18"/>
      <c r="W11" s="19">
        <v>18</v>
      </c>
      <c r="X11" s="17"/>
      <c r="Y11" s="20"/>
      <c r="Z11" s="20"/>
      <c r="AA11" s="21"/>
      <c r="AB11" s="8">
        <f t="shared" si="4"/>
        <v>1</v>
      </c>
      <c r="AC11" s="9">
        <f t="shared" si="5"/>
        <v>0.25</v>
      </c>
      <c r="AD11" s="10">
        <f t="shared" si="6"/>
        <v>0.25</v>
      </c>
      <c r="AE11" s="39">
        <f t="shared" si="7"/>
        <v>0.29155586535778777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125</v>
      </c>
      <c r="D12" s="55" t="s">
        <v>499</v>
      </c>
      <c r="E12" s="57" t="s">
        <v>301</v>
      </c>
      <c r="F12" s="12" t="s">
        <v>447</v>
      </c>
      <c r="G12" s="12">
        <v>1</v>
      </c>
      <c r="H12" s="13">
        <v>25</v>
      </c>
      <c r="I12" s="7">
        <v>30000</v>
      </c>
      <c r="J12" s="14">
        <v>2730</v>
      </c>
      <c r="K12" s="15">
        <f>L12+1359+1862+4005+5478+5816+627</f>
        <v>21873</v>
      </c>
      <c r="L12" s="15">
        <f>287+2439</f>
        <v>2726</v>
      </c>
      <c r="M12" s="16">
        <f t="shared" si="0"/>
        <v>2726</v>
      </c>
      <c r="N12" s="16">
        <v>0</v>
      </c>
      <c r="O12" s="62">
        <f t="shared" si="1"/>
        <v>0</v>
      </c>
      <c r="P12" s="42">
        <f t="shared" si="2"/>
        <v>16</v>
      </c>
      <c r="Q12" s="43">
        <f t="shared" si="3"/>
        <v>8</v>
      </c>
      <c r="R12" s="7"/>
      <c r="S12" s="6">
        <v>8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0.99853479853479854</v>
      </c>
      <c r="AC12" s="9">
        <f t="shared" si="5"/>
        <v>0.66666666666666663</v>
      </c>
      <c r="AD12" s="10">
        <f t="shared" si="6"/>
        <v>0.66568986568986566</v>
      </c>
      <c r="AE12" s="39">
        <f t="shared" si="7"/>
        <v>0.29155586535778777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123</v>
      </c>
      <c r="E13" s="57" t="s">
        <v>145</v>
      </c>
      <c r="F13" s="12" t="s">
        <v>132</v>
      </c>
      <c r="G13" s="12">
        <v>1</v>
      </c>
      <c r="H13" s="13">
        <v>25</v>
      </c>
      <c r="I13" s="7">
        <v>28000</v>
      </c>
      <c r="J13" s="14">
        <v>5690</v>
      </c>
      <c r="K13" s="15">
        <f>L13+2514+5794+3897+4264+2651+4494</f>
        <v>29301</v>
      </c>
      <c r="L13" s="15">
        <f>2662+3025</f>
        <v>5687</v>
      </c>
      <c r="M13" s="16">
        <f t="shared" si="0"/>
        <v>5687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0.99947275922671353</v>
      </c>
      <c r="AC13" s="9">
        <f t="shared" si="5"/>
        <v>1</v>
      </c>
      <c r="AD13" s="10">
        <f t="shared" si="6"/>
        <v>0.99947275922671353</v>
      </c>
      <c r="AE13" s="39">
        <f t="shared" si="7"/>
        <v>0.29155586535778777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691</v>
      </c>
      <c r="F14" s="33" t="s">
        <v>692</v>
      </c>
      <c r="G14" s="36">
        <v>1</v>
      </c>
      <c r="H14" s="38">
        <v>25</v>
      </c>
      <c r="I14" s="7">
        <v>1000</v>
      </c>
      <c r="J14" s="5">
        <v>1068</v>
      </c>
      <c r="K14" s="15">
        <f>L14+1068</f>
        <v>1068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20</v>
      </c>
      <c r="R14" s="7">
        <v>20</v>
      </c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0.29155586535778777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288</v>
      </c>
      <c r="D15" s="55" t="s">
        <v>289</v>
      </c>
      <c r="E15" s="57" t="s">
        <v>290</v>
      </c>
      <c r="F15" s="12" t="s">
        <v>291</v>
      </c>
      <c r="G15" s="12">
        <v>8</v>
      </c>
      <c r="H15" s="13">
        <v>24</v>
      </c>
      <c r="I15" s="34">
        <v>20000</v>
      </c>
      <c r="J15" s="14">
        <v>32361</v>
      </c>
      <c r="K15" s="15">
        <f>L15+23296+32361</f>
        <v>55657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0.29155586535778777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138</v>
      </c>
      <c r="E16" s="57" t="s">
        <v>139</v>
      </c>
      <c r="F16" s="33" t="s">
        <v>134</v>
      </c>
      <c r="G16" s="36">
        <v>1</v>
      </c>
      <c r="H16" s="38">
        <v>25</v>
      </c>
      <c r="I16" s="7">
        <v>12000</v>
      </c>
      <c r="J16" s="5">
        <v>4150</v>
      </c>
      <c r="K16" s="15">
        <f>L16+4095+4538+4147</f>
        <v>12780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0.29155586535778777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202</v>
      </c>
      <c r="D17" s="55" t="s">
        <v>431</v>
      </c>
      <c r="E17" s="57" t="s">
        <v>529</v>
      </c>
      <c r="F17" s="12" t="s">
        <v>507</v>
      </c>
      <c r="G17" s="12">
        <v>1</v>
      </c>
      <c r="H17" s="13">
        <v>24</v>
      </c>
      <c r="I17" s="34">
        <v>1500</v>
      </c>
      <c r="J17" s="14">
        <v>1686</v>
      </c>
      <c r="K17" s="15">
        <f>L17+1686</f>
        <v>1686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0.29155586535778777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737</v>
      </c>
      <c r="D18" s="55" t="s">
        <v>738</v>
      </c>
      <c r="E18" s="57" t="s">
        <v>739</v>
      </c>
      <c r="F18" s="12" t="s">
        <v>740</v>
      </c>
      <c r="G18" s="36">
        <v>2</v>
      </c>
      <c r="H18" s="38">
        <v>30</v>
      </c>
      <c r="I18" s="7">
        <v>2000</v>
      </c>
      <c r="J18" s="5">
        <v>4500</v>
      </c>
      <c r="K18" s="15">
        <f>L18</f>
        <v>4500</v>
      </c>
      <c r="L18" s="15">
        <f>4500</f>
        <v>4500</v>
      </c>
      <c r="M18" s="16">
        <f t="shared" si="0"/>
        <v>4500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/>
      <c r="T18" s="17"/>
      <c r="U18" s="17"/>
      <c r="V18" s="18"/>
      <c r="W18" s="19">
        <v>4</v>
      </c>
      <c r="X18" s="17"/>
      <c r="Y18" s="20"/>
      <c r="Z18" s="20"/>
      <c r="AA18" s="21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9">
        <f t="shared" si="7"/>
        <v>0.29155586535778777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733</v>
      </c>
      <c r="D19" s="55" t="s">
        <v>741</v>
      </c>
      <c r="E19" s="57" t="s">
        <v>742</v>
      </c>
      <c r="F19" s="33" t="s">
        <v>743</v>
      </c>
      <c r="G19" s="12">
        <v>1</v>
      </c>
      <c r="H19" s="13">
        <v>25</v>
      </c>
      <c r="I19" s="34">
        <v>10000</v>
      </c>
      <c r="J19" s="5">
        <v>1683</v>
      </c>
      <c r="K19" s="15">
        <f>L19</f>
        <v>1683</v>
      </c>
      <c r="L19" s="15">
        <v>1683</v>
      </c>
      <c r="M19" s="16">
        <f t="shared" si="0"/>
        <v>1683</v>
      </c>
      <c r="N19" s="16">
        <v>0</v>
      </c>
      <c r="O19" s="62">
        <f t="shared" si="1"/>
        <v>0</v>
      </c>
      <c r="P19" s="42">
        <f t="shared" si="2"/>
        <v>9</v>
      </c>
      <c r="Q19" s="43">
        <f t="shared" si="3"/>
        <v>15</v>
      </c>
      <c r="R19" s="7"/>
      <c r="S19" s="6">
        <v>14</v>
      </c>
      <c r="T19" s="17">
        <v>1</v>
      </c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0.375</v>
      </c>
      <c r="AD19" s="10">
        <f t="shared" si="6"/>
        <v>0.375</v>
      </c>
      <c r="AE19" s="39">
        <f t="shared" si="7"/>
        <v>0.29155586535778777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124</v>
      </c>
      <c r="F20" s="12" t="s">
        <v>122</v>
      </c>
      <c r="G20" s="12">
        <v>4</v>
      </c>
      <c r="H20" s="38">
        <v>20</v>
      </c>
      <c r="I20" s="7">
        <v>300000</v>
      </c>
      <c r="J20" s="14">
        <v>50640</v>
      </c>
      <c r="K20" s="15">
        <f>L20+44148</f>
        <v>94780</v>
      </c>
      <c r="L20" s="15">
        <f>5992*4+6666*4</f>
        <v>50632</v>
      </c>
      <c r="M20" s="16">
        <f t="shared" si="0"/>
        <v>50632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0.99984202211690365</v>
      </c>
      <c r="AC20" s="9">
        <f t="shared" si="5"/>
        <v>1</v>
      </c>
      <c r="AD20" s="10">
        <f t="shared" si="6"/>
        <v>0.99984202211690365</v>
      </c>
      <c r="AE20" s="39">
        <f t="shared" si="7"/>
        <v>0.29155586535778777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612500</v>
      </c>
      <c r="J21" s="22">
        <f t="shared" si="9"/>
        <v>152506</v>
      </c>
      <c r="K21" s="23">
        <f t="shared" si="9"/>
        <v>420955</v>
      </c>
      <c r="L21" s="24">
        <f t="shared" si="9"/>
        <v>67226</v>
      </c>
      <c r="M21" s="23">
        <f t="shared" si="9"/>
        <v>67226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105</v>
      </c>
      <c r="Q21" s="46">
        <f t="shared" si="10"/>
        <v>251</v>
      </c>
      <c r="R21" s="26">
        <f t="shared" si="10"/>
        <v>44</v>
      </c>
      <c r="S21" s="27">
        <f t="shared" si="10"/>
        <v>22</v>
      </c>
      <c r="T21" s="27">
        <f t="shared" si="10"/>
        <v>1</v>
      </c>
      <c r="U21" s="27">
        <f t="shared" si="10"/>
        <v>0</v>
      </c>
      <c r="V21" s="28">
        <f t="shared" si="10"/>
        <v>0</v>
      </c>
      <c r="W21" s="29">
        <f t="shared" si="10"/>
        <v>184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0.46652330532522773</v>
      </c>
      <c r="AC21" s="4">
        <f>SUM(AC6:AC20)/15</f>
        <v>0.29166666666666669</v>
      </c>
      <c r="AD21" s="4">
        <f>SUM(AD6:AD20)/15</f>
        <v>0.29155586535778777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744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753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78" t="s">
        <v>46</v>
      </c>
      <c r="D50" s="278" t="s">
        <v>47</v>
      </c>
      <c r="E50" s="278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78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125</v>
      </c>
      <c r="B51" s="440"/>
      <c r="C51" s="275" t="s">
        <v>184</v>
      </c>
      <c r="D51" s="275" t="s">
        <v>730</v>
      </c>
      <c r="E51" s="275" t="s">
        <v>731</v>
      </c>
      <c r="F51" s="431" t="s">
        <v>707</v>
      </c>
      <c r="G51" s="431"/>
      <c r="H51" s="431"/>
      <c r="I51" s="431"/>
      <c r="J51" s="431"/>
      <c r="K51" s="431"/>
      <c r="L51" s="431"/>
      <c r="M51" s="441"/>
      <c r="N51" s="274" t="s">
        <v>125</v>
      </c>
      <c r="O51" s="124" t="s">
        <v>184</v>
      </c>
      <c r="P51" s="440" t="s">
        <v>754</v>
      </c>
      <c r="Q51" s="440"/>
      <c r="R51" s="440" t="s">
        <v>755</v>
      </c>
      <c r="S51" s="440"/>
      <c r="T51" s="440"/>
      <c r="U51" s="440"/>
      <c r="V51" s="431" t="s">
        <v>745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733</v>
      </c>
      <c r="B52" s="440"/>
      <c r="C52" s="275" t="s">
        <v>357</v>
      </c>
      <c r="D52" s="275" t="s">
        <v>734</v>
      </c>
      <c r="E52" s="275" t="s">
        <v>735</v>
      </c>
      <c r="F52" s="431" t="s">
        <v>745</v>
      </c>
      <c r="G52" s="431"/>
      <c r="H52" s="431"/>
      <c r="I52" s="431"/>
      <c r="J52" s="431"/>
      <c r="K52" s="431"/>
      <c r="L52" s="431"/>
      <c r="M52" s="441"/>
      <c r="N52" s="274" t="s">
        <v>702</v>
      </c>
      <c r="O52" s="124" t="s">
        <v>209</v>
      </c>
      <c r="P52" s="440" t="s">
        <v>126</v>
      </c>
      <c r="Q52" s="440"/>
      <c r="R52" s="440" t="s">
        <v>721</v>
      </c>
      <c r="S52" s="440"/>
      <c r="T52" s="440"/>
      <c r="U52" s="440"/>
      <c r="V52" s="431" t="s">
        <v>756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702</v>
      </c>
      <c r="B53" s="440"/>
      <c r="C53" s="275" t="s">
        <v>306</v>
      </c>
      <c r="D53" s="275" t="s">
        <v>704</v>
      </c>
      <c r="E53" s="275" t="s">
        <v>705</v>
      </c>
      <c r="F53" s="431" t="s">
        <v>746</v>
      </c>
      <c r="G53" s="431"/>
      <c r="H53" s="431"/>
      <c r="I53" s="431"/>
      <c r="J53" s="431"/>
      <c r="K53" s="431"/>
      <c r="L53" s="431"/>
      <c r="M53" s="441"/>
      <c r="N53" s="274" t="s">
        <v>758</v>
      </c>
      <c r="O53" s="124" t="s">
        <v>759</v>
      </c>
      <c r="P53" s="440"/>
      <c r="Q53" s="440"/>
      <c r="R53" s="440" t="s">
        <v>757</v>
      </c>
      <c r="S53" s="440"/>
      <c r="T53" s="440"/>
      <c r="U53" s="440"/>
      <c r="V53" s="431" t="s">
        <v>745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747</v>
      </c>
      <c r="B54" s="440"/>
      <c r="C54" s="275" t="s">
        <v>708</v>
      </c>
      <c r="D54" s="275" t="s">
        <v>123</v>
      </c>
      <c r="E54" s="275" t="s">
        <v>748</v>
      </c>
      <c r="F54" s="431" t="s">
        <v>749</v>
      </c>
      <c r="G54" s="431"/>
      <c r="H54" s="431"/>
      <c r="I54" s="431"/>
      <c r="J54" s="431"/>
      <c r="K54" s="431"/>
      <c r="L54" s="431"/>
      <c r="M54" s="441"/>
      <c r="N54" s="274" t="s">
        <v>761</v>
      </c>
      <c r="O54" s="124" t="s">
        <v>762</v>
      </c>
      <c r="P54" s="440"/>
      <c r="Q54" s="440"/>
      <c r="R54" s="440" t="s">
        <v>760</v>
      </c>
      <c r="S54" s="440"/>
      <c r="T54" s="440"/>
      <c r="U54" s="440"/>
      <c r="V54" s="431" t="s">
        <v>745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750</v>
      </c>
      <c r="B55" s="440"/>
      <c r="C55" s="275" t="s">
        <v>316</v>
      </c>
      <c r="D55" s="275" t="s">
        <v>738</v>
      </c>
      <c r="E55" s="275" t="s">
        <v>739</v>
      </c>
      <c r="F55" s="431" t="s">
        <v>745</v>
      </c>
      <c r="G55" s="431"/>
      <c r="H55" s="431"/>
      <c r="I55" s="431"/>
      <c r="J55" s="431"/>
      <c r="K55" s="431"/>
      <c r="L55" s="431"/>
      <c r="M55" s="441"/>
      <c r="N55" s="274" t="s">
        <v>733</v>
      </c>
      <c r="O55" s="124" t="s">
        <v>763</v>
      </c>
      <c r="P55" s="440" t="s">
        <v>764</v>
      </c>
      <c r="Q55" s="440"/>
      <c r="R55" s="440" t="s">
        <v>765</v>
      </c>
      <c r="S55" s="440"/>
      <c r="T55" s="440"/>
      <c r="U55" s="440"/>
      <c r="V55" s="431" t="s">
        <v>745</v>
      </c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733</v>
      </c>
      <c r="B56" s="440"/>
      <c r="C56" s="275" t="s">
        <v>238</v>
      </c>
      <c r="D56" s="275" t="s">
        <v>741</v>
      </c>
      <c r="E56" s="275" t="s">
        <v>751</v>
      </c>
      <c r="F56" s="431" t="s">
        <v>752</v>
      </c>
      <c r="G56" s="431"/>
      <c r="H56" s="431"/>
      <c r="I56" s="431"/>
      <c r="J56" s="431"/>
      <c r="K56" s="431"/>
      <c r="L56" s="431"/>
      <c r="M56" s="441"/>
      <c r="N56" s="274" t="s">
        <v>767</v>
      </c>
      <c r="O56" s="124" t="s">
        <v>768</v>
      </c>
      <c r="P56" s="446"/>
      <c r="Q56" s="447"/>
      <c r="R56" s="440" t="s">
        <v>766</v>
      </c>
      <c r="S56" s="440"/>
      <c r="T56" s="440"/>
      <c r="U56" s="440"/>
      <c r="V56" s="431" t="s">
        <v>745</v>
      </c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/>
      <c r="B57" s="440"/>
      <c r="C57" s="275"/>
      <c r="D57" s="275"/>
      <c r="E57" s="275"/>
      <c r="F57" s="431"/>
      <c r="G57" s="431"/>
      <c r="H57" s="431"/>
      <c r="I57" s="431"/>
      <c r="J57" s="431"/>
      <c r="K57" s="431"/>
      <c r="L57" s="431"/>
      <c r="M57" s="441"/>
      <c r="N57" s="274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275"/>
      <c r="D58" s="275"/>
      <c r="E58" s="275"/>
      <c r="F58" s="431"/>
      <c r="G58" s="431"/>
      <c r="H58" s="431"/>
      <c r="I58" s="431"/>
      <c r="J58" s="431"/>
      <c r="K58" s="431"/>
      <c r="L58" s="431"/>
      <c r="M58" s="441"/>
      <c r="N58" s="274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275"/>
      <c r="D59" s="275"/>
      <c r="E59" s="275"/>
      <c r="F59" s="431"/>
      <c r="G59" s="431"/>
      <c r="H59" s="431"/>
      <c r="I59" s="431"/>
      <c r="J59" s="431"/>
      <c r="K59" s="431"/>
      <c r="L59" s="431"/>
      <c r="M59" s="441"/>
      <c r="N59" s="274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277"/>
      <c r="D60" s="277"/>
      <c r="E60" s="277"/>
      <c r="F60" s="489"/>
      <c r="G60" s="489"/>
      <c r="H60" s="489"/>
      <c r="I60" s="489"/>
      <c r="J60" s="489"/>
      <c r="K60" s="489"/>
      <c r="L60" s="489"/>
      <c r="M60" s="490"/>
      <c r="N60" s="276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769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273" t="s">
        <v>2</v>
      </c>
      <c r="D62" s="273" t="s">
        <v>37</v>
      </c>
      <c r="E62" s="273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273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125</v>
      </c>
      <c r="D63" s="269"/>
      <c r="E63" s="272" t="s">
        <v>730</v>
      </c>
      <c r="F63" s="429" t="s">
        <v>731</v>
      </c>
      <c r="G63" s="421"/>
      <c r="H63" s="421"/>
      <c r="I63" s="421"/>
      <c r="J63" s="421"/>
      <c r="K63" s="421" t="s">
        <v>770</v>
      </c>
      <c r="L63" s="421"/>
      <c r="M63" s="54" t="s">
        <v>215</v>
      </c>
      <c r="N63" s="421">
        <v>4</v>
      </c>
      <c r="O63" s="421"/>
      <c r="P63" s="430">
        <v>50</v>
      </c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 t="s">
        <v>733</v>
      </c>
      <c r="D64" s="269"/>
      <c r="E64" s="272" t="s">
        <v>734</v>
      </c>
      <c r="F64" s="429" t="s">
        <v>735</v>
      </c>
      <c r="G64" s="421"/>
      <c r="H64" s="421"/>
      <c r="I64" s="421"/>
      <c r="J64" s="421"/>
      <c r="K64" s="421" t="s">
        <v>736</v>
      </c>
      <c r="L64" s="421"/>
      <c r="M64" s="54" t="s">
        <v>215</v>
      </c>
      <c r="N64" s="421">
        <v>6</v>
      </c>
      <c r="O64" s="421"/>
      <c r="P64" s="430">
        <v>50</v>
      </c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 t="s">
        <v>733</v>
      </c>
      <c r="D65" s="269"/>
      <c r="E65" s="272" t="s">
        <v>771</v>
      </c>
      <c r="F65" s="429" t="s">
        <v>772</v>
      </c>
      <c r="G65" s="421"/>
      <c r="H65" s="421"/>
      <c r="I65" s="421"/>
      <c r="J65" s="421"/>
      <c r="K65" s="421" t="s">
        <v>773</v>
      </c>
      <c r="L65" s="421"/>
      <c r="M65" s="54" t="s">
        <v>774</v>
      </c>
      <c r="N65" s="421">
        <v>5</v>
      </c>
      <c r="O65" s="421"/>
      <c r="P65" s="430">
        <v>100</v>
      </c>
      <c r="Q65" s="430"/>
      <c r="R65" s="431" t="s">
        <v>775</v>
      </c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 t="s">
        <v>733</v>
      </c>
      <c r="D66" s="269"/>
      <c r="E66" s="272" t="s">
        <v>776</v>
      </c>
      <c r="F66" s="429" t="s">
        <v>777</v>
      </c>
      <c r="G66" s="421"/>
      <c r="H66" s="421"/>
      <c r="I66" s="421"/>
      <c r="J66" s="421"/>
      <c r="K66" s="421" t="s">
        <v>778</v>
      </c>
      <c r="L66" s="421"/>
      <c r="M66" s="54" t="s">
        <v>779</v>
      </c>
      <c r="N66" s="421">
        <v>4</v>
      </c>
      <c r="O66" s="421"/>
      <c r="P66" s="430">
        <v>50</v>
      </c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269"/>
      <c r="E67" s="272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269"/>
      <c r="E68" s="272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269"/>
      <c r="E69" s="272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269"/>
      <c r="E70" s="272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780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271" t="s">
        <v>2</v>
      </c>
      <c r="D72" s="271" t="s">
        <v>37</v>
      </c>
      <c r="E72" s="271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270" t="s">
        <v>114</v>
      </c>
      <c r="D73" s="270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269" t="s">
        <v>114</v>
      </c>
      <c r="D74" s="269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269"/>
      <c r="D75" s="269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269"/>
      <c r="D76" s="269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269"/>
      <c r="D77" s="269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269"/>
      <c r="D78" s="269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269"/>
      <c r="D79" s="269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269"/>
      <c r="D80" s="269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269"/>
      <c r="D81" s="269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781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/>
      <c r="D84" s="397"/>
      <c r="E84" s="397"/>
      <c r="F84" s="397"/>
      <c r="G84" s="397"/>
      <c r="H84" s="397"/>
      <c r="I84" s="397"/>
      <c r="J84" s="397"/>
      <c r="K84" s="397"/>
      <c r="L84" s="397"/>
      <c r="M84" s="397"/>
      <c r="N84" s="397"/>
      <c r="O84" s="397"/>
      <c r="P84" s="397"/>
      <c r="Q84" s="397"/>
      <c r="R84" s="397"/>
      <c r="S84" s="397"/>
      <c r="T84" s="397"/>
      <c r="U84" s="397"/>
      <c r="V84" s="398"/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F89"/>
  <sheetViews>
    <sheetView topLeftCell="A40" zoomScale="72" zoomScaleNormal="72" zoomScaleSheetLayoutView="70" workbookViewId="0">
      <selection activeCell="A86" sqref="A86:B8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782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80" t="s">
        <v>17</v>
      </c>
      <c r="L5" s="280" t="s">
        <v>18</v>
      </c>
      <c r="M5" s="280" t="s">
        <v>19</v>
      </c>
      <c r="N5" s="28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3" si="0">L6-N6</f>
        <v>0</v>
      </c>
      <c r="N6" s="16">
        <v>0</v>
      </c>
      <c r="O6" s="62" t="str">
        <f t="shared" ref="O6:O24" si="1">IF(L6=0,"0",N6/L6)</f>
        <v>0</v>
      </c>
      <c r="P6" s="42" t="str">
        <f t="shared" ref="P6:P23" si="2">IF(L6=0,"0",(24-Q6))</f>
        <v>0</v>
      </c>
      <c r="Q6" s="43">
        <f t="shared" ref="Q6:Q23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3" si="4">IF(J6=0,"0",(L6/J6))</f>
        <v>0</v>
      </c>
      <c r="AC6" s="9">
        <f t="shared" ref="AC6:AC23" si="5">IF(P6=0,"0",(P6/24))</f>
        <v>0</v>
      </c>
      <c r="AD6" s="10">
        <f t="shared" ref="AD6:AD23" si="6">AC6*AB6*(1-O6)</f>
        <v>0</v>
      </c>
      <c r="AE6" s="39">
        <f t="shared" ref="AE6:AE23" si="7">$AD$24</f>
        <v>0.41636156576774147</v>
      </c>
      <c r="AF6" s="93">
        <f t="shared" ref="AF6:AF23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0.41636156576774147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508</v>
      </c>
      <c r="D8" s="55" t="s">
        <v>218</v>
      </c>
      <c r="E8" s="57" t="s">
        <v>523</v>
      </c>
      <c r="F8" s="33" t="s">
        <v>511</v>
      </c>
      <c r="G8" s="36">
        <v>1</v>
      </c>
      <c r="H8" s="38">
        <v>25</v>
      </c>
      <c r="I8" s="7">
        <v>2000</v>
      </c>
      <c r="J8" s="5">
        <v>2060</v>
      </c>
      <c r="K8" s="15">
        <f>L8+2059</f>
        <v>2059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0.41636156576774147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125</v>
      </c>
      <c r="D9" s="55" t="s">
        <v>675</v>
      </c>
      <c r="E9" s="57" t="s">
        <v>783</v>
      </c>
      <c r="F9" s="12" t="s">
        <v>170</v>
      </c>
      <c r="G9" s="12">
        <v>1</v>
      </c>
      <c r="H9" s="13">
        <v>25</v>
      </c>
      <c r="I9" s="7">
        <v>1000</v>
      </c>
      <c r="J9" s="5">
        <v>1200</v>
      </c>
      <c r="K9" s="15">
        <f>L9</f>
        <v>1200</v>
      </c>
      <c r="L9" s="15">
        <v>1200</v>
      </c>
      <c r="M9" s="16">
        <f t="shared" si="0"/>
        <v>1200</v>
      </c>
      <c r="N9" s="16">
        <v>0</v>
      </c>
      <c r="O9" s="62">
        <f t="shared" si="1"/>
        <v>0</v>
      </c>
      <c r="P9" s="42">
        <f t="shared" si="2"/>
        <v>6</v>
      </c>
      <c r="Q9" s="43">
        <f t="shared" si="3"/>
        <v>18</v>
      </c>
      <c r="R9" s="7"/>
      <c r="S9" s="6"/>
      <c r="T9" s="17"/>
      <c r="U9" s="17"/>
      <c r="V9" s="18"/>
      <c r="W9" s="19">
        <v>18</v>
      </c>
      <c r="X9" s="17"/>
      <c r="Y9" s="20"/>
      <c r="Z9" s="20"/>
      <c r="AA9" s="21"/>
      <c r="AB9" s="8">
        <f t="shared" si="4"/>
        <v>1</v>
      </c>
      <c r="AC9" s="9">
        <f t="shared" si="5"/>
        <v>0.25</v>
      </c>
      <c r="AD9" s="10">
        <f t="shared" si="6"/>
        <v>0.25</v>
      </c>
      <c r="AE9" s="39">
        <f t="shared" si="7"/>
        <v>0.41636156576774147</v>
      </c>
      <c r="AF9" s="93">
        <f t="shared" si="8"/>
        <v>4</v>
      </c>
    </row>
    <row r="10" spans="1:32" ht="27" customHeight="1">
      <c r="A10" s="109">
        <v>4</v>
      </c>
      <c r="B10" s="11" t="s">
        <v>57</v>
      </c>
      <c r="C10" s="11" t="s">
        <v>125</v>
      </c>
      <c r="D10" s="55" t="s">
        <v>123</v>
      </c>
      <c r="E10" s="57" t="s">
        <v>724</v>
      </c>
      <c r="F10" s="12" t="s">
        <v>170</v>
      </c>
      <c r="G10" s="12">
        <v>1</v>
      </c>
      <c r="H10" s="13">
        <v>25</v>
      </c>
      <c r="I10" s="7">
        <v>500</v>
      </c>
      <c r="J10" s="5">
        <v>570</v>
      </c>
      <c r="K10" s="15">
        <f>L10</f>
        <v>570</v>
      </c>
      <c r="L10" s="15">
        <v>570</v>
      </c>
      <c r="M10" s="16">
        <f t="shared" ref="M10" si="9">L10-N10</f>
        <v>570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4</v>
      </c>
      <c r="Q10" s="43">
        <f t="shared" ref="Q10" si="12">SUM(R10:AA10)</f>
        <v>20</v>
      </c>
      <c r="R10" s="7"/>
      <c r="S10" s="6"/>
      <c r="T10" s="17"/>
      <c r="U10" s="17"/>
      <c r="V10" s="18"/>
      <c r="W10" s="19">
        <v>20</v>
      </c>
      <c r="X10" s="17"/>
      <c r="Y10" s="20"/>
      <c r="Z10" s="20"/>
      <c r="AA10" s="21"/>
      <c r="AB10" s="8">
        <f t="shared" ref="AB10" si="13">IF(J10=0,"0",(L10/J10))</f>
        <v>1</v>
      </c>
      <c r="AC10" s="9">
        <f t="shared" ref="AC10" si="14">IF(P10=0,"0",(P10/24))</f>
        <v>0.16666666666666666</v>
      </c>
      <c r="AD10" s="10">
        <f t="shared" ref="AD10" si="15">AC10*AB10*(1-O10)</f>
        <v>0.16666666666666666</v>
      </c>
      <c r="AE10" s="39">
        <f t="shared" si="7"/>
        <v>0.41636156576774147</v>
      </c>
      <c r="AF10" s="93">
        <f t="shared" ref="AF10" si="16">A10</f>
        <v>4</v>
      </c>
    </row>
    <row r="11" spans="1:32" ht="27" customHeight="1">
      <c r="A11" s="109">
        <v>4</v>
      </c>
      <c r="B11" s="11" t="s">
        <v>57</v>
      </c>
      <c r="C11" s="11" t="s">
        <v>125</v>
      </c>
      <c r="D11" s="55" t="s">
        <v>171</v>
      </c>
      <c r="E11" s="57" t="s">
        <v>783</v>
      </c>
      <c r="F11" s="12" t="s">
        <v>170</v>
      </c>
      <c r="G11" s="12">
        <v>1</v>
      </c>
      <c r="H11" s="13">
        <v>25</v>
      </c>
      <c r="I11" s="7">
        <v>500</v>
      </c>
      <c r="J11" s="5">
        <v>650</v>
      </c>
      <c r="K11" s="15">
        <f>L11</f>
        <v>650</v>
      </c>
      <c r="L11" s="15">
        <v>650</v>
      </c>
      <c r="M11" s="16">
        <f t="shared" ref="M11" si="17">L11-N11</f>
        <v>650</v>
      </c>
      <c r="N11" s="16">
        <v>0</v>
      </c>
      <c r="O11" s="62">
        <f t="shared" ref="O11" si="18">IF(L11=0,"0",N11/L11)</f>
        <v>0</v>
      </c>
      <c r="P11" s="42">
        <f t="shared" ref="P11" si="19">IF(L11=0,"0",(24-Q11))</f>
        <v>4</v>
      </c>
      <c r="Q11" s="43">
        <f t="shared" ref="Q11" si="20">SUM(R11:AA11)</f>
        <v>20</v>
      </c>
      <c r="R11" s="7"/>
      <c r="S11" s="6"/>
      <c r="T11" s="17"/>
      <c r="U11" s="17"/>
      <c r="V11" s="18"/>
      <c r="W11" s="19">
        <v>20</v>
      </c>
      <c r="X11" s="17"/>
      <c r="Y11" s="20"/>
      <c r="Z11" s="20"/>
      <c r="AA11" s="21"/>
      <c r="AB11" s="8">
        <f t="shared" ref="AB11" si="21">IF(J11=0,"0",(L11/J11))</f>
        <v>1</v>
      </c>
      <c r="AC11" s="9">
        <f t="shared" ref="AC11" si="22">IF(P11=0,"0",(P11/24))</f>
        <v>0.16666666666666666</v>
      </c>
      <c r="AD11" s="10">
        <f t="shared" ref="AD11" si="23">AC11*AB11*(1-O11)</f>
        <v>0.16666666666666666</v>
      </c>
      <c r="AE11" s="39">
        <f t="shared" si="7"/>
        <v>0.41636156576774147</v>
      </c>
      <c r="AF11" s="93">
        <f t="shared" ref="AF11" si="24">A11</f>
        <v>4</v>
      </c>
    </row>
    <row r="12" spans="1:32" ht="27" customHeight="1">
      <c r="A12" s="109">
        <v>5</v>
      </c>
      <c r="B12" s="11" t="s">
        <v>57</v>
      </c>
      <c r="C12" s="11" t="s">
        <v>362</v>
      </c>
      <c r="D12" s="55" t="s">
        <v>784</v>
      </c>
      <c r="E12" s="57" t="s">
        <v>757</v>
      </c>
      <c r="F12" s="12" t="s">
        <v>132</v>
      </c>
      <c r="G12" s="12">
        <v>2</v>
      </c>
      <c r="H12" s="13">
        <v>25</v>
      </c>
      <c r="I12" s="7">
        <v>60000</v>
      </c>
      <c r="J12" s="14">
        <v>12630</v>
      </c>
      <c r="K12" s="15">
        <f>L12</f>
        <v>12622</v>
      </c>
      <c r="L12" s="15">
        <f>2789*2+3522*2</f>
        <v>12622</v>
      </c>
      <c r="M12" s="16">
        <f t="shared" si="0"/>
        <v>12622</v>
      </c>
      <c r="N12" s="16">
        <v>0</v>
      </c>
      <c r="O12" s="62">
        <f t="shared" si="1"/>
        <v>0</v>
      </c>
      <c r="P12" s="42">
        <f t="shared" si="2"/>
        <v>18</v>
      </c>
      <c r="Q12" s="43">
        <f t="shared" si="3"/>
        <v>6</v>
      </c>
      <c r="R12" s="7"/>
      <c r="S12" s="6">
        <v>4</v>
      </c>
      <c r="T12" s="17">
        <v>2</v>
      </c>
      <c r="U12" s="17"/>
      <c r="V12" s="18"/>
      <c r="W12" s="19"/>
      <c r="X12" s="17"/>
      <c r="Y12" s="20"/>
      <c r="Z12" s="20"/>
      <c r="AA12" s="21"/>
      <c r="AB12" s="8">
        <f t="shared" si="4"/>
        <v>0.99936658749010288</v>
      </c>
      <c r="AC12" s="9">
        <f t="shared" si="5"/>
        <v>0.75</v>
      </c>
      <c r="AD12" s="10">
        <f t="shared" si="6"/>
        <v>0.74952494061757713</v>
      </c>
      <c r="AE12" s="39">
        <f t="shared" si="7"/>
        <v>0.41636156576774147</v>
      </c>
      <c r="AF12" s="93">
        <f t="shared" si="8"/>
        <v>5</v>
      </c>
    </row>
    <row r="13" spans="1:32" ht="27" customHeight="1">
      <c r="A13" s="109">
        <v>6</v>
      </c>
      <c r="B13" s="11" t="s">
        <v>57</v>
      </c>
      <c r="C13" s="37" t="s">
        <v>167</v>
      </c>
      <c r="D13" s="55" t="s">
        <v>734</v>
      </c>
      <c r="E13" s="57" t="s">
        <v>735</v>
      </c>
      <c r="F13" s="12" t="s">
        <v>736</v>
      </c>
      <c r="G13" s="12">
        <v>1</v>
      </c>
      <c r="H13" s="13">
        <v>25</v>
      </c>
      <c r="I13" s="34">
        <v>1000</v>
      </c>
      <c r="J13" s="5">
        <v>1090</v>
      </c>
      <c r="K13" s="15">
        <f>L13+1090</f>
        <v>1090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0.41636156576774147</v>
      </c>
      <c r="AF13" s="93">
        <f t="shared" si="8"/>
        <v>6</v>
      </c>
    </row>
    <row r="14" spans="1:32" ht="27" customHeight="1">
      <c r="A14" s="109">
        <v>7</v>
      </c>
      <c r="B14" s="11" t="s">
        <v>57</v>
      </c>
      <c r="C14" s="11" t="s">
        <v>125</v>
      </c>
      <c r="D14" s="55" t="s">
        <v>499</v>
      </c>
      <c r="E14" s="57" t="s">
        <v>301</v>
      </c>
      <c r="F14" s="12" t="s">
        <v>447</v>
      </c>
      <c r="G14" s="12">
        <v>1</v>
      </c>
      <c r="H14" s="13">
        <v>25</v>
      </c>
      <c r="I14" s="7">
        <v>30000</v>
      </c>
      <c r="J14" s="14">
        <v>3510</v>
      </c>
      <c r="K14" s="15">
        <f>L14+1359+1862+4005+5478+5816+627+2726</f>
        <v>25379</v>
      </c>
      <c r="L14" s="15">
        <f>947+2559</f>
        <v>3506</v>
      </c>
      <c r="M14" s="16">
        <f t="shared" si="0"/>
        <v>3506</v>
      </c>
      <c r="N14" s="16">
        <v>0</v>
      </c>
      <c r="O14" s="62">
        <f t="shared" si="1"/>
        <v>0</v>
      </c>
      <c r="P14" s="42">
        <f t="shared" si="2"/>
        <v>18</v>
      </c>
      <c r="Q14" s="43">
        <f t="shared" si="3"/>
        <v>6</v>
      </c>
      <c r="R14" s="7"/>
      <c r="S14" s="6">
        <v>6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0.9988603988603989</v>
      </c>
      <c r="AC14" s="9">
        <f t="shared" si="5"/>
        <v>0.75</v>
      </c>
      <c r="AD14" s="10">
        <f t="shared" si="6"/>
        <v>0.74914529914529915</v>
      </c>
      <c r="AE14" s="39">
        <f t="shared" si="7"/>
        <v>0.41636156576774147</v>
      </c>
      <c r="AF14" s="93">
        <f t="shared" si="8"/>
        <v>7</v>
      </c>
    </row>
    <row r="15" spans="1:32" ht="27" customHeight="1">
      <c r="A15" s="109">
        <v>8</v>
      </c>
      <c r="B15" s="11" t="s">
        <v>57</v>
      </c>
      <c r="C15" s="11" t="s">
        <v>125</v>
      </c>
      <c r="D15" s="55" t="s">
        <v>123</v>
      </c>
      <c r="E15" s="57" t="s">
        <v>145</v>
      </c>
      <c r="F15" s="12" t="s">
        <v>132</v>
      </c>
      <c r="G15" s="12">
        <v>1</v>
      </c>
      <c r="H15" s="13">
        <v>25</v>
      </c>
      <c r="I15" s="7">
        <v>28000</v>
      </c>
      <c r="J15" s="14">
        <v>2676</v>
      </c>
      <c r="K15" s="15">
        <f>L15+2514+5794+3897+4264+2651+4494+5687</f>
        <v>31977</v>
      </c>
      <c r="L15" s="15">
        <f>2676</f>
        <v>2676</v>
      </c>
      <c r="M15" s="16">
        <f t="shared" si="0"/>
        <v>2676</v>
      </c>
      <c r="N15" s="16">
        <v>0</v>
      </c>
      <c r="O15" s="62">
        <f t="shared" si="1"/>
        <v>0</v>
      </c>
      <c r="P15" s="42">
        <f t="shared" si="2"/>
        <v>13</v>
      </c>
      <c r="Q15" s="43">
        <f t="shared" si="3"/>
        <v>11</v>
      </c>
      <c r="R15" s="7"/>
      <c r="S15" s="6">
        <v>11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0.54166666666666663</v>
      </c>
      <c r="AD15" s="10">
        <f t="shared" si="6"/>
        <v>0.54166666666666663</v>
      </c>
      <c r="AE15" s="39">
        <f t="shared" si="7"/>
        <v>0.41636156576774147</v>
      </c>
      <c r="AF15" s="93">
        <f t="shared" si="8"/>
        <v>8</v>
      </c>
    </row>
    <row r="16" spans="1:32" ht="27" customHeight="1">
      <c r="A16" s="108">
        <v>9</v>
      </c>
      <c r="B16" s="11" t="s">
        <v>57</v>
      </c>
      <c r="C16" s="37" t="s">
        <v>114</v>
      </c>
      <c r="D16" s="55" t="s">
        <v>123</v>
      </c>
      <c r="E16" s="57" t="s">
        <v>691</v>
      </c>
      <c r="F16" s="33" t="s">
        <v>692</v>
      </c>
      <c r="G16" s="36">
        <v>1</v>
      </c>
      <c r="H16" s="38">
        <v>25</v>
      </c>
      <c r="I16" s="7">
        <v>1000</v>
      </c>
      <c r="J16" s="5">
        <v>1068</v>
      </c>
      <c r="K16" s="15">
        <f>L16+1068</f>
        <v>1068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>
        <v>24</v>
      </c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0.41636156576774147</v>
      </c>
      <c r="AF16" s="93">
        <f t="shared" si="8"/>
        <v>9</v>
      </c>
    </row>
    <row r="17" spans="1:32" ht="27" customHeight="1">
      <c r="A17" s="108">
        <v>10</v>
      </c>
      <c r="B17" s="11" t="s">
        <v>57</v>
      </c>
      <c r="C17" s="11" t="s">
        <v>362</v>
      </c>
      <c r="D17" s="55" t="s">
        <v>126</v>
      </c>
      <c r="E17" s="57" t="s">
        <v>760</v>
      </c>
      <c r="F17" s="12" t="s">
        <v>736</v>
      </c>
      <c r="G17" s="12">
        <v>1</v>
      </c>
      <c r="H17" s="13">
        <v>24</v>
      </c>
      <c r="I17" s="34">
        <v>13000</v>
      </c>
      <c r="J17" s="14">
        <v>2100</v>
      </c>
      <c r="K17" s="15">
        <f>L17</f>
        <v>2100</v>
      </c>
      <c r="L17" s="15">
        <f>2100</f>
        <v>2100</v>
      </c>
      <c r="M17" s="16">
        <f t="shared" si="0"/>
        <v>2100</v>
      </c>
      <c r="N17" s="16">
        <v>0</v>
      </c>
      <c r="O17" s="62">
        <f t="shared" si="1"/>
        <v>0</v>
      </c>
      <c r="P17" s="42">
        <f t="shared" si="2"/>
        <v>14</v>
      </c>
      <c r="Q17" s="43">
        <f t="shared" si="3"/>
        <v>10</v>
      </c>
      <c r="R17" s="7"/>
      <c r="S17" s="6">
        <v>10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0.58333333333333337</v>
      </c>
      <c r="AD17" s="10">
        <f t="shared" si="6"/>
        <v>0.58333333333333337</v>
      </c>
      <c r="AE17" s="39">
        <f t="shared" si="7"/>
        <v>0.41636156576774147</v>
      </c>
      <c r="AF17" s="93">
        <f t="shared" si="8"/>
        <v>10</v>
      </c>
    </row>
    <row r="18" spans="1:32" ht="27" customHeight="1">
      <c r="A18" s="108">
        <v>11</v>
      </c>
      <c r="B18" s="11" t="s">
        <v>57</v>
      </c>
      <c r="C18" s="37" t="s">
        <v>125</v>
      </c>
      <c r="D18" s="55" t="s">
        <v>219</v>
      </c>
      <c r="E18" s="57" t="s">
        <v>765</v>
      </c>
      <c r="F18" s="33" t="s">
        <v>170</v>
      </c>
      <c r="G18" s="36">
        <v>1</v>
      </c>
      <c r="H18" s="38">
        <v>25</v>
      </c>
      <c r="I18" s="7">
        <v>2000</v>
      </c>
      <c r="J18" s="5">
        <v>3080</v>
      </c>
      <c r="K18" s="15">
        <f>L18</f>
        <v>3078</v>
      </c>
      <c r="L18" s="15">
        <f>1539*2</f>
        <v>3078</v>
      </c>
      <c r="M18" s="16">
        <f t="shared" si="0"/>
        <v>3078</v>
      </c>
      <c r="N18" s="16">
        <v>0</v>
      </c>
      <c r="O18" s="62">
        <f t="shared" si="1"/>
        <v>0</v>
      </c>
      <c r="P18" s="42">
        <f t="shared" si="2"/>
        <v>8</v>
      </c>
      <c r="Q18" s="43">
        <f t="shared" si="3"/>
        <v>16</v>
      </c>
      <c r="R18" s="7"/>
      <c r="S18" s="6"/>
      <c r="T18" s="17"/>
      <c r="U18" s="17"/>
      <c r="V18" s="18"/>
      <c r="W18" s="19">
        <v>16</v>
      </c>
      <c r="X18" s="17"/>
      <c r="Y18" s="20"/>
      <c r="Z18" s="20"/>
      <c r="AA18" s="21"/>
      <c r="AB18" s="8">
        <f t="shared" si="4"/>
        <v>0.99935064935064932</v>
      </c>
      <c r="AC18" s="9">
        <f t="shared" si="5"/>
        <v>0.33333333333333331</v>
      </c>
      <c r="AD18" s="10">
        <f t="shared" si="6"/>
        <v>0.33311688311688309</v>
      </c>
      <c r="AE18" s="39">
        <f t="shared" si="7"/>
        <v>0.41636156576774147</v>
      </c>
      <c r="AF18" s="93">
        <f t="shared" si="8"/>
        <v>11</v>
      </c>
    </row>
    <row r="19" spans="1:32" ht="27" customHeight="1">
      <c r="A19" s="108">
        <v>11</v>
      </c>
      <c r="B19" s="11" t="s">
        <v>57</v>
      </c>
      <c r="C19" s="37" t="s">
        <v>125</v>
      </c>
      <c r="D19" s="55" t="s">
        <v>734</v>
      </c>
      <c r="E19" s="57" t="s">
        <v>788</v>
      </c>
      <c r="F19" s="33" t="s">
        <v>170</v>
      </c>
      <c r="G19" s="36">
        <v>1</v>
      </c>
      <c r="H19" s="38">
        <v>25</v>
      </c>
      <c r="I19" s="7">
        <v>500</v>
      </c>
      <c r="J19" s="5">
        <v>625</v>
      </c>
      <c r="K19" s="15">
        <f>L19</f>
        <v>625</v>
      </c>
      <c r="L19" s="15">
        <v>625</v>
      </c>
      <c r="M19" s="16">
        <f t="shared" ref="M19" si="25">L19-N19</f>
        <v>625</v>
      </c>
      <c r="N19" s="16">
        <v>0</v>
      </c>
      <c r="O19" s="62">
        <f t="shared" ref="O19" si="26">IF(L19=0,"0",N19/L19)</f>
        <v>0</v>
      </c>
      <c r="P19" s="42">
        <f t="shared" ref="P19" si="27">IF(L19=0,"0",(24-Q19))</f>
        <v>4</v>
      </c>
      <c r="Q19" s="43">
        <f t="shared" ref="Q19" si="28">SUM(R19:AA19)</f>
        <v>20</v>
      </c>
      <c r="R19" s="7"/>
      <c r="S19" s="6"/>
      <c r="T19" s="17"/>
      <c r="U19" s="17"/>
      <c r="V19" s="18"/>
      <c r="W19" s="19">
        <v>20</v>
      </c>
      <c r="X19" s="17"/>
      <c r="Y19" s="20"/>
      <c r="Z19" s="20"/>
      <c r="AA19" s="21"/>
      <c r="AB19" s="8">
        <f t="shared" ref="AB19" si="29">IF(J19=0,"0",(L19/J19))</f>
        <v>1</v>
      </c>
      <c r="AC19" s="9">
        <f t="shared" ref="AC19" si="30">IF(P19=0,"0",(P19/24))</f>
        <v>0.16666666666666666</v>
      </c>
      <c r="AD19" s="10">
        <f t="shared" ref="AD19" si="31">AC19*AB19*(1-O19)</f>
        <v>0.16666666666666666</v>
      </c>
      <c r="AE19" s="39">
        <f t="shared" si="7"/>
        <v>0.41636156576774147</v>
      </c>
      <c r="AF19" s="93">
        <f t="shared" ref="AF19" si="32">A19</f>
        <v>11</v>
      </c>
    </row>
    <row r="20" spans="1:32" ht="27" customHeight="1">
      <c r="A20" s="108">
        <v>12</v>
      </c>
      <c r="B20" s="11" t="s">
        <v>57</v>
      </c>
      <c r="C20" s="11" t="s">
        <v>125</v>
      </c>
      <c r="D20" s="55" t="s">
        <v>675</v>
      </c>
      <c r="E20" s="57" t="s">
        <v>785</v>
      </c>
      <c r="F20" s="12" t="s">
        <v>786</v>
      </c>
      <c r="G20" s="12">
        <v>1</v>
      </c>
      <c r="H20" s="13">
        <v>24</v>
      </c>
      <c r="I20" s="34">
        <v>500</v>
      </c>
      <c r="J20" s="14">
        <v>627</v>
      </c>
      <c r="K20" s="15">
        <f>L20</f>
        <v>627</v>
      </c>
      <c r="L20" s="15">
        <v>627</v>
      </c>
      <c r="M20" s="16">
        <f t="shared" si="0"/>
        <v>627</v>
      </c>
      <c r="N20" s="16">
        <v>0</v>
      </c>
      <c r="O20" s="62">
        <f t="shared" si="1"/>
        <v>0</v>
      </c>
      <c r="P20" s="42">
        <f t="shared" si="2"/>
        <v>4</v>
      </c>
      <c r="Q20" s="43">
        <f t="shared" si="3"/>
        <v>20</v>
      </c>
      <c r="R20" s="7"/>
      <c r="S20" s="6"/>
      <c r="T20" s="17"/>
      <c r="U20" s="17"/>
      <c r="V20" s="18"/>
      <c r="W20" s="19">
        <v>20</v>
      </c>
      <c r="X20" s="17"/>
      <c r="Y20" s="20"/>
      <c r="Z20" s="20"/>
      <c r="AA20" s="21"/>
      <c r="AB20" s="8">
        <f t="shared" si="4"/>
        <v>1</v>
      </c>
      <c r="AC20" s="9">
        <f t="shared" si="5"/>
        <v>0.16666666666666666</v>
      </c>
      <c r="AD20" s="10">
        <f t="shared" si="6"/>
        <v>0.16666666666666666</v>
      </c>
      <c r="AE20" s="39">
        <f t="shared" si="7"/>
        <v>0.41636156576774147</v>
      </c>
      <c r="AF20" s="93">
        <f t="shared" si="8"/>
        <v>12</v>
      </c>
    </row>
    <row r="21" spans="1:32" ht="27" customHeight="1">
      <c r="A21" s="109">
        <v>13</v>
      </c>
      <c r="B21" s="11" t="s">
        <v>57</v>
      </c>
      <c r="C21" s="37" t="s">
        <v>292</v>
      </c>
      <c r="D21" s="55" t="s">
        <v>787</v>
      </c>
      <c r="E21" s="57" t="s">
        <v>766</v>
      </c>
      <c r="F21" s="12" t="s">
        <v>295</v>
      </c>
      <c r="G21" s="36">
        <v>1</v>
      </c>
      <c r="H21" s="38">
        <v>30</v>
      </c>
      <c r="I21" s="7">
        <v>2000</v>
      </c>
      <c r="J21" s="5">
        <v>2090</v>
      </c>
      <c r="K21" s="15">
        <f>L21</f>
        <v>2082</v>
      </c>
      <c r="L21" s="15">
        <f>1095+987</f>
        <v>2082</v>
      </c>
      <c r="M21" s="16">
        <f t="shared" si="0"/>
        <v>2082</v>
      </c>
      <c r="N21" s="16">
        <v>0</v>
      </c>
      <c r="O21" s="62">
        <f t="shared" si="1"/>
        <v>0</v>
      </c>
      <c r="P21" s="42">
        <f t="shared" si="2"/>
        <v>19</v>
      </c>
      <c r="Q21" s="43">
        <f t="shared" si="3"/>
        <v>5</v>
      </c>
      <c r="R21" s="7"/>
      <c r="S21" s="6"/>
      <c r="T21" s="17"/>
      <c r="U21" s="17"/>
      <c r="V21" s="18"/>
      <c r="W21" s="19">
        <v>5</v>
      </c>
      <c r="X21" s="17"/>
      <c r="Y21" s="20"/>
      <c r="Z21" s="20"/>
      <c r="AA21" s="21"/>
      <c r="AB21" s="8">
        <f t="shared" si="4"/>
        <v>0.99617224880382771</v>
      </c>
      <c r="AC21" s="9">
        <f t="shared" si="5"/>
        <v>0.79166666666666663</v>
      </c>
      <c r="AD21" s="10">
        <f t="shared" si="6"/>
        <v>0.78863636363636358</v>
      </c>
      <c r="AE21" s="39">
        <f t="shared" si="7"/>
        <v>0.41636156576774147</v>
      </c>
      <c r="AF21" s="93">
        <f t="shared" si="8"/>
        <v>13</v>
      </c>
    </row>
    <row r="22" spans="1:32" ht="27" customHeight="1">
      <c r="A22" s="109">
        <v>14</v>
      </c>
      <c r="B22" s="11" t="s">
        <v>341</v>
      </c>
      <c r="C22" s="37" t="s">
        <v>167</v>
      </c>
      <c r="D22" s="55" t="s">
        <v>741</v>
      </c>
      <c r="E22" s="57" t="s">
        <v>742</v>
      </c>
      <c r="F22" s="33" t="s">
        <v>743</v>
      </c>
      <c r="G22" s="12">
        <v>1</v>
      </c>
      <c r="H22" s="13">
        <v>25</v>
      </c>
      <c r="I22" s="34">
        <v>10000</v>
      </c>
      <c r="J22" s="5">
        <v>2711</v>
      </c>
      <c r="K22" s="15">
        <f>L22+1683</f>
        <v>4394</v>
      </c>
      <c r="L22" s="15">
        <f>2711</f>
        <v>2711</v>
      </c>
      <c r="M22" s="16">
        <f t="shared" si="0"/>
        <v>2711</v>
      </c>
      <c r="N22" s="16">
        <v>0</v>
      </c>
      <c r="O22" s="62">
        <f t="shared" si="1"/>
        <v>0</v>
      </c>
      <c r="P22" s="42">
        <f t="shared" si="2"/>
        <v>14</v>
      </c>
      <c r="Q22" s="43">
        <f t="shared" si="3"/>
        <v>10</v>
      </c>
      <c r="R22" s="7"/>
      <c r="S22" s="6">
        <v>10</v>
      </c>
      <c r="T22" s="17"/>
      <c r="U22" s="17"/>
      <c r="V22" s="18"/>
      <c r="W22" s="19"/>
      <c r="X22" s="17"/>
      <c r="Y22" s="20"/>
      <c r="Z22" s="20"/>
      <c r="AA22" s="21"/>
      <c r="AB22" s="8">
        <f t="shared" si="4"/>
        <v>1</v>
      </c>
      <c r="AC22" s="9">
        <f t="shared" si="5"/>
        <v>0.58333333333333337</v>
      </c>
      <c r="AD22" s="10">
        <f t="shared" si="6"/>
        <v>0.58333333333333337</v>
      </c>
      <c r="AE22" s="39">
        <f t="shared" si="7"/>
        <v>0.41636156576774147</v>
      </c>
      <c r="AF22" s="93">
        <f t="shared" si="8"/>
        <v>14</v>
      </c>
    </row>
    <row r="23" spans="1:32" ht="27" customHeight="1" thickBot="1">
      <c r="A23" s="109">
        <v>15</v>
      </c>
      <c r="B23" s="11" t="s">
        <v>57</v>
      </c>
      <c r="C23" s="11" t="s">
        <v>121</v>
      </c>
      <c r="D23" s="55"/>
      <c r="E23" s="56" t="s">
        <v>124</v>
      </c>
      <c r="F23" s="12" t="s">
        <v>122</v>
      </c>
      <c r="G23" s="12">
        <v>4</v>
      </c>
      <c r="H23" s="38">
        <v>20</v>
      </c>
      <c r="I23" s="7">
        <v>300000</v>
      </c>
      <c r="J23" s="14">
        <v>51280</v>
      </c>
      <c r="K23" s="15">
        <f>L23+44148+50632</f>
        <v>146060</v>
      </c>
      <c r="L23" s="15">
        <f>6763*4+6057*4</f>
        <v>51280</v>
      </c>
      <c r="M23" s="16">
        <f t="shared" si="0"/>
        <v>51280</v>
      </c>
      <c r="N23" s="16">
        <v>0</v>
      </c>
      <c r="O23" s="62">
        <f t="shared" si="1"/>
        <v>0</v>
      </c>
      <c r="P23" s="42">
        <f t="shared" si="2"/>
        <v>24</v>
      </c>
      <c r="Q23" s="43">
        <f t="shared" si="3"/>
        <v>0</v>
      </c>
      <c r="R23" s="7"/>
      <c r="S23" s="6"/>
      <c r="T23" s="17"/>
      <c r="U23" s="17"/>
      <c r="V23" s="18"/>
      <c r="W23" s="19"/>
      <c r="X23" s="17"/>
      <c r="Y23" s="20"/>
      <c r="Z23" s="20"/>
      <c r="AA23" s="21"/>
      <c r="AB23" s="8">
        <f t="shared" si="4"/>
        <v>1</v>
      </c>
      <c r="AC23" s="9">
        <f t="shared" si="5"/>
        <v>1</v>
      </c>
      <c r="AD23" s="10">
        <f t="shared" si="6"/>
        <v>1</v>
      </c>
      <c r="AE23" s="39">
        <f t="shared" si="7"/>
        <v>0.41636156576774147</v>
      </c>
      <c r="AF23" s="93">
        <f t="shared" si="8"/>
        <v>15</v>
      </c>
    </row>
    <row r="24" spans="1:32" ht="31.5" customHeight="1" thickBot="1">
      <c r="A24" s="450" t="s">
        <v>34</v>
      </c>
      <c r="B24" s="451"/>
      <c r="C24" s="451"/>
      <c r="D24" s="451"/>
      <c r="E24" s="451"/>
      <c r="F24" s="451"/>
      <c r="G24" s="451"/>
      <c r="H24" s="452"/>
      <c r="I24" s="25">
        <f t="shared" ref="I24:N24" si="33">SUM(I6:I23)</f>
        <v>653000</v>
      </c>
      <c r="J24" s="22">
        <f t="shared" si="33"/>
        <v>125607</v>
      </c>
      <c r="K24" s="23">
        <f t="shared" si="33"/>
        <v>422859</v>
      </c>
      <c r="L24" s="24">
        <f t="shared" si="33"/>
        <v>83727</v>
      </c>
      <c r="M24" s="23">
        <f t="shared" si="33"/>
        <v>83727</v>
      </c>
      <c r="N24" s="24">
        <f t="shared" si="33"/>
        <v>0</v>
      </c>
      <c r="O24" s="44">
        <f t="shared" si="1"/>
        <v>0</v>
      </c>
      <c r="P24" s="45">
        <f t="shared" ref="P24:AA24" si="34">SUM(P6:P23)</f>
        <v>150</v>
      </c>
      <c r="Q24" s="46">
        <f t="shared" si="34"/>
        <v>282</v>
      </c>
      <c r="R24" s="26">
        <f t="shared" si="34"/>
        <v>48</v>
      </c>
      <c r="S24" s="27">
        <f t="shared" si="34"/>
        <v>41</v>
      </c>
      <c r="T24" s="27">
        <f t="shared" si="34"/>
        <v>2</v>
      </c>
      <c r="U24" s="27">
        <f t="shared" si="34"/>
        <v>0</v>
      </c>
      <c r="V24" s="28">
        <f t="shared" si="34"/>
        <v>0</v>
      </c>
      <c r="W24" s="29">
        <f t="shared" si="34"/>
        <v>191</v>
      </c>
      <c r="X24" s="30">
        <f t="shared" si="34"/>
        <v>0</v>
      </c>
      <c r="Y24" s="30">
        <f t="shared" si="34"/>
        <v>0</v>
      </c>
      <c r="Z24" s="30">
        <f t="shared" si="34"/>
        <v>0</v>
      </c>
      <c r="AA24" s="30">
        <f t="shared" si="34"/>
        <v>0</v>
      </c>
      <c r="AB24" s="31">
        <f>SUM(AB6:AB23)/15</f>
        <v>0.86624999230033195</v>
      </c>
      <c r="AC24" s="4">
        <f>SUM(AC6:AC23)/15</f>
        <v>0.41666666666666663</v>
      </c>
      <c r="AD24" s="4">
        <f>SUM(AD6:AD23)/15</f>
        <v>0.41636156576774147</v>
      </c>
      <c r="AE24" s="32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1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</row>
    <row r="35" spans="1:32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94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F40" s="53"/>
    </row>
    <row r="41" spans="1:32" ht="27">
      <c r="A41" s="63"/>
      <c r="B41" s="63"/>
      <c r="C41" s="63"/>
      <c r="D41" s="63"/>
      <c r="E41" s="63"/>
      <c r="F41" s="64"/>
      <c r="G41" s="64"/>
      <c r="H41" s="65"/>
      <c r="I41" s="65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F41" s="53"/>
    </row>
    <row r="42" spans="1:32" ht="29.25" customHeight="1">
      <c r="A42" s="66"/>
      <c r="B42" s="66"/>
      <c r="C42" s="67"/>
      <c r="D42" s="67"/>
      <c r="E42" s="67"/>
      <c r="F42" s="66"/>
      <c r="G42" s="66"/>
      <c r="H42" s="66"/>
      <c r="I42" s="66"/>
      <c r="J42" s="66"/>
      <c r="K42" s="66"/>
      <c r="L42" s="66"/>
      <c r="M42" s="67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29.25" customHeight="1">
      <c r="A49" s="66"/>
      <c r="B49" s="66"/>
      <c r="C49" s="68"/>
      <c r="D49" s="67"/>
      <c r="E49" s="67"/>
      <c r="F49" s="66"/>
      <c r="G49" s="66"/>
      <c r="H49" s="66"/>
      <c r="I49" s="66"/>
      <c r="J49" s="66"/>
      <c r="K49" s="66"/>
      <c r="L49" s="66"/>
      <c r="M49" s="68"/>
      <c r="N49" s="66"/>
      <c r="O49" s="66"/>
      <c r="P49" s="69"/>
      <c r="Q49" s="69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66"/>
      <c r="AC49" s="66"/>
      <c r="AD49" s="66"/>
      <c r="AF49" s="53"/>
    </row>
    <row r="50" spans="1:32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36" thickBot="1">
      <c r="A51" s="453" t="s">
        <v>45</v>
      </c>
      <c r="B51" s="453"/>
      <c r="C51" s="453"/>
      <c r="D51" s="453"/>
      <c r="E51" s="453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F51" s="53"/>
    </row>
    <row r="52" spans="1:32" ht="26.25" thickBot="1">
      <c r="A52" s="454" t="s">
        <v>789</v>
      </c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6"/>
      <c r="N52" s="457" t="s">
        <v>807</v>
      </c>
      <c r="O52" s="458"/>
      <c r="P52" s="458"/>
      <c r="Q52" s="458"/>
      <c r="R52" s="458"/>
      <c r="S52" s="458"/>
      <c r="T52" s="458"/>
      <c r="U52" s="458"/>
      <c r="V52" s="458"/>
      <c r="W52" s="458"/>
      <c r="X52" s="458"/>
      <c r="Y52" s="458"/>
      <c r="Z52" s="458"/>
      <c r="AA52" s="458"/>
      <c r="AB52" s="458"/>
      <c r="AC52" s="458"/>
      <c r="AD52" s="459"/>
    </row>
    <row r="53" spans="1:32" ht="27" customHeight="1">
      <c r="A53" s="460" t="s">
        <v>2</v>
      </c>
      <c r="B53" s="461"/>
      <c r="C53" s="281" t="s">
        <v>46</v>
      </c>
      <c r="D53" s="281" t="s">
        <v>47</v>
      </c>
      <c r="E53" s="281" t="s">
        <v>108</v>
      </c>
      <c r="F53" s="461" t="s">
        <v>107</v>
      </c>
      <c r="G53" s="461"/>
      <c r="H53" s="461"/>
      <c r="I53" s="461"/>
      <c r="J53" s="461"/>
      <c r="K53" s="461"/>
      <c r="L53" s="461"/>
      <c r="M53" s="462"/>
      <c r="N53" s="73" t="s">
        <v>112</v>
      </c>
      <c r="O53" s="281" t="s">
        <v>46</v>
      </c>
      <c r="P53" s="463" t="s">
        <v>47</v>
      </c>
      <c r="Q53" s="464"/>
      <c r="R53" s="463" t="s">
        <v>38</v>
      </c>
      <c r="S53" s="465"/>
      <c r="T53" s="465"/>
      <c r="U53" s="464"/>
      <c r="V53" s="463" t="s">
        <v>48</v>
      </c>
      <c r="W53" s="465"/>
      <c r="X53" s="465"/>
      <c r="Y53" s="465"/>
      <c r="Z53" s="465"/>
      <c r="AA53" s="465"/>
      <c r="AB53" s="465"/>
      <c r="AC53" s="465"/>
      <c r="AD53" s="466"/>
    </row>
    <row r="54" spans="1:32" ht="27" customHeight="1">
      <c r="A54" s="439" t="s">
        <v>125</v>
      </c>
      <c r="B54" s="440"/>
      <c r="C54" s="283" t="s">
        <v>182</v>
      </c>
      <c r="D54" s="283" t="s">
        <v>123</v>
      </c>
      <c r="E54" s="283" t="s">
        <v>724</v>
      </c>
      <c r="F54" s="431" t="s">
        <v>707</v>
      </c>
      <c r="G54" s="431"/>
      <c r="H54" s="431"/>
      <c r="I54" s="431"/>
      <c r="J54" s="431"/>
      <c r="K54" s="431"/>
      <c r="L54" s="431"/>
      <c r="M54" s="441"/>
      <c r="N54" s="282" t="s">
        <v>125</v>
      </c>
      <c r="O54" s="124" t="s">
        <v>182</v>
      </c>
      <c r="P54" s="440" t="s">
        <v>754</v>
      </c>
      <c r="Q54" s="440"/>
      <c r="R54" s="440" t="s">
        <v>808</v>
      </c>
      <c r="S54" s="440"/>
      <c r="T54" s="440"/>
      <c r="U54" s="440"/>
      <c r="V54" s="431" t="s">
        <v>745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167</v>
      </c>
      <c r="B55" s="440"/>
      <c r="C55" s="283" t="s">
        <v>791</v>
      </c>
      <c r="D55" s="283" t="s">
        <v>792</v>
      </c>
      <c r="E55" s="283" t="s">
        <v>790</v>
      </c>
      <c r="F55" s="431" t="s">
        <v>745</v>
      </c>
      <c r="G55" s="431"/>
      <c r="H55" s="431"/>
      <c r="I55" s="431"/>
      <c r="J55" s="431"/>
      <c r="K55" s="431"/>
      <c r="L55" s="431"/>
      <c r="M55" s="441"/>
      <c r="N55" s="282" t="s">
        <v>702</v>
      </c>
      <c r="O55" s="124" t="s">
        <v>182</v>
      </c>
      <c r="P55" s="440" t="s">
        <v>374</v>
      </c>
      <c r="Q55" s="440"/>
      <c r="R55" s="440" t="s">
        <v>809</v>
      </c>
      <c r="S55" s="440"/>
      <c r="T55" s="440"/>
      <c r="U55" s="440"/>
      <c r="V55" s="431" t="s">
        <v>130</v>
      </c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702</v>
      </c>
      <c r="B56" s="440"/>
      <c r="C56" s="283" t="s">
        <v>306</v>
      </c>
      <c r="D56" s="283" t="s">
        <v>704</v>
      </c>
      <c r="E56" s="283" t="s">
        <v>705</v>
      </c>
      <c r="F56" s="431" t="s">
        <v>461</v>
      </c>
      <c r="G56" s="431"/>
      <c r="H56" s="431"/>
      <c r="I56" s="431"/>
      <c r="J56" s="431"/>
      <c r="K56" s="431"/>
      <c r="L56" s="431"/>
      <c r="M56" s="441"/>
      <c r="N56" s="282" t="s">
        <v>758</v>
      </c>
      <c r="O56" s="124" t="s">
        <v>759</v>
      </c>
      <c r="P56" s="440"/>
      <c r="Q56" s="440"/>
      <c r="R56" s="440" t="s">
        <v>757</v>
      </c>
      <c r="S56" s="440"/>
      <c r="T56" s="440"/>
      <c r="U56" s="440"/>
      <c r="V56" s="431" t="s">
        <v>196</v>
      </c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 t="s">
        <v>125</v>
      </c>
      <c r="B57" s="440"/>
      <c r="C57" s="291" t="s">
        <v>209</v>
      </c>
      <c r="D57" s="291" t="s">
        <v>126</v>
      </c>
      <c r="E57" s="291" t="s">
        <v>721</v>
      </c>
      <c r="F57" s="431" t="s">
        <v>196</v>
      </c>
      <c r="G57" s="431"/>
      <c r="H57" s="431"/>
      <c r="I57" s="431"/>
      <c r="J57" s="431"/>
      <c r="K57" s="431"/>
      <c r="L57" s="431"/>
      <c r="M57" s="441"/>
      <c r="N57" s="282" t="s">
        <v>125</v>
      </c>
      <c r="O57" s="124" t="s">
        <v>810</v>
      </c>
      <c r="P57" s="440" t="s">
        <v>811</v>
      </c>
      <c r="Q57" s="440"/>
      <c r="R57" s="440" t="s">
        <v>812</v>
      </c>
      <c r="S57" s="440"/>
      <c r="T57" s="440"/>
      <c r="U57" s="440"/>
      <c r="V57" s="431" t="s">
        <v>196</v>
      </c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 t="s">
        <v>125</v>
      </c>
      <c r="B58" s="440"/>
      <c r="C58" s="283" t="s">
        <v>791</v>
      </c>
      <c r="D58" s="283" t="s">
        <v>794</v>
      </c>
      <c r="E58" s="283" t="s">
        <v>793</v>
      </c>
      <c r="F58" s="431" t="s">
        <v>130</v>
      </c>
      <c r="G58" s="431"/>
      <c r="H58" s="431"/>
      <c r="I58" s="431"/>
      <c r="J58" s="431"/>
      <c r="K58" s="431"/>
      <c r="L58" s="431"/>
      <c r="M58" s="441"/>
      <c r="N58" s="282" t="s">
        <v>125</v>
      </c>
      <c r="O58" s="124" t="s">
        <v>813</v>
      </c>
      <c r="P58" s="440" t="s">
        <v>811</v>
      </c>
      <c r="Q58" s="440"/>
      <c r="R58" s="440" t="s">
        <v>814</v>
      </c>
      <c r="S58" s="440"/>
      <c r="T58" s="440"/>
      <c r="U58" s="440"/>
      <c r="V58" s="431" t="s">
        <v>130</v>
      </c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 t="s">
        <v>797</v>
      </c>
      <c r="B59" s="440"/>
      <c r="C59" s="283" t="s">
        <v>798</v>
      </c>
      <c r="D59" s="283"/>
      <c r="E59" s="283" t="s">
        <v>795</v>
      </c>
      <c r="F59" s="431" t="s">
        <v>266</v>
      </c>
      <c r="G59" s="431"/>
      <c r="H59" s="431"/>
      <c r="I59" s="431"/>
      <c r="J59" s="431"/>
      <c r="K59" s="431"/>
      <c r="L59" s="431"/>
      <c r="M59" s="441"/>
      <c r="N59" s="282" t="s">
        <v>125</v>
      </c>
      <c r="O59" s="124" t="s">
        <v>801</v>
      </c>
      <c r="P59" s="446" t="s">
        <v>792</v>
      </c>
      <c r="Q59" s="447"/>
      <c r="R59" s="440" t="s">
        <v>815</v>
      </c>
      <c r="S59" s="440"/>
      <c r="T59" s="440"/>
      <c r="U59" s="440"/>
      <c r="V59" s="431" t="s">
        <v>130</v>
      </c>
      <c r="W59" s="431"/>
      <c r="X59" s="431"/>
      <c r="Y59" s="431"/>
      <c r="Z59" s="431"/>
      <c r="AA59" s="431"/>
      <c r="AB59" s="431"/>
      <c r="AC59" s="431"/>
      <c r="AD59" s="441"/>
    </row>
    <row r="60" spans="1:32" ht="27" customHeight="1">
      <c r="A60" s="439" t="s">
        <v>797</v>
      </c>
      <c r="B60" s="440"/>
      <c r="C60" s="283" t="s">
        <v>799</v>
      </c>
      <c r="D60" s="283"/>
      <c r="E60" s="283" t="s">
        <v>796</v>
      </c>
      <c r="F60" s="431" t="s">
        <v>711</v>
      </c>
      <c r="G60" s="431"/>
      <c r="H60" s="431"/>
      <c r="I60" s="431"/>
      <c r="J60" s="431"/>
      <c r="K60" s="431"/>
      <c r="L60" s="431"/>
      <c r="M60" s="441"/>
      <c r="N60" s="282" t="s">
        <v>817</v>
      </c>
      <c r="O60" s="124" t="s">
        <v>818</v>
      </c>
      <c r="P60" s="446" t="s">
        <v>794</v>
      </c>
      <c r="Q60" s="447"/>
      <c r="R60" s="440" t="s">
        <v>816</v>
      </c>
      <c r="S60" s="440"/>
      <c r="T60" s="440"/>
      <c r="U60" s="440"/>
      <c r="V60" s="431" t="s">
        <v>130</v>
      </c>
      <c r="W60" s="431"/>
      <c r="X60" s="431"/>
      <c r="Y60" s="431"/>
      <c r="Z60" s="431"/>
      <c r="AA60" s="431"/>
      <c r="AB60" s="431"/>
      <c r="AC60" s="431"/>
      <c r="AD60" s="441"/>
    </row>
    <row r="61" spans="1:32" ht="27" customHeight="1">
      <c r="A61" s="439" t="s">
        <v>125</v>
      </c>
      <c r="B61" s="440"/>
      <c r="C61" s="283" t="s">
        <v>801</v>
      </c>
      <c r="D61" s="283" t="s">
        <v>802</v>
      </c>
      <c r="E61" s="283" t="s">
        <v>800</v>
      </c>
      <c r="F61" s="431" t="s">
        <v>130</v>
      </c>
      <c r="G61" s="431"/>
      <c r="H61" s="431"/>
      <c r="I61" s="431"/>
      <c r="J61" s="431"/>
      <c r="K61" s="431"/>
      <c r="L61" s="431"/>
      <c r="M61" s="441"/>
      <c r="N61" s="282"/>
      <c r="O61" s="124"/>
      <c r="P61" s="446"/>
      <c r="Q61" s="447"/>
      <c r="R61" s="440"/>
      <c r="S61" s="440"/>
      <c r="T61" s="440"/>
      <c r="U61" s="440"/>
      <c r="V61" s="431"/>
      <c r="W61" s="431"/>
      <c r="X61" s="431"/>
      <c r="Y61" s="431"/>
      <c r="Z61" s="431"/>
      <c r="AA61" s="431"/>
      <c r="AB61" s="431"/>
      <c r="AC61" s="431"/>
      <c r="AD61" s="441"/>
    </row>
    <row r="62" spans="1:32" ht="27" customHeight="1">
      <c r="A62" s="439" t="s">
        <v>125</v>
      </c>
      <c r="B62" s="440"/>
      <c r="C62" s="283" t="s">
        <v>801</v>
      </c>
      <c r="D62" s="283" t="s">
        <v>803</v>
      </c>
      <c r="E62" s="283" t="s">
        <v>804</v>
      </c>
      <c r="F62" s="431" t="s">
        <v>130</v>
      </c>
      <c r="G62" s="431"/>
      <c r="H62" s="431"/>
      <c r="I62" s="431"/>
      <c r="J62" s="431"/>
      <c r="K62" s="431"/>
      <c r="L62" s="431"/>
      <c r="M62" s="441"/>
      <c r="N62" s="282"/>
      <c r="O62" s="124"/>
      <c r="P62" s="440"/>
      <c r="Q62" s="440"/>
      <c r="R62" s="440"/>
      <c r="S62" s="440"/>
      <c r="T62" s="440"/>
      <c r="U62" s="440"/>
      <c r="V62" s="431"/>
      <c r="W62" s="431"/>
      <c r="X62" s="431"/>
      <c r="Y62" s="431"/>
      <c r="Z62" s="431"/>
      <c r="AA62" s="431"/>
      <c r="AB62" s="431"/>
      <c r="AC62" s="431"/>
      <c r="AD62" s="441"/>
      <c r="AF62" s="93">
        <f>8*3000</f>
        <v>24000</v>
      </c>
    </row>
    <row r="63" spans="1:32" ht="27" customHeight="1" thickBot="1">
      <c r="A63" s="442" t="s">
        <v>125</v>
      </c>
      <c r="B63" s="443"/>
      <c r="C63" s="285" t="s">
        <v>805</v>
      </c>
      <c r="D63" s="285" t="s">
        <v>794</v>
      </c>
      <c r="E63" s="285" t="s">
        <v>806</v>
      </c>
      <c r="F63" s="431" t="s">
        <v>130</v>
      </c>
      <c r="G63" s="431"/>
      <c r="H63" s="431"/>
      <c r="I63" s="431"/>
      <c r="J63" s="431"/>
      <c r="K63" s="431"/>
      <c r="L63" s="431"/>
      <c r="M63" s="441"/>
      <c r="N63" s="284"/>
      <c r="O63" s="120"/>
      <c r="P63" s="443"/>
      <c r="Q63" s="443"/>
      <c r="R63" s="443"/>
      <c r="S63" s="443"/>
      <c r="T63" s="443"/>
      <c r="U63" s="443"/>
      <c r="V63" s="444"/>
      <c r="W63" s="444"/>
      <c r="X63" s="444"/>
      <c r="Y63" s="444"/>
      <c r="Z63" s="444"/>
      <c r="AA63" s="444"/>
      <c r="AB63" s="444"/>
      <c r="AC63" s="444"/>
      <c r="AD63" s="445"/>
      <c r="AF63" s="93">
        <f>16*3000</f>
        <v>48000</v>
      </c>
    </row>
    <row r="64" spans="1:32" ht="27.75" thickBot="1">
      <c r="A64" s="437" t="s">
        <v>819</v>
      </c>
      <c r="B64" s="437"/>
      <c r="C64" s="437"/>
      <c r="D64" s="437"/>
      <c r="E64" s="437"/>
      <c r="F64" s="40"/>
      <c r="G64" s="40"/>
      <c r="H64" s="41"/>
      <c r="I64" s="41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F64" s="93">
        <v>24000</v>
      </c>
    </row>
    <row r="65" spans="1:32" ht="29.25" customHeight="1" thickBot="1">
      <c r="A65" s="438" t="s">
        <v>113</v>
      </c>
      <c r="B65" s="435"/>
      <c r="C65" s="286" t="s">
        <v>2</v>
      </c>
      <c r="D65" s="286" t="s">
        <v>37</v>
      </c>
      <c r="E65" s="286" t="s">
        <v>3</v>
      </c>
      <c r="F65" s="435" t="s">
        <v>110</v>
      </c>
      <c r="G65" s="435"/>
      <c r="H65" s="435"/>
      <c r="I65" s="435"/>
      <c r="J65" s="435"/>
      <c r="K65" s="435" t="s">
        <v>39</v>
      </c>
      <c r="L65" s="435"/>
      <c r="M65" s="286" t="s">
        <v>40</v>
      </c>
      <c r="N65" s="435" t="s">
        <v>41</v>
      </c>
      <c r="O65" s="435"/>
      <c r="P65" s="432" t="s">
        <v>42</v>
      </c>
      <c r="Q65" s="434"/>
      <c r="R65" s="432" t="s">
        <v>43</v>
      </c>
      <c r="S65" s="433"/>
      <c r="T65" s="433"/>
      <c r="U65" s="433"/>
      <c r="V65" s="433"/>
      <c r="W65" s="433"/>
      <c r="X65" s="433"/>
      <c r="Y65" s="433"/>
      <c r="Z65" s="433"/>
      <c r="AA65" s="434"/>
      <c r="AB65" s="435" t="s">
        <v>44</v>
      </c>
      <c r="AC65" s="435"/>
      <c r="AD65" s="436"/>
      <c r="AF65" s="93">
        <f>SUM(AF62:AF64)</f>
        <v>96000</v>
      </c>
    </row>
    <row r="66" spans="1:32" ht="25.5" customHeight="1">
      <c r="A66" s="427">
        <v>1</v>
      </c>
      <c r="B66" s="428"/>
      <c r="C66" s="123" t="s">
        <v>125</v>
      </c>
      <c r="D66" s="289"/>
      <c r="E66" s="287" t="s">
        <v>171</v>
      </c>
      <c r="F66" s="429" t="s">
        <v>783</v>
      </c>
      <c r="G66" s="421"/>
      <c r="H66" s="421"/>
      <c r="I66" s="421"/>
      <c r="J66" s="421"/>
      <c r="K66" s="421" t="s">
        <v>170</v>
      </c>
      <c r="L66" s="421"/>
      <c r="M66" s="54" t="s">
        <v>215</v>
      </c>
      <c r="N66" s="421">
        <v>4</v>
      </c>
      <c r="O66" s="421"/>
      <c r="P66" s="430">
        <v>50</v>
      </c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2</v>
      </c>
      <c r="B67" s="428"/>
      <c r="C67" s="123" t="s">
        <v>167</v>
      </c>
      <c r="D67" s="289"/>
      <c r="E67" s="287" t="s">
        <v>675</v>
      </c>
      <c r="F67" s="429" t="s">
        <v>820</v>
      </c>
      <c r="G67" s="421"/>
      <c r="H67" s="421"/>
      <c r="I67" s="421"/>
      <c r="J67" s="421"/>
      <c r="K67" s="421" t="s">
        <v>170</v>
      </c>
      <c r="L67" s="421"/>
      <c r="M67" s="54" t="s">
        <v>215</v>
      </c>
      <c r="N67" s="421">
        <v>4</v>
      </c>
      <c r="O67" s="421"/>
      <c r="P67" s="430">
        <v>50</v>
      </c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3</v>
      </c>
      <c r="B68" s="428"/>
      <c r="C68" s="123"/>
      <c r="D68" s="289"/>
      <c r="E68" s="287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4</v>
      </c>
      <c r="B69" s="428"/>
      <c r="C69" s="123"/>
      <c r="D69" s="289"/>
      <c r="E69" s="287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5</v>
      </c>
      <c r="B70" s="428"/>
      <c r="C70" s="123"/>
      <c r="D70" s="289"/>
      <c r="E70" s="287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5.5" customHeight="1">
      <c r="A71" s="427">
        <v>6</v>
      </c>
      <c r="B71" s="428"/>
      <c r="C71" s="123"/>
      <c r="D71" s="289"/>
      <c r="E71" s="287"/>
      <c r="F71" s="429"/>
      <c r="G71" s="421"/>
      <c r="H71" s="421"/>
      <c r="I71" s="421"/>
      <c r="J71" s="421"/>
      <c r="K71" s="421"/>
      <c r="L71" s="421"/>
      <c r="M71" s="54"/>
      <c r="N71" s="421"/>
      <c r="O71" s="421"/>
      <c r="P71" s="430"/>
      <c r="Q71" s="430"/>
      <c r="R71" s="431"/>
      <c r="S71" s="431"/>
      <c r="T71" s="431"/>
      <c r="U71" s="431"/>
      <c r="V71" s="431"/>
      <c r="W71" s="431"/>
      <c r="X71" s="431"/>
      <c r="Y71" s="431"/>
      <c r="Z71" s="431"/>
      <c r="AA71" s="431"/>
      <c r="AB71" s="421"/>
      <c r="AC71" s="421"/>
      <c r="AD71" s="422"/>
      <c r="AF71" s="53"/>
    </row>
    <row r="72" spans="1:32" ht="25.5" customHeight="1">
      <c r="A72" s="427">
        <v>7</v>
      </c>
      <c r="B72" s="428"/>
      <c r="C72" s="123"/>
      <c r="D72" s="289"/>
      <c r="E72" s="287"/>
      <c r="F72" s="429"/>
      <c r="G72" s="421"/>
      <c r="H72" s="421"/>
      <c r="I72" s="421"/>
      <c r="J72" s="421"/>
      <c r="K72" s="421"/>
      <c r="L72" s="421"/>
      <c r="M72" s="54"/>
      <c r="N72" s="421"/>
      <c r="O72" s="421"/>
      <c r="P72" s="430"/>
      <c r="Q72" s="430"/>
      <c r="R72" s="431"/>
      <c r="S72" s="431"/>
      <c r="T72" s="431"/>
      <c r="U72" s="431"/>
      <c r="V72" s="431"/>
      <c r="W72" s="431"/>
      <c r="X72" s="431"/>
      <c r="Y72" s="431"/>
      <c r="Z72" s="431"/>
      <c r="AA72" s="431"/>
      <c r="AB72" s="421"/>
      <c r="AC72" s="421"/>
      <c r="AD72" s="422"/>
      <c r="AF72" s="53"/>
    </row>
    <row r="73" spans="1:32" ht="25.5" customHeight="1">
      <c r="A73" s="427">
        <v>8</v>
      </c>
      <c r="B73" s="428"/>
      <c r="C73" s="123"/>
      <c r="D73" s="289"/>
      <c r="E73" s="287"/>
      <c r="F73" s="429"/>
      <c r="G73" s="421"/>
      <c r="H73" s="421"/>
      <c r="I73" s="421"/>
      <c r="J73" s="421"/>
      <c r="K73" s="421"/>
      <c r="L73" s="421"/>
      <c r="M73" s="54"/>
      <c r="N73" s="421"/>
      <c r="O73" s="421"/>
      <c r="P73" s="430"/>
      <c r="Q73" s="430"/>
      <c r="R73" s="431"/>
      <c r="S73" s="431"/>
      <c r="T73" s="431"/>
      <c r="U73" s="431"/>
      <c r="V73" s="431"/>
      <c r="W73" s="431"/>
      <c r="X73" s="431"/>
      <c r="Y73" s="431"/>
      <c r="Z73" s="431"/>
      <c r="AA73" s="431"/>
      <c r="AB73" s="421"/>
      <c r="AC73" s="421"/>
      <c r="AD73" s="422"/>
      <c r="AF73" s="53"/>
    </row>
    <row r="74" spans="1:32" ht="26.25" customHeight="1" thickBot="1">
      <c r="A74" s="401" t="s">
        <v>821</v>
      </c>
      <c r="B74" s="401"/>
      <c r="C74" s="401"/>
      <c r="D74" s="401"/>
      <c r="E74" s="401"/>
      <c r="F74" s="40"/>
      <c r="G74" s="40"/>
      <c r="H74" s="41"/>
      <c r="I74" s="41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F74" s="53"/>
    </row>
    <row r="75" spans="1:32" ht="23.25" thickBot="1">
      <c r="A75" s="402" t="s">
        <v>113</v>
      </c>
      <c r="B75" s="403"/>
      <c r="C75" s="288" t="s">
        <v>2</v>
      </c>
      <c r="D75" s="288" t="s">
        <v>37</v>
      </c>
      <c r="E75" s="288" t="s">
        <v>3</v>
      </c>
      <c r="F75" s="403" t="s">
        <v>38</v>
      </c>
      <c r="G75" s="403"/>
      <c r="H75" s="403"/>
      <c r="I75" s="403"/>
      <c r="J75" s="403"/>
      <c r="K75" s="423" t="s">
        <v>58</v>
      </c>
      <c r="L75" s="424"/>
      <c r="M75" s="424"/>
      <c r="N75" s="424"/>
      <c r="O75" s="424"/>
      <c r="P75" s="424"/>
      <c r="Q75" s="424"/>
      <c r="R75" s="424"/>
      <c r="S75" s="425"/>
      <c r="T75" s="403" t="s">
        <v>49</v>
      </c>
      <c r="U75" s="403"/>
      <c r="V75" s="423" t="s">
        <v>50</v>
      </c>
      <c r="W75" s="425"/>
      <c r="X75" s="424" t="s">
        <v>51</v>
      </c>
      <c r="Y75" s="424"/>
      <c r="Z75" s="424"/>
      <c r="AA75" s="424"/>
      <c r="AB75" s="424"/>
      <c r="AC75" s="424"/>
      <c r="AD75" s="426"/>
      <c r="AF75" s="53"/>
    </row>
    <row r="76" spans="1:32" ht="33.75" customHeight="1">
      <c r="A76" s="395">
        <v>1</v>
      </c>
      <c r="B76" s="396"/>
      <c r="C76" s="290" t="s">
        <v>114</v>
      </c>
      <c r="D76" s="290"/>
      <c r="E76" s="71" t="s">
        <v>119</v>
      </c>
      <c r="F76" s="410" t="s">
        <v>120</v>
      </c>
      <c r="G76" s="411"/>
      <c r="H76" s="411"/>
      <c r="I76" s="411"/>
      <c r="J76" s="412"/>
      <c r="K76" s="413" t="s">
        <v>115</v>
      </c>
      <c r="L76" s="414"/>
      <c r="M76" s="414"/>
      <c r="N76" s="414"/>
      <c r="O76" s="414"/>
      <c r="P76" s="414"/>
      <c r="Q76" s="414"/>
      <c r="R76" s="414"/>
      <c r="S76" s="415"/>
      <c r="T76" s="416">
        <v>42901</v>
      </c>
      <c r="U76" s="417"/>
      <c r="V76" s="418"/>
      <c r="W76" s="418"/>
      <c r="X76" s="419"/>
      <c r="Y76" s="419"/>
      <c r="Z76" s="419"/>
      <c r="AA76" s="419"/>
      <c r="AB76" s="419"/>
      <c r="AC76" s="419"/>
      <c r="AD76" s="420"/>
      <c r="AF76" s="53"/>
    </row>
    <row r="77" spans="1:32" ht="30" customHeight="1">
      <c r="A77" s="388">
        <f>A76+1</f>
        <v>2</v>
      </c>
      <c r="B77" s="389"/>
      <c r="C77" s="289" t="s">
        <v>114</v>
      </c>
      <c r="D77" s="289"/>
      <c r="E77" s="35" t="s">
        <v>116</v>
      </c>
      <c r="F77" s="389" t="s">
        <v>117</v>
      </c>
      <c r="G77" s="389"/>
      <c r="H77" s="389"/>
      <c r="I77" s="389"/>
      <c r="J77" s="389"/>
      <c r="K77" s="404" t="s">
        <v>118</v>
      </c>
      <c r="L77" s="405"/>
      <c r="M77" s="405"/>
      <c r="N77" s="405"/>
      <c r="O77" s="405"/>
      <c r="P77" s="405"/>
      <c r="Q77" s="405"/>
      <c r="R77" s="405"/>
      <c r="S77" s="406"/>
      <c r="T77" s="407">
        <v>42867</v>
      </c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ref="A78:A84" si="35">A77+1</f>
        <v>3</v>
      </c>
      <c r="B78" s="389"/>
      <c r="C78" s="289"/>
      <c r="D78" s="289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35"/>
        <v>4</v>
      </c>
      <c r="B79" s="389"/>
      <c r="C79" s="289"/>
      <c r="D79" s="289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35"/>
        <v>5</v>
      </c>
      <c r="B80" s="389"/>
      <c r="C80" s="289"/>
      <c r="D80" s="289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35"/>
        <v>6</v>
      </c>
      <c r="B81" s="389"/>
      <c r="C81" s="289"/>
      <c r="D81" s="289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0" customHeight="1">
      <c r="A82" s="388">
        <f t="shared" si="35"/>
        <v>7</v>
      </c>
      <c r="B82" s="389"/>
      <c r="C82" s="289"/>
      <c r="D82" s="289"/>
      <c r="E82" s="35"/>
      <c r="F82" s="389"/>
      <c r="G82" s="389"/>
      <c r="H82" s="389"/>
      <c r="I82" s="389"/>
      <c r="J82" s="389"/>
      <c r="K82" s="404"/>
      <c r="L82" s="405"/>
      <c r="M82" s="405"/>
      <c r="N82" s="405"/>
      <c r="O82" s="405"/>
      <c r="P82" s="405"/>
      <c r="Q82" s="405"/>
      <c r="R82" s="405"/>
      <c r="S82" s="406"/>
      <c r="T82" s="407"/>
      <c r="U82" s="407"/>
      <c r="V82" s="407"/>
      <c r="W82" s="407"/>
      <c r="X82" s="408"/>
      <c r="Y82" s="408"/>
      <c r="Z82" s="408"/>
      <c r="AA82" s="408"/>
      <c r="AB82" s="408"/>
      <c r="AC82" s="408"/>
      <c r="AD82" s="409"/>
      <c r="AF82" s="53"/>
    </row>
    <row r="83" spans="1:32" ht="30" customHeight="1">
      <c r="A83" s="388">
        <f t="shared" si="35"/>
        <v>8</v>
      </c>
      <c r="B83" s="389"/>
      <c r="C83" s="289"/>
      <c r="D83" s="289"/>
      <c r="E83" s="35"/>
      <c r="F83" s="389"/>
      <c r="G83" s="389"/>
      <c r="H83" s="389"/>
      <c r="I83" s="389"/>
      <c r="J83" s="389"/>
      <c r="K83" s="404"/>
      <c r="L83" s="405"/>
      <c r="M83" s="405"/>
      <c r="N83" s="405"/>
      <c r="O83" s="405"/>
      <c r="P83" s="405"/>
      <c r="Q83" s="405"/>
      <c r="R83" s="405"/>
      <c r="S83" s="406"/>
      <c r="T83" s="407"/>
      <c r="U83" s="407"/>
      <c r="V83" s="407"/>
      <c r="W83" s="407"/>
      <c r="X83" s="408"/>
      <c r="Y83" s="408"/>
      <c r="Z83" s="408"/>
      <c r="AA83" s="408"/>
      <c r="AB83" s="408"/>
      <c r="AC83" s="408"/>
      <c r="AD83" s="409"/>
      <c r="AF83" s="53"/>
    </row>
    <row r="84" spans="1:32" ht="30" customHeight="1">
      <c r="A84" s="388">
        <f t="shared" si="35"/>
        <v>9</v>
      </c>
      <c r="B84" s="389"/>
      <c r="C84" s="289"/>
      <c r="D84" s="289"/>
      <c r="E84" s="35"/>
      <c r="F84" s="389"/>
      <c r="G84" s="389"/>
      <c r="H84" s="389"/>
      <c r="I84" s="389"/>
      <c r="J84" s="389"/>
      <c r="K84" s="404"/>
      <c r="L84" s="405"/>
      <c r="M84" s="405"/>
      <c r="N84" s="405"/>
      <c r="O84" s="405"/>
      <c r="P84" s="405"/>
      <c r="Q84" s="405"/>
      <c r="R84" s="405"/>
      <c r="S84" s="406"/>
      <c r="T84" s="407"/>
      <c r="U84" s="407"/>
      <c r="V84" s="407"/>
      <c r="W84" s="407"/>
      <c r="X84" s="408"/>
      <c r="Y84" s="408"/>
      <c r="Z84" s="408"/>
      <c r="AA84" s="408"/>
      <c r="AB84" s="408"/>
      <c r="AC84" s="408"/>
      <c r="AD84" s="409"/>
      <c r="AF84" s="53"/>
    </row>
    <row r="85" spans="1:32" ht="36" thickBot="1">
      <c r="A85" s="401" t="s">
        <v>822</v>
      </c>
      <c r="B85" s="401"/>
      <c r="C85" s="401"/>
      <c r="D85" s="401"/>
      <c r="E85" s="401"/>
      <c r="F85" s="40"/>
      <c r="G85" s="40"/>
      <c r="H85" s="41"/>
      <c r="I85" s="41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F85" s="53"/>
    </row>
    <row r="86" spans="1:32" ht="30.75" customHeight="1" thickBot="1">
      <c r="A86" s="402" t="s">
        <v>113</v>
      </c>
      <c r="B86" s="403"/>
      <c r="C86" s="393" t="s">
        <v>52</v>
      </c>
      <c r="D86" s="393"/>
      <c r="E86" s="393" t="s">
        <v>53</v>
      </c>
      <c r="F86" s="393"/>
      <c r="G86" s="393"/>
      <c r="H86" s="393"/>
      <c r="I86" s="393"/>
      <c r="J86" s="393"/>
      <c r="K86" s="393" t="s">
        <v>54</v>
      </c>
      <c r="L86" s="393"/>
      <c r="M86" s="393"/>
      <c r="N86" s="393"/>
      <c r="O86" s="393"/>
      <c r="P86" s="393"/>
      <c r="Q86" s="393"/>
      <c r="R86" s="393"/>
      <c r="S86" s="393"/>
      <c r="T86" s="393" t="s">
        <v>55</v>
      </c>
      <c r="U86" s="393"/>
      <c r="V86" s="393" t="s">
        <v>56</v>
      </c>
      <c r="W86" s="393"/>
      <c r="X86" s="393"/>
      <c r="Y86" s="393" t="s">
        <v>51</v>
      </c>
      <c r="Z86" s="393"/>
      <c r="AA86" s="393"/>
      <c r="AB86" s="393"/>
      <c r="AC86" s="393"/>
      <c r="AD86" s="394"/>
      <c r="AF86" s="53"/>
    </row>
    <row r="87" spans="1:32" ht="30.75" customHeight="1">
      <c r="A87" s="395">
        <v>1</v>
      </c>
      <c r="B87" s="396"/>
      <c r="C87" s="397"/>
      <c r="D87" s="397"/>
      <c r="E87" s="397"/>
      <c r="F87" s="397"/>
      <c r="G87" s="397"/>
      <c r="H87" s="397"/>
      <c r="I87" s="397"/>
      <c r="J87" s="397"/>
      <c r="K87" s="397"/>
      <c r="L87" s="397"/>
      <c r="M87" s="397"/>
      <c r="N87" s="397"/>
      <c r="O87" s="397"/>
      <c r="P87" s="397"/>
      <c r="Q87" s="397"/>
      <c r="R87" s="397"/>
      <c r="S87" s="397"/>
      <c r="T87" s="397"/>
      <c r="U87" s="397"/>
      <c r="V87" s="398"/>
      <c r="W87" s="398"/>
      <c r="X87" s="398"/>
      <c r="Y87" s="399"/>
      <c r="Z87" s="399"/>
      <c r="AA87" s="399"/>
      <c r="AB87" s="399"/>
      <c r="AC87" s="399"/>
      <c r="AD87" s="400"/>
      <c r="AF87" s="53"/>
    </row>
    <row r="88" spans="1:32" ht="30.75" customHeight="1">
      <c r="A88" s="388">
        <v>2</v>
      </c>
      <c r="B88" s="389"/>
      <c r="C88" s="390"/>
      <c r="D88" s="390"/>
      <c r="E88" s="390"/>
      <c r="F88" s="390"/>
      <c r="G88" s="390"/>
      <c r="H88" s="390"/>
      <c r="I88" s="390"/>
      <c r="J88" s="390"/>
      <c r="K88" s="390"/>
      <c r="L88" s="390"/>
      <c r="M88" s="390"/>
      <c r="N88" s="390"/>
      <c r="O88" s="390"/>
      <c r="P88" s="390"/>
      <c r="Q88" s="390"/>
      <c r="R88" s="390"/>
      <c r="S88" s="390"/>
      <c r="T88" s="391"/>
      <c r="U88" s="391"/>
      <c r="V88" s="392"/>
      <c r="W88" s="392"/>
      <c r="X88" s="392"/>
      <c r="Y88" s="381"/>
      <c r="Z88" s="381"/>
      <c r="AA88" s="381"/>
      <c r="AB88" s="381"/>
      <c r="AC88" s="381"/>
      <c r="AD88" s="382"/>
      <c r="AF88" s="53"/>
    </row>
    <row r="89" spans="1:32" ht="30.75" customHeight="1" thickBot="1">
      <c r="A89" s="383">
        <v>3</v>
      </c>
      <c r="B89" s="384"/>
      <c r="C89" s="385"/>
      <c r="D89" s="385"/>
      <c r="E89" s="385"/>
      <c r="F89" s="385"/>
      <c r="G89" s="385"/>
      <c r="H89" s="385"/>
      <c r="I89" s="385"/>
      <c r="J89" s="385"/>
      <c r="K89" s="385"/>
      <c r="L89" s="385"/>
      <c r="M89" s="385"/>
      <c r="N89" s="385"/>
      <c r="O89" s="385"/>
      <c r="P89" s="385"/>
      <c r="Q89" s="385"/>
      <c r="R89" s="385"/>
      <c r="S89" s="385"/>
      <c r="T89" s="385"/>
      <c r="U89" s="385"/>
      <c r="V89" s="385"/>
      <c r="W89" s="385"/>
      <c r="X89" s="385"/>
      <c r="Y89" s="386"/>
      <c r="Z89" s="386"/>
      <c r="AA89" s="386"/>
      <c r="AB89" s="386"/>
      <c r="AC89" s="386"/>
      <c r="AD89" s="387"/>
      <c r="AF89" s="53"/>
    </row>
  </sheetData>
  <mergeCells count="230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50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C842-6A63-49AD-85F3-0B36B352C8C0}">
  <sheetPr>
    <pageSetUpPr fitToPage="1"/>
  </sheetPr>
  <dimension ref="A1:AF86"/>
  <sheetViews>
    <sheetView topLeftCell="A37" zoomScale="72" zoomScaleNormal="72" zoomScaleSheetLayoutView="70" workbookViewId="0">
      <selection activeCell="T12" sqref="T1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823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292" t="s">
        <v>17</v>
      </c>
      <c r="L5" s="292" t="s">
        <v>18</v>
      </c>
      <c r="M5" s="292" t="s">
        <v>19</v>
      </c>
      <c r="N5" s="29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0.35823356009070295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0.35823356009070295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292</v>
      </c>
      <c r="D8" s="55" t="s">
        <v>218</v>
      </c>
      <c r="E8" s="57" t="s">
        <v>523</v>
      </c>
      <c r="F8" s="33" t="s">
        <v>295</v>
      </c>
      <c r="G8" s="36">
        <v>1</v>
      </c>
      <c r="H8" s="38">
        <v>25</v>
      </c>
      <c r="I8" s="7">
        <v>2000</v>
      </c>
      <c r="J8" s="5">
        <v>2060</v>
      </c>
      <c r="K8" s="15">
        <f>L8+2059</f>
        <v>2059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0.35823356009070295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125</v>
      </c>
      <c r="D9" s="55" t="s">
        <v>123</v>
      </c>
      <c r="E9" s="57" t="s">
        <v>808</v>
      </c>
      <c r="F9" s="12" t="s">
        <v>230</v>
      </c>
      <c r="G9" s="12">
        <v>1</v>
      </c>
      <c r="H9" s="13">
        <v>25</v>
      </c>
      <c r="I9" s="7">
        <v>500</v>
      </c>
      <c r="J9" s="5">
        <v>735</v>
      </c>
      <c r="K9" s="15">
        <f>L9</f>
        <v>735</v>
      </c>
      <c r="L9" s="15">
        <v>735</v>
      </c>
      <c r="M9" s="16">
        <f t="shared" si="0"/>
        <v>735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0.35823356009070295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362</v>
      </c>
      <c r="D10" s="55" t="s">
        <v>784</v>
      </c>
      <c r="E10" s="57" t="s">
        <v>757</v>
      </c>
      <c r="F10" s="12" t="s">
        <v>132</v>
      </c>
      <c r="G10" s="12">
        <v>2</v>
      </c>
      <c r="H10" s="13">
        <v>25</v>
      </c>
      <c r="I10" s="7">
        <v>60000</v>
      </c>
      <c r="J10" s="14">
        <v>7434</v>
      </c>
      <c r="K10" s="15">
        <f>L10+12622</f>
        <v>20056</v>
      </c>
      <c r="L10" s="15">
        <f>820*2+2897*2</f>
        <v>7434</v>
      </c>
      <c r="M10" s="16">
        <f t="shared" si="0"/>
        <v>7434</v>
      </c>
      <c r="N10" s="16">
        <v>0</v>
      </c>
      <c r="O10" s="62">
        <f t="shared" si="1"/>
        <v>0</v>
      </c>
      <c r="P10" s="42">
        <f t="shared" si="2"/>
        <v>11</v>
      </c>
      <c r="Q10" s="43">
        <f t="shared" si="3"/>
        <v>13</v>
      </c>
      <c r="R10" s="7"/>
      <c r="S10" s="6">
        <v>13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0.45833333333333331</v>
      </c>
      <c r="AD10" s="10">
        <f t="shared" si="6"/>
        <v>0.45833333333333331</v>
      </c>
      <c r="AE10" s="39">
        <f t="shared" si="7"/>
        <v>0.35823356009070295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143</v>
      </c>
      <c r="D11" s="55" t="s">
        <v>126</v>
      </c>
      <c r="E11" s="57" t="s">
        <v>824</v>
      </c>
      <c r="F11" s="12" t="s">
        <v>133</v>
      </c>
      <c r="G11" s="12">
        <v>1</v>
      </c>
      <c r="H11" s="13">
        <v>25</v>
      </c>
      <c r="I11" s="34">
        <v>4000</v>
      </c>
      <c r="J11" s="5">
        <v>5141</v>
      </c>
      <c r="K11" s="15">
        <f>L11</f>
        <v>5141</v>
      </c>
      <c r="L11" s="15">
        <f>3141+2000</f>
        <v>5141</v>
      </c>
      <c r="M11" s="16">
        <f t="shared" si="0"/>
        <v>5141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0.35823356009070295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125</v>
      </c>
      <c r="D12" s="55" t="s">
        <v>152</v>
      </c>
      <c r="E12" s="57" t="s">
        <v>153</v>
      </c>
      <c r="F12" s="12" t="s">
        <v>447</v>
      </c>
      <c r="G12" s="12">
        <v>1</v>
      </c>
      <c r="H12" s="13">
        <v>25</v>
      </c>
      <c r="I12" s="7">
        <v>30000</v>
      </c>
      <c r="J12" s="14">
        <v>4900</v>
      </c>
      <c r="K12" s="15">
        <f>L12+1359+1862+4005+5478+5816+627+2726+3506</f>
        <v>30271</v>
      </c>
      <c r="L12" s="15">
        <f>3371+1521</f>
        <v>4892</v>
      </c>
      <c r="M12" s="16">
        <f t="shared" si="0"/>
        <v>4892</v>
      </c>
      <c r="N12" s="16">
        <v>0</v>
      </c>
      <c r="O12" s="62">
        <f t="shared" si="1"/>
        <v>0</v>
      </c>
      <c r="P12" s="42">
        <f t="shared" si="2"/>
        <v>22</v>
      </c>
      <c r="Q12" s="43">
        <f t="shared" si="3"/>
        <v>2</v>
      </c>
      <c r="R12" s="7"/>
      <c r="S12" s="6">
        <v>2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0.99836734693877549</v>
      </c>
      <c r="AC12" s="9">
        <f t="shared" si="5"/>
        <v>0.91666666666666663</v>
      </c>
      <c r="AD12" s="10">
        <f t="shared" si="6"/>
        <v>0.91517006802721079</v>
      </c>
      <c r="AE12" s="39">
        <f t="shared" si="7"/>
        <v>0.35823356009070295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152</v>
      </c>
      <c r="E13" s="57" t="s">
        <v>814</v>
      </c>
      <c r="F13" s="12" t="s">
        <v>132</v>
      </c>
      <c r="G13" s="12">
        <v>1</v>
      </c>
      <c r="H13" s="13">
        <v>25</v>
      </c>
      <c r="I13" s="7">
        <v>500</v>
      </c>
      <c r="J13" s="14">
        <v>653</v>
      </c>
      <c r="K13" s="15">
        <f>L13</f>
        <v>653</v>
      </c>
      <c r="L13" s="15">
        <f>480+173</f>
        <v>653</v>
      </c>
      <c r="M13" s="16">
        <f t="shared" si="0"/>
        <v>653</v>
      </c>
      <c r="N13" s="16">
        <v>0</v>
      </c>
      <c r="O13" s="62">
        <f t="shared" si="1"/>
        <v>0</v>
      </c>
      <c r="P13" s="42">
        <f t="shared" si="2"/>
        <v>5</v>
      </c>
      <c r="Q13" s="43">
        <f t="shared" si="3"/>
        <v>19</v>
      </c>
      <c r="R13" s="7"/>
      <c r="S13" s="6">
        <v>6</v>
      </c>
      <c r="T13" s="17"/>
      <c r="U13" s="17"/>
      <c r="V13" s="18"/>
      <c r="W13" s="19">
        <v>13</v>
      </c>
      <c r="X13" s="17"/>
      <c r="Y13" s="20"/>
      <c r="Z13" s="20"/>
      <c r="AA13" s="21"/>
      <c r="AB13" s="8">
        <f t="shared" si="4"/>
        <v>1</v>
      </c>
      <c r="AC13" s="9">
        <f t="shared" si="5"/>
        <v>0.20833333333333334</v>
      </c>
      <c r="AD13" s="10">
        <f t="shared" si="6"/>
        <v>0.20833333333333334</v>
      </c>
      <c r="AE13" s="39">
        <f t="shared" si="7"/>
        <v>0.35823356009070295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670</v>
      </c>
      <c r="F14" s="33" t="s">
        <v>447</v>
      </c>
      <c r="G14" s="36">
        <v>1</v>
      </c>
      <c r="H14" s="38">
        <v>25</v>
      </c>
      <c r="I14" s="7">
        <v>1000</v>
      </c>
      <c r="J14" s="5">
        <v>1068</v>
      </c>
      <c r="K14" s="15">
        <f>L14+1068</f>
        <v>1068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>
        <v>24</v>
      </c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0.35823356009070295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362</v>
      </c>
      <c r="D15" s="55" t="s">
        <v>126</v>
      </c>
      <c r="E15" s="57" t="s">
        <v>760</v>
      </c>
      <c r="F15" s="12" t="s">
        <v>736</v>
      </c>
      <c r="G15" s="12">
        <v>1</v>
      </c>
      <c r="H15" s="13">
        <v>24</v>
      </c>
      <c r="I15" s="34">
        <v>13000</v>
      </c>
      <c r="J15" s="14">
        <v>1275</v>
      </c>
      <c r="K15" s="15">
        <f>L15+2100</f>
        <v>3375</v>
      </c>
      <c r="L15" s="15">
        <f>1275</f>
        <v>1275</v>
      </c>
      <c r="M15" s="16">
        <f t="shared" si="0"/>
        <v>1275</v>
      </c>
      <c r="N15" s="16">
        <v>0</v>
      </c>
      <c r="O15" s="62">
        <f t="shared" si="1"/>
        <v>0</v>
      </c>
      <c r="P15" s="42">
        <f t="shared" si="2"/>
        <v>7</v>
      </c>
      <c r="Q15" s="43">
        <f t="shared" si="3"/>
        <v>17</v>
      </c>
      <c r="R15" s="7"/>
      <c r="S15" s="6"/>
      <c r="T15" s="17"/>
      <c r="U15" s="17"/>
      <c r="V15" s="18">
        <v>17</v>
      </c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0.29166666666666669</v>
      </c>
      <c r="AD15" s="10">
        <f t="shared" si="6"/>
        <v>0.29166666666666669</v>
      </c>
      <c r="AE15" s="39">
        <f t="shared" si="7"/>
        <v>0.35823356009070295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125</v>
      </c>
      <c r="D16" s="55" t="s">
        <v>171</v>
      </c>
      <c r="E16" s="57" t="s">
        <v>815</v>
      </c>
      <c r="F16" s="33" t="s">
        <v>170</v>
      </c>
      <c r="G16" s="36">
        <v>1</v>
      </c>
      <c r="H16" s="38">
        <v>25</v>
      </c>
      <c r="I16" s="7">
        <v>500</v>
      </c>
      <c r="J16" s="5">
        <v>714</v>
      </c>
      <c r="K16" s="15">
        <f>L16</f>
        <v>714</v>
      </c>
      <c r="L16" s="15">
        <f>714</f>
        <v>714</v>
      </c>
      <c r="M16" s="16">
        <f t="shared" si="0"/>
        <v>714</v>
      </c>
      <c r="N16" s="16">
        <v>0</v>
      </c>
      <c r="O16" s="62">
        <f t="shared" si="1"/>
        <v>0</v>
      </c>
      <c r="P16" s="42">
        <f t="shared" si="2"/>
        <v>4</v>
      </c>
      <c r="Q16" s="43">
        <f t="shared" si="3"/>
        <v>20</v>
      </c>
      <c r="R16" s="7"/>
      <c r="S16" s="6"/>
      <c r="T16" s="17"/>
      <c r="U16" s="17"/>
      <c r="V16" s="18"/>
      <c r="W16" s="19">
        <v>20</v>
      </c>
      <c r="X16" s="17"/>
      <c r="Y16" s="20"/>
      <c r="Z16" s="20"/>
      <c r="AA16" s="21"/>
      <c r="AB16" s="8">
        <f t="shared" si="4"/>
        <v>1</v>
      </c>
      <c r="AC16" s="9">
        <f t="shared" si="5"/>
        <v>0.16666666666666666</v>
      </c>
      <c r="AD16" s="10">
        <f t="shared" si="6"/>
        <v>0.16666666666666666</v>
      </c>
      <c r="AE16" s="39">
        <f t="shared" si="7"/>
        <v>0.35823356009070295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125</v>
      </c>
      <c r="D17" s="55" t="s">
        <v>675</v>
      </c>
      <c r="E17" s="57" t="s">
        <v>785</v>
      </c>
      <c r="F17" s="12" t="s">
        <v>786</v>
      </c>
      <c r="G17" s="12">
        <v>1</v>
      </c>
      <c r="H17" s="13">
        <v>24</v>
      </c>
      <c r="I17" s="34">
        <v>500</v>
      </c>
      <c r="J17" s="14">
        <v>627</v>
      </c>
      <c r="K17" s="15">
        <f>L17+627</f>
        <v>627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0.35823356009070295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292</v>
      </c>
      <c r="D18" s="55" t="s">
        <v>675</v>
      </c>
      <c r="E18" s="57" t="s">
        <v>672</v>
      </c>
      <c r="F18" s="12">
        <v>7301</v>
      </c>
      <c r="G18" s="36">
        <v>1</v>
      </c>
      <c r="H18" s="38">
        <v>30</v>
      </c>
      <c r="I18" s="7">
        <v>4000</v>
      </c>
      <c r="J18" s="5">
        <v>4111</v>
      </c>
      <c r="K18" s="15">
        <f>L18</f>
        <v>4111</v>
      </c>
      <c r="L18" s="15">
        <f>2169+1942</f>
        <v>4111</v>
      </c>
      <c r="M18" s="16">
        <f t="shared" si="0"/>
        <v>4111</v>
      </c>
      <c r="N18" s="16">
        <v>0</v>
      </c>
      <c r="O18" s="62">
        <f t="shared" si="1"/>
        <v>0</v>
      </c>
      <c r="P18" s="42">
        <f t="shared" si="2"/>
        <v>22</v>
      </c>
      <c r="Q18" s="43">
        <f t="shared" si="3"/>
        <v>2</v>
      </c>
      <c r="R18" s="7"/>
      <c r="S18" s="6"/>
      <c r="T18" s="17">
        <v>2</v>
      </c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9">
        <f t="shared" si="7"/>
        <v>0.35823356009070295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125</v>
      </c>
      <c r="D19" s="55" t="s">
        <v>126</v>
      </c>
      <c r="E19" s="57" t="s">
        <v>721</v>
      </c>
      <c r="F19" s="33" t="s">
        <v>133</v>
      </c>
      <c r="G19" s="12">
        <v>1</v>
      </c>
      <c r="H19" s="13">
        <v>25</v>
      </c>
      <c r="I19" s="34">
        <v>10000</v>
      </c>
      <c r="J19" s="5">
        <v>999</v>
      </c>
      <c r="K19" s="15">
        <f>L19+1683+2711</f>
        <v>5393</v>
      </c>
      <c r="L19" s="15">
        <v>999</v>
      </c>
      <c r="M19" s="16">
        <f t="shared" si="0"/>
        <v>999</v>
      </c>
      <c r="N19" s="16">
        <v>0</v>
      </c>
      <c r="O19" s="62">
        <f t="shared" si="1"/>
        <v>0</v>
      </c>
      <c r="P19" s="42">
        <f t="shared" si="2"/>
        <v>6</v>
      </c>
      <c r="Q19" s="43">
        <f t="shared" si="3"/>
        <v>18</v>
      </c>
      <c r="R19" s="7"/>
      <c r="S19" s="6">
        <v>18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9">
        <f t="shared" si="7"/>
        <v>0.35823356009070295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124</v>
      </c>
      <c r="F20" s="12" t="s">
        <v>122</v>
      </c>
      <c r="G20" s="12">
        <v>4</v>
      </c>
      <c r="H20" s="38">
        <v>20</v>
      </c>
      <c r="I20" s="7">
        <v>300000</v>
      </c>
      <c r="J20" s="14">
        <v>53100</v>
      </c>
      <c r="K20" s="15">
        <f>L20+44148+50632+51280</f>
        <v>199160</v>
      </c>
      <c r="L20" s="15">
        <f>7185*4+6090*4</f>
        <v>53100</v>
      </c>
      <c r="M20" s="16">
        <f t="shared" si="0"/>
        <v>53100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0.35823356009070295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627000</v>
      </c>
      <c r="J21" s="22">
        <f t="shared" si="9"/>
        <v>120457</v>
      </c>
      <c r="K21" s="23">
        <f t="shared" si="9"/>
        <v>460641</v>
      </c>
      <c r="L21" s="24">
        <f t="shared" si="9"/>
        <v>79054</v>
      </c>
      <c r="M21" s="23">
        <f t="shared" si="9"/>
        <v>79054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129</v>
      </c>
      <c r="Q21" s="46">
        <f t="shared" si="10"/>
        <v>231</v>
      </c>
      <c r="R21" s="26">
        <f t="shared" si="10"/>
        <v>48</v>
      </c>
      <c r="S21" s="27">
        <f t="shared" si="10"/>
        <v>39</v>
      </c>
      <c r="T21" s="27">
        <f t="shared" si="10"/>
        <v>2</v>
      </c>
      <c r="U21" s="27">
        <f t="shared" si="10"/>
        <v>0</v>
      </c>
      <c r="V21" s="28">
        <f t="shared" si="10"/>
        <v>17</v>
      </c>
      <c r="W21" s="29">
        <f t="shared" si="10"/>
        <v>125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0.6665578231292516</v>
      </c>
      <c r="AC21" s="4">
        <f>SUM(AC6:AC20)/15</f>
        <v>0.35833333333333334</v>
      </c>
      <c r="AD21" s="4">
        <f>SUM(AD6:AD20)/15</f>
        <v>0.35823356009070295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825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828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293" t="s">
        <v>46</v>
      </c>
      <c r="D50" s="293" t="s">
        <v>47</v>
      </c>
      <c r="E50" s="293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293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125</v>
      </c>
      <c r="B51" s="440"/>
      <c r="C51" s="295" t="s">
        <v>182</v>
      </c>
      <c r="D51" s="295" t="s">
        <v>123</v>
      </c>
      <c r="E51" s="295" t="s">
        <v>808</v>
      </c>
      <c r="F51" s="431" t="s">
        <v>130</v>
      </c>
      <c r="G51" s="431"/>
      <c r="H51" s="431"/>
      <c r="I51" s="431"/>
      <c r="J51" s="431"/>
      <c r="K51" s="431"/>
      <c r="L51" s="431"/>
      <c r="M51" s="441"/>
      <c r="N51" s="294" t="s">
        <v>125</v>
      </c>
      <c r="O51" s="124" t="s">
        <v>182</v>
      </c>
      <c r="P51" s="440" t="s">
        <v>374</v>
      </c>
      <c r="Q51" s="440"/>
      <c r="R51" s="440" t="s">
        <v>375</v>
      </c>
      <c r="S51" s="440"/>
      <c r="T51" s="440"/>
      <c r="U51" s="440"/>
      <c r="V51" s="431" t="s">
        <v>196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125</v>
      </c>
      <c r="B52" s="440"/>
      <c r="C52" s="295" t="s">
        <v>182</v>
      </c>
      <c r="D52" s="295" t="s">
        <v>374</v>
      </c>
      <c r="E52" s="295" t="s">
        <v>375</v>
      </c>
      <c r="F52" s="431" t="s">
        <v>826</v>
      </c>
      <c r="G52" s="431"/>
      <c r="H52" s="431"/>
      <c r="I52" s="431"/>
      <c r="J52" s="431"/>
      <c r="K52" s="431"/>
      <c r="L52" s="431"/>
      <c r="M52" s="441"/>
      <c r="N52" s="294" t="s">
        <v>362</v>
      </c>
      <c r="O52" s="124" t="s">
        <v>188</v>
      </c>
      <c r="P52" s="440"/>
      <c r="Q52" s="440"/>
      <c r="R52" s="440" t="s">
        <v>757</v>
      </c>
      <c r="S52" s="440"/>
      <c r="T52" s="440"/>
      <c r="U52" s="440"/>
      <c r="V52" s="431" t="s">
        <v>196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125</v>
      </c>
      <c r="B53" s="440"/>
      <c r="C53" s="295" t="s">
        <v>306</v>
      </c>
      <c r="D53" s="295" t="s">
        <v>152</v>
      </c>
      <c r="E53" s="295" t="s">
        <v>153</v>
      </c>
      <c r="F53" s="431" t="s">
        <v>196</v>
      </c>
      <c r="G53" s="431"/>
      <c r="H53" s="431"/>
      <c r="I53" s="431"/>
      <c r="J53" s="431"/>
      <c r="K53" s="431"/>
      <c r="L53" s="431"/>
      <c r="M53" s="441"/>
      <c r="N53" s="294" t="s">
        <v>125</v>
      </c>
      <c r="O53" s="124" t="s">
        <v>204</v>
      </c>
      <c r="P53" s="440" t="s">
        <v>607</v>
      </c>
      <c r="Q53" s="440"/>
      <c r="R53" s="440" t="s">
        <v>829</v>
      </c>
      <c r="S53" s="440"/>
      <c r="T53" s="440"/>
      <c r="U53" s="440"/>
      <c r="V53" s="431" t="s">
        <v>130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125</v>
      </c>
      <c r="B54" s="440"/>
      <c r="C54" s="295" t="s">
        <v>209</v>
      </c>
      <c r="D54" s="295" t="s">
        <v>126</v>
      </c>
      <c r="E54" s="295" t="s">
        <v>721</v>
      </c>
      <c r="F54" s="431" t="s">
        <v>252</v>
      </c>
      <c r="G54" s="431"/>
      <c r="H54" s="431"/>
      <c r="I54" s="431"/>
      <c r="J54" s="431"/>
      <c r="K54" s="431"/>
      <c r="L54" s="431"/>
      <c r="M54" s="441"/>
      <c r="N54" s="294" t="s">
        <v>114</v>
      </c>
      <c r="O54" s="124" t="s">
        <v>194</v>
      </c>
      <c r="P54" s="440" t="s">
        <v>171</v>
      </c>
      <c r="Q54" s="440"/>
      <c r="R54" s="440" t="s">
        <v>830</v>
      </c>
      <c r="S54" s="440"/>
      <c r="T54" s="440"/>
      <c r="U54" s="440"/>
      <c r="V54" s="431" t="s">
        <v>130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125</v>
      </c>
      <c r="B55" s="440"/>
      <c r="C55" s="295" t="s">
        <v>204</v>
      </c>
      <c r="D55" s="295" t="s">
        <v>152</v>
      </c>
      <c r="E55" s="295" t="s">
        <v>814</v>
      </c>
      <c r="F55" s="431" t="s">
        <v>827</v>
      </c>
      <c r="G55" s="431"/>
      <c r="H55" s="431"/>
      <c r="I55" s="431"/>
      <c r="J55" s="431"/>
      <c r="K55" s="431"/>
      <c r="L55" s="431"/>
      <c r="M55" s="441"/>
      <c r="N55" s="294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362</v>
      </c>
      <c r="B56" s="440"/>
      <c r="C56" s="295" t="s">
        <v>188</v>
      </c>
      <c r="D56" s="295"/>
      <c r="E56" s="295" t="s">
        <v>757</v>
      </c>
      <c r="F56" s="431" t="s">
        <v>461</v>
      </c>
      <c r="G56" s="431"/>
      <c r="H56" s="431"/>
      <c r="I56" s="431"/>
      <c r="J56" s="431"/>
      <c r="K56" s="431"/>
      <c r="L56" s="431"/>
      <c r="M56" s="441"/>
      <c r="N56" s="294"/>
      <c r="O56" s="124"/>
      <c r="P56" s="446"/>
      <c r="Q56" s="447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 t="s">
        <v>292</v>
      </c>
      <c r="B57" s="440"/>
      <c r="C57" s="295" t="s">
        <v>194</v>
      </c>
      <c r="D57" s="295" t="s">
        <v>675</v>
      </c>
      <c r="E57" s="295" t="s">
        <v>672</v>
      </c>
      <c r="F57" s="431" t="s">
        <v>130</v>
      </c>
      <c r="G57" s="431"/>
      <c r="H57" s="431"/>
      <c r="I57" s="431"/>
      <c r="J57" s="431"/>
      <c r="K57" s="431"/>
      <c r="L57" s="431"/>
      <c r="M57" s="441"/>
      <c r="N57" s="294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 t="s">
        <v>143</v>
      </c>
      <c r="B58" s="440"/>
      <c r="C58" s="295" t="s">
        <v>191</v>
      </c>
      <c r="D58" s="295" t="s">
        <v>126</v>
      </c>
      <c r="E58" s="295" t="s">
        <v>824</v>
      </c>
      <c r="F58" s="431" t="s">
        <v>663</v>
      </c>
      <c r="G58" s="431"/>
      <c r="H58" s="431"/>
      <c r="I58" s="431"/>
      <c r="J58" s="431"/>
      <c r="K58" s="431"/>
      <c r="L58" s="431"/>
      <c r="M58" s="441"/>
      <c r="N58" s="294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295"/>
      <c r="D59" s="295"/>
      <c r="E59" s="295"/>
      <c r="F59" s="431"/>
      <c r="G59" s="431"/>
      <c r="H59" s="431"/>
      <c r="I59" s="431"/>
      <c r="J59" s="431"/>
      <c r="K59" s="431"/>
      <c r="L59" s="431"/>
      <c r="M59" s="441"/>
      <c r="N59" s="294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297"/>
      <c r="D60" s="297"/>
      <c r="E60" s="297"/>
      <c r="F60" s="431"/>
      <c r="G60" s="431"/>
      <c r="H60" s="431"/>
      <c r="I60" s="431"/>
      <c r="J60" s="431"/>
      <c r="K60" s="431"/>
      <c r="L60" s="431"/>
      <c r="M60" s="441"/>
      <c r="N60" s="296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831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298" t="s">
        <v>2</v>
      </c>
      <c r="D62" s="298" t="s">
        <v>37</v>
      </c>
      <c r="E62" s="298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298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125</v>
      </c>
      <c r="D63" s="301"/>
      <c r="E63" s="299" t="s">
        <v>374</v>
      </c>
      <c r="F63" s="429" t="s">
        <v>375</v>
      </c>
      <c r="G63" s="421"/>
      <c r="H63" s="421"/>
      <c r="I63" s="421"/>
      <c r="J63" s="421"/>
      <c r="K63" s="421" t="s">
        <v>364</v>
      </c>
      <c r="L63" s="421"/>
      <c r="M63" s="54" t="s">
        <v>215</v>
      </c>
      <c r="N63" s="421">
        <v>4</v>
      </c>
      <c r="O63" s="421"/>
      <c r="P63" s="430">
        <v>50</v>
      </c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 t="s">
        <v>143</v>
      </c>
      <c r="D64" s="301"/>
      <c r="E64" s="299" t="s">
        <v>126</v>
      </c>
      <c r="F64" s="429" t="s">
        <v>824</v>
      </c>
      <c r="G64" s="421"/>
      <c r="H64" s="421"/>
      <c r="I64" s="421"/>
      <c r="J64" s="421"/>
      <c r="K64" s="421" t="s">
        <v>133</v>
      </c>
      <c r="L64" s="421"/>
      <c r="M64" s="54" t="s">
        <v>215</v>
      </c>
      <c r="N64" s="421">
        <v>6</v>
      </c>
      <c r="O64" s="421"/>
      <c r="P64" s="430">
        <v>50</v>
      </c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/>
      <c r="D65" s="301"/>
      <c r="E65" s="299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/>
      <c r="D66" s="301"/>
      <c r="E66" s="299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301"/>
      <c r="E67" s="299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301"/>
      <c r="E68" s="299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301"/>
      <c r="E69" s="299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301"/>
      <c r="E70" s="299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832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300" t="s">
        <v>2</v>
      </c>
      <c r="D72" s="300" t="s">
        <v>37</v>
      </c>
      <c r="E72" s="300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302" t="s">
        <v>114</v>
      </c>
      <c r="D73" s="302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301" t="s">
        <v>114</v>
      </c>
      <c r="D74" s="301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301"/>
      <c r="D75" s="301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301"/>
      <c r="D76" s="301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301"/>
      <c r="D77" s="301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301"/>
      <c r="D78" s="301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301"/>
      <c r="D79" s="301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301"/>
      <c r="D80" s="301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301"/>
      <c r="D81" s="301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833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/>
      <c r="D84" s="397"/>
      <c r="E84" s="397"/>
      <c r="F84" s="397"/>
      <c r="G84" s="397"/>
      <c r="H84" s="397"/>
      <c r="I84" s="397"/>
      <c r="J84" s="397"/>
      <c r="K84" s="397"/>
      <c r="L84" s="397"/>
      <c r="M84" s="397"/>
      <c r="N84" s="397"/>
      <c r="O84" s="397"/>
      <c r="P84" s="397"/>
      <c r="Q84" s="397"/>
      <c r="R84" s="397"/>
      <c r="S84" s="397"/>
      <c r="T84" s="397"/>
      <c r="U84" s="397"/>
      <c r="V84" s="398"/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27A8-F7F8-43E7-83C6-55300F99805F}">
  <sheetPr>
    <pageSetUpPr fitToPage="1"/>
  </sheetPr>
  <dimension ref="A1:AF86"/>
  <sheetViews>
    <sheetView zoomScale="72" zoomScaleNormal="72" zoomScaleSheetLayoutView="70" workbookViewId="0">
      <selection activeCell="V85" sqref="V85:X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834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313" t="s">
        <v>17</v>
      </c>
      <c r="L5" s="313" t="s">
        <v>18</v>
      </c>
      <c r="M5" s="313" t="s">
        <v>19</v>
      </c>
      <c r="N5" s="31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0.32217741935483868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0.32217741935483868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292</v>
      </c>
      <c r="D8" s="55" t="s">
        <v>218</v>
      </c>
      <c r="E8" s="57" t="s">
        <v>523</v>
      </c>
      <c r="F8" s="33" t="s">
        <v>295</v>
      </c>
      <c r="G8" s="36">
        <v>1</v>
      </c>
      <c r="H8" s="38">
        <v>25</v>
      </c>
      <c r="I8" s="7">
        <v>2000</v>
      </c>
      <c r="J8" s="5">
        <v>2060</v>
      </c>
      <c r="K8" s="15">
        <f>L8+2059</f>
        <v>2059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0.32217741935483868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125</v>
      </c>
      <c r="D9" s="55" t="s">
        <v>374</v>
      </c>
      <c r="E9" s="57" t="s">
        <v>375</v>
      </c>
      <c r="F9" s="12" t="s">
        <v>364</v>
      </c>
      <c r="G9" s="12">
        <v>1</v>
      </c>
      <c r="H9" s="13">
        <v>25</v>
      </c>
      <c r="I9" s="7">
        <v>500</v>
      </c>
      <c r="J9" s="5">
        <v>1850</v>
      </c>
      <c r="K9" s="15">
        <f>L9</f>
        <v>1850</v>
      </c>
      <c r="L9" s="15">
        <v>1850</v>
      </c>
      <c r="M9" s="16">
        <f t="shared" si="0"/>
        <v>1850</v>
      </c>
      <c r="N9" s="16">
        <v>0</v>
      </c>
      <c r="O9" s="62">
        <f t="shared" si="1"/>
        <v>0</v>
      </c>
      <c r="P9" s="42">
        <f t="shared" si="2"/>
        <v>13</v>
      </c>
      <c r="Q9" s="43">
        <f t="shared" si="3"/>
        <v>11</v>
      </c>
      <c r="R9" s="7"/>
      <c r="S9" s="6">
        <v>5</v>
      </c>
      <c r="T9" s="17"/>
      <c r="U9" s="17"/>
      <c r="V9" s="18"/>
      <c r="W9" s="19">
        <v>6</v>
      </c>
      <c r="X9" s="17"/>
      <c r="Y9" s="20"/>
      <c r="Z9" s="20"/>
      <c r="AA9" s="21"/>
      <c r="AB9" s="8">
        <f t="shared" si="4"/>
        <v>1</v>
      </c>
      <c r="AC9" s="9">
        <f t="shared" si="5"/>
        <v>0.54166666666666663</v>
      </c>
      <c r="AD9" s="10">
        <f t="shared" si="6"/>
        <v>0.54166666666666663</v>
      </c>
      <c r="AE9" s="39">
        <f t="shared" si="7"/>
        <v>0.32217741935483868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362</v>
      </c>
      <c r="D10" s="55" t="s">
        <v>784</v>
      </c>
      <c r="E10" s="57" t="s">
        <v>757</v>
      </c>
      <c r="F10" s="12" t="s">
        <v>132</v>
      </c>
      <c r="G10" s="12">
        <v>2</v>
      </c>
      <c r="H10" s="13">
        <v>25</v>
      </c>
      <c r="I10" s="7">
        <v>60000</v>
      </c>
      <c r="J10" s="14">
        <v>9660</v>
      </c>
      <c r="K10" s="15">
        <f>L10+12622+7434</f>
        <v>29716</v>
      </c>
      <c r="L10" s="15">
        <f>2121*2+5418</f>
        <v>9660</v>
      </c>
      <c r="M10" s="16">
        <f t="shared" si="0"/>
        <v>9660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0.79166666666666663</v>
      </c>
      <c r="AD10" s="10">
        <f t="shared" si="6"/>
        <v>0.79166666666666663</v>
      </c>
      <c r="AE10" s="39">
        <f t="shared" si="7"/>
        <v>0.32217741935483868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143</v>
      </c>
      <c r="D11" s="55" t="s">
        <v>126</v>
      </c>
      <c r="E11" s="57" t="s">
        <v>824</v>
      </c>
      <c r="F11" s="12" t="s">
        <v>133</v>
      </c>
      <c r="G11" s="12">
        <v>1</v>
      </c>
      <c r="H11" s="13">
        <v>25</v>
      </c>
      <c r="I11" s="34">
        <v>4000</v>
      </c>
      <c r="J11" s="5">
        <v>431</v>
      </c>
      <c r="K11" s="15">
        <f>L11+5141</f>
        <v>5572</v>
      </c>
      <c r="L11" s="15">
        <v>431</v>
      </c>
      <c r="M11" s="16">
        <f t="shared" si="0"/>
        <v>431</v>
      </c>
      <c r="N11" s="16">
        <v>0</v>
      </c>
      <c r="O11" s="62">
        <f t="shared" si="1"/>
        <v>0</v>
      </c>
      <c r="P11" s="42">
        <f t="shared" si="2"/>
        <v>4</v>
      </c>
      <c r="Q11" s="43">
        <f t="shared" si="3"/>
        <v>20</v>
      </c>
      <c r="R11" s="7"/>
      <c r="S11" s="6"/>
      <c r="T11" s="17"/>
      <c r="U11" s="17"/>
      <c r="V11" s="18"/>
      <c r="W11" s="19">
        <v>20</v>
      </c>
      <c r="X11" s="17"/>
      <c r="Y11" s="20"/>
      <c r="Z11" s="20"/>
      <c r="AA11" s="21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9">
        <f t="shared" si="7"/>
        <v>0.32217741935483868</v>
      </c>
      <c r="AF11" s="93">
        <f t="shared" si="8"/>
        <v>6</v>
      </c>
    </row>
    <row r="12" spans="1:32" ht="27" customHeight="1">
      <c r="A12" s="109">
        <v>7</v>
      </c>
      <c r="B12" s="11" t="s">
        <v>835</v>
      </c>
      <c r="C12" s="11" t="s">
        <v>125</v>
      </c>
      <c r="D12" s="55" t="s">
        <v>152</v>
      </c>
      <c r="E12" s="57" t="s">
        <v>153</v>
      </c>
      <c r="F12" s="12" t="s">
        <v>447</v>
      </c>
      <c r="G12" s="12">
        <v>1</v>
      </c>
      <c r="H12" s="13">
        <v>25</v>
      </c>
      <c r="I12" s="7">
        <v>30000</v>
      </c>
      <c r="J12" s="14">
        <v>5963</v>
      </c>
      <c r="K12" s="15">
        <f>L12</f>
        <v>5963</v>
      </c>
      <c r="L12" s="15">
        <f>2724+3239</f>
        <v>5963</v>
      </c>
      <c r="M12" s="16">
        <f t="shared" si="0"/>
        <v>5963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0.32217741935483868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607</v>
      </c>
      <c r="E13" s="57" t="s">
        <v>829</v>
      </c>
      <c r="F13" s="12" t="s">
        <v>132</v>
      </c>
      <c r="G13" s="12">
        <v>1</v>
      </c>
      <c r="H13" s="13">
        <v>25</v>
      </c>
      <c r="I13" s="7">
        <v>500</v>
      </c>
      <c r="J13" s="14">
        <v>1240</v>
      </c>
      <c r="K13" s="15">
        <f>L13</f>
        <v>1238</v>
      </c>
      <c r="L13" s="15">
        <f>1058+180</f>
        <v>1238</v>
      </c>
      <c r="M13" s="16">
        <f t="shared" si="0"/>
        <v>1238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>
        <v>6</v>
      </c>
      <c r="T13" s="17"/>
      <c r="U13" s="17"/>
      <c r="V13" s="18"/>
      <c r="W13" s="19">
        <v>8</v>
      </c>
      <c r="X13" s="17"/>
      <c r="Y13" s="20"/>
      <c r="Z13" s="20"/>
      <c r="AA13" s="21"/>
      <c r="AB13" s="8">
        <f t="shared" si="4"/>
        <v>0.99838709677419357</v>
      </c>
      <c r="AC13" s="9">
        <f t="shared" si="5"/>
        <v>0.41666666666666669</v>
      </c>
      <c r="AD13" s="10">
        <f t="shared" si="6"/>
        <v>0.415994623655914</v>
      </c>
      <c r="AE13" s="39">
        <f t="shared" si="7"/>
        <v>0.32217741935483868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670</v>
      </c>
      <c r="F14" s="33" t="s">
        <v>447</v>
      </c>
      <c r="G14" s="36">
        <v>1</v>
      </c>
      <c r="H14" s="38">
        <v>25</v>
      </c>
      <c r="I14" s="7">
        <v>1000</v>
      </c>
      <c r="J14" s="5">
        <v>1068</v>
      </c>
      <c r="K14" s="15">
        <f>L14+1068</f>
        <v>1068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>
        <v>24</v>
      </c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0.32217741935483868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362</v>
      </c>
      <c r="D15" s="55" t="s">
        <v>126</v>
      </c>
      <c r="E15" s="57" t="s">
        <v>760</v>
      </c>
      <c r="F15" s="12" t="s">
        <v>736</v>
      </c>
      <c r="G15" s="12">
        <v>1</v>
      </c>
      <c r="H15" s="13">
        <v>24</v>
      </c>
      <c r="I15" s="34">
        <v>13000</v>
      </c>
      <c r="J15" s="14">
        <v>1275</v>
      </c>
      <c r="K15" s="15">
        <f>L15+2100+1275</f>
        <v>3375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>
        <v>24</v>
      </c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0.32217741935483868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125</v>
      </c>
      <c r="D16" s="55" t="s">
        <v>171</v>
      </c>
      <c r="E16" s="57" t="s">
        <v>815</v>
      </c>
      <c r="F16" s="33" t="s">
        <v>170</v>
      </c>
      <c r="G16" s="36">
        <v>1</v>
      </c>
      <c r="H16" s="38">
        <v>25</v>
      </c>
      <c r="I16" s="7">
        <v>500</v>
      </c>
      <c r="J16" s="5">
        <v>714</v>
      </c>
      <c r="K16" s="15">
        <f>L16+714</f>
        <v>714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0.32217741935483868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125</v>
      </c>
      <c r="D17" s="55" t="s">
        <v>675</v>
      </c>
      <c r="E17" s="57" t="s">
        <v>785</v>
      </c>
      <c r="F17" s="12" t="s">
        <v>786</v>
      </c>
      <c r="G17" s="12">
        <v>1</v>
      </c>
      <c r="H17" s="13">
        <v>24</v>
      </c>
      <c r="I17" s="34">
        <v>500</v>
      </c>
      <c r="J17" s="14">
        <v>627</v>
      </c>
      <c r="K17" s="15">
        <f>L17+627</f>
        <v>627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0.32217741935483868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114</v>
      </c>
      <c r="D18" s="55" t="s">
        <v>171</v>
      </c>
      <c r="E18" s="57" t="s">
        <v>830</v>
      </c>
      <c r="F18" s="12">
        <v>7301</v>
      </c>
      <c r="G18" s="36">
        <v>1</v>
      </c>
      <c r="H18" s="38">
        <v>30</v>
      </c>
      <c r="I18" s="7">
        <v>4000</v>
      </c>
      <c r="J18" s="5">
        <v>4283</v>
      </c>
      <c r="K18" s="15">
        <f>L18</f>
        <v>4283</v>
      </c>
      <c r="L18" s="15">
        <f>1387+2896</f>
        <v>4283</v>
      </c>
      <c r="M18" s="16">
        <f t="shared" si="0"/>
        <v>4283</v>
      </c>
      <c r="N18" s="16">
        <v>0</v>
      </c>
      <c r="O18" s="62">
        <f t="shared" si="1"/>
        <v>0</v>
      </c>
      <c r="P18" s="42">
        <f t="shared" si="2"/>
        <v>22</v>
      </c>
      <c r="Q18" s="43">
        <f t="shared" si="3"/>
        <v>2</v>
      </c>
      <c r="R18" s="7"/>
      <c r="S18" s="6">
        <v>2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9">
        <f t="shared" si="7"/>
        <v>0.32217741935483868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125</v>
      </c>
      <c r="D19" s="55" t="s">
        <v>126</v>
      </c>
      <c r="E19" s="57" t="s">
        <v>721</v>
      </c>
      <c r="F19" s="33" t="s">
        <v>133</v>
      </c>
      <c r="G19" s="12">
        <v>1</v>
      </c>
      <c r="H19" s="13">
        <v>25</v>
      </c>
      <c r="I19" s="34">
        <v>10000</v>
      </c>
      <c r="J19" s="5">
        <v>999</v>
      </c>
      <c r="K19" s="15">
        <f>L19+1683+2711+999</f>
        <v>5393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>
        <v>24</v>
      </c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0.32217741935483868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124</v>
      </c>
      <c r="F20" s="12" t="s">
        <v>122</v>
      </c>
      <c r="G20" s="12">
        <v>4</v>
      </c>
      <c r="H20" s="38">
        <v>20</v>
      </c>
      <c r="I20" s="7">
        <v>300000</v>
      </c>
      <c r="J20" s="14">
        <v>49924</v>
      </c>
      <c r="K20" s="15">
        <f>L20+44148+50632+51280+53100</f>
        <v>249084</v>
      </c>
      <c r="L20" s="15">
        <f>5696*4+6785*4</f>
        <v>49924</v>
      </c>
      <c r="M20" s="16">
        <f t="shared" si="0"/>
        <v>49924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0.32217741935483868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627000</v>
      </c>
      <c r="J21" s="22">
        <f t="shared" si="9"/>
        <v>117734</v>
      </c>
      <c r="K21" s="23">
        <f t="shared" si="9"/>
        <v>498220</v>
      </c>
      <c r="L21" s="24">
        <f t="shared" si="9"/>
        <v>73349</v>
      </c>
      <c r="M21" s="23">
        <f t="shared" si="9"/>
        <v>73349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116</v>
      </c>
      <c r="Q21" s="46">
        <f t="shared" si="10"/>
        <v>244</v>
      </c>
      <c r="R21" s="26">
        <f t="shared" si="10"/>
        <v>48</v>
      </c>
      <c r="S21" s="27">
        <f t="shared" si="10"/>
        <v>18</v>
      </c>
      <c r="T21" s="27">
        <f t="shared" si="10"/>
        <v>0</v>
      </c>
      <c r="U21" s="27">
        <f t="shared" si="10"/>
        <v>0</v>
      </c>
      <c r="V21" s="28">
        <f t="shared" si="10"/>
        <v>48</v>
      </c>
      <c r="W21" s="29">
        <f t="shared" si="10"/>
        <v>130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0.46655913978494623</v>
      </c>
      <c r="AC21" s="4">
        <f>SUM(AC6:AC20)/15</f>
        <v>0.32222222222222219</v>
      </c>
      <c r="AD21" s="4">
        <f>SUM(AD6:AD20)/15</f>
        <v>0.32217741935483868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836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839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312" t="s">
        <v>46</v>
      </c>
      <c r="D50" s="312" t="s">
        <v>47</v>
      </c>
      <c r="E50" s="312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312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125</v>
      </c>
      <c r="B51" s="440"/>
      <c r="C51" s="309" t="s">
        <v>182</v>
      </c>
      <c r="D51" s="309" t="s">
        <v>374</v>
      </c>
      <c r="E51" s="309" t="s">
        <v>375</v>
      </c>
      <c r="F51" s="431" t="s">
        <v>196</v>
      </c>
      <c r="G51" s="431"/>
      <c r="H51" s="431"/>
      <c r="I51" s="431"/>
      <c r="J51" s="431"/>
      <c r="K51" s="431"/>
      <c r="L51" s="431"/>
      <c r="M51" s="441"/>
      <c r="N51" s="308" t="s">
        <v>362</v>
      </c>
      <c r="O51" s="124" t="s">
        <v>188</v>
      </c>
      <c r="P51" s="440"/>
      <c r="Q51" s="440"/>
      <c r="R51" s="440" t="s">
        <v>757</v>
      </c>
      <c r="S51" s="440"/>
      <c r="T51" s="440"/>
      <c r="U51" s="440"/>
      <c r="V51" s="431" t="s">
        <v>196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362</v>
      </c>
      <c r="B52" s="440"/>
      <c r="C52" s="309" t="s">
        <v>188</v>
      </c>
      <c r="D52" s="309"/>
      <c r="E52" s="309" t="s">
        <v>757</v>
      </c>
      <c r="F52" s="431" t="s">
        <v>838</v>
      </c>
      <c r="G52" s="431"/>
      <c r="H52" s="431"/>
      <c r="I52" s="431"/>
      <c r="J52" s="431"/>
      <c r="K52" s="431"/>
      <c r="L52" s="431"/>
      <c r="M52" s="441"/>
      <c r="N52" s="308"/>
      <c r="O52" s="124"/>
      <c r="P52" s="440"/>
      <c r="Q52" s="440"/>
      <c r="R52" s="440"/>
      <c r="S52" s="440"/>
      <c r="T52" s="440"/>
      <c r="U52" s="440"/>
      <c r="V52" s="431"/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125</v>
      </c>
      <c r="B53" s="440"/>
      <c r="C53" s="309" t="s">
        <v>204</v>
      </c>
      <c r="D53" s="309" t="s">
        <v>607</v>
      </c>
      <c r="E53" s="309" t="s">
        <v>829</v>
      </c>
      <c r="F53" s="431" t="s">
        <v>837</v>
      </c>
      <c r="G53" s="431"/>
      <c r="H53" s="431"/>
      <c r="I53" s="431"/>
      <c r="J53" s="431"/>
      <c r="K53" s="431"/>
      <c r="L53" s="431"/>
      <c r="M53" s="441"/>
      <c r="N53" s="308"/>
      <c r="O53" s="124"/>
      <c r="P53" s="440"/>
      <c r="Q53" s="440"/>
      <c r="R53" s="440"/>
      <c r="S53" s="440"/>
      <c r="T53" s="440"/>
      <c r="U53" s="440"/>
      <c r="V53" s="431"/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114</v>
      </c>
      <c r="B54" s="440"/>
      <c r="C54" s="309" t="s">
        <v>194</v>
      </c>
      <c r="D54" s="309" t="s">
        <v>171</v>
      </c>
      <c r="E54" s="309" t="s">
        <v>830</v>
      </c>
      <c r="F54" s="431" t="s">
        <v>130</v>
      </c>
      <c r="G54" s="431"/>
      <c r="H54" s="431"/>
      <c r="I54" s="431"/>
      <c r="J54" s="431"/>
      <c r="K54" s="431"/>
      <c r="L54" s="431"/>
      <c r="M54" s="441"/>
      <c r="N54" s="308"/>
      <c r="O54" s="124"/>
      <c r="P54" s="440"/>
      <c r="Q54" s="440"/>
      <c r="R54" s="440"/>
      <c r="S54" s="440"/>
      <c r="T54" s="440"/>
      <c r="U54" s="440"/>
      <c r="V54" s="431"/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/>
      <c r="B55" s="440"/>
      <c r="C55" s="309"/>
      <c r="D55" s="309"/>
      <c r="E55" s="309"/>
      <c r="F55" s="431"/>
      <c r="G55" s="431"/>
      <c r="H55" s="431"/>
      <c r="I55" s="431"/>
      <c r="J55" s="431"/>
      <c r="K55" s="431"/>
      <c r="L55" s="431"/>
      <c r="M55" s="441"/>
      <c r="N55" s="308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/>
      <c r="B56" s="440"/>
      <c r="C56" s="309"/>
      <c r="D56" s="309"/>
      <c r="E56" s="309"/>
      <c r="F56" s="431"/>
      <c r="G56" s="431"/>
      <c r="H56" s="431"/>
      <c r="I56" s="431"/>
      <c r="J56" s="431"/>
      <c r="K56" s="431"/>
      <c r="L56" s="431"/>
      <c r="M56" s="441"/>
      <c r="N56" s="308"/>
      <c r="O56" s="124"/>
      <c r="P56" s="446"/>
      <c r="Q56" s="447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/>
      <c r="B57" s="440"/>
      <c r="C57" s="309"/>
      <c r="D57" s="309"/>
      <c r="E57" s="309"/>
      <c r="F57" s="431"/>
      <c r="G57" s="431"/>
      <c r="H57" s="431"/>
      <c r="I57" s="431"/>
      <c r="J57" s="431"/>
      <c r="K57" s="431"/>
      <c r="L57" s="431"/>
      <c r="M57" s="441"/>
      <c r="N57" s="308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309"/>
      <c r="D58" s="309"/>
      <c r="E58" s="309"/>
      <c r="F58" s="431"/>
      <c r="G58" s="431"/>
      <c r="H58" s="431"/>
      <c r="I58" s="431"/>
      <c r="J58" s="431"/>
      <c r="K58" s="431"/>
      <c r="L58" s="431"/>
      <c r="M58" s="441"/>
      <c r="N58" s="308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309"/>
      <c r="D59" s="309"/>
      <c r="E59" s="309"/>
      <c r="F59" s="431"/>
      <c r="G59" s="431"/>
      <c r="H59" s="431"/>
      <c r="I59" s="431"/>
      <c r="J59" s="431"/>
      <c r="K59" s="431"/>
      <c r="L59" s="431"/>
      <c r="M59" s="441"/>
      <c r="N59" s="308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311"/>
      <c r="D60" s="311"/>
      <c r="E60" s="311"/>
      <c r="F60" s="431"/>
      <c r="G60" s="431"/>
      <c r="H60" s="431"/>
      <c r="I60" s="431"/>
      <c r="J60" s="431"/>
      <c r="K60" s="431"/>
      <c r="L60" s="431"/>
      <c r="M60" s="441"/>
      <c r="N60" s="310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840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307" t="s">
        <v>2</v>
      </c>
      <c r="D62" s="307" t="s">
        <v>37</v>
      </c>
      <c r="E62" s="307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307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114</v>
      </c>
      <c r="D63" s="303"/>
      <c r="E63" s="306" t="s">
        <v>123</v>
      </c>
      <c r="F63" s="429" t="s">
        <v>221</v>
      </c>
      <c r="G63" s="421"/>
      <c r="H63" s="421"/>
      <c r="I63" s="421"/>
      <c r="J63" s="421"/>
      <c r="K63" s="421" t="s">
        <v>214</v>
      </c>
      <c r="L63" s="421"/>
      <c r="M63" s="54" t="s">
        <v>215</v>
      </c>
      <c r="N63" s="421">
        <v>13</v>
      </c>
      <c r="O63" s="421"/>
      <c r="P63" s="430">
        <v>100</v>
      </c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 t="s">
        <v>114</v>
      </c>
      <c r="D64" s="303"/>
      <c r="E64" s="306" t="s">
        <v>841</v>
      </c>
      <c r="F64" s="429" t="s">
        <v>432</v>
      </c>
      <c r="G64" s="421"/>
      <c r="H64" s="421"/>
      <c r="I64" s="421"/>
      <c r="J64" s="421"/>
      <c r="K64" s="421" t="s">
        <v>214</v>
      </c>
      <c r="L64" s="421"/>
      <c r="M64" s="54" t="s">
        <v>215</v>
      </c>
      <c r="N64" s="421">
        <v>8</v>
      </c>
      <c r="O64" s="421"/>
      <c r="P64" s="430">
        <v>100</v>
      </c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 t="s">
        <v>114</v>
      </c>
      <c r="D65" s="303"/>
      <c r="E65" s="306" t="s">
        <v>126</v>
      </c>
      <c r="F65" s="429" t="s">
        <v>842</v>
      </c>
      <c r="G65" s="421"/>
      <c r="H65" s="421"/>
      <c r="I65" s="421"/>
      <c r="J65" s="421"/>
      <c r="K65" s="421" t="s">
        <v>383</v>
      </c>
      <c r="L65" s="421"/>
      <c r="M65" s="54" t="s">
        <v>215</v>
      </c>
      <c r="N65" s="421">
        <v>6</v>
      </c>
      <c r="O65" s="421"/>
      <c r="P65" s="430">
        <v>100</v>
      </c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 t="s">
        <v>143</v>
      </c>
      <c r="D66" s="303"/>
      <c r="E66" s="306" t="s">
        <v>123</v>
      </c>
      <c r="F66" s="429" t="s">
        <v>843</v>
      </c>
      <c r="G66" s="421"/>
      <c r="H66" s="421"/>
      <c r="I66" s="421"/>
      <c r="J66" s="421"/>
      <c r="K66" s="421" t="s">
        <v>844</v>
      </c>
      <c r="L66" s="421"/>
      <c r="M66" s="54" t="s">
        <v>215</v>
      </c>
      <c r="N66" s="421">
        <v>9</v>
      </c>
      <c r="O66" s="421"/>
      <c r="P66" s="430"/>
      <c r="Q66" s="430"/>
      <c r="R66" s="431" t="s">
        <v>845</v>
      </c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303"/>
      <c r="E67" s="306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303"/>
      <c r="E68" s="306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303"/>
      <c r="E69" s="306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303"/>
      <c r="E70" s="306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846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305" t="s">
        <v>2</v>
      </c>
      <c r="D72" s="305" t="s">
        <v>37</v>
      </c>
      <c r="E72" s="305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304" t="s">
        <v>114</v>
      </c>
      <c r="D73" s="304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303" t="s">
        <v>114</v>
      </c>
      <c r="D74" s="303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303"/>
      <c r="D75" s="303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303"/>
      <c r="D76" s="303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303"/>
      <c r="D77" s="303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303"/>
      <c r="D78" s="303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303"/>
      <c r="D79" s="303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303"/>
      <c r="D80" s="303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303"/>
      <c r="D81" s="303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847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>
        <v>9</v>
      </c>
      <c r="D84" s="397"/>
      <c r="E84" s="397" t="s">
        <v>848</v>
      </c>
      <c r="F84" s="397"/>
      <c r="G84" s="397"/>
      <c r="H84" s="397"/>
      <c r="I84" s="397"/>
      <c r="J84" s="397"/>
      <c r="K84" s="397" t="s">
        <v>849</v>
      </c>
      <c r="L84" s="397"/>
      <c r="M84" s="397"/>
      <c r="N84" s="397"/>
      <c r="O84" s="397"/>
      <c r="P84" s="397"/>
      <c r="Q84" s="397"/>
      <c r="R84" s="397"/>
      <c r="S84" s="397"/>
      <c r="T84" s="397" t="s">
        <v>850</v>
      </c>
      <c r="U84" s="397"/>
      <c r="V84" s="398" t="s">
        <v>851</v>
      </c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934F-357A-4AB2-A990-5EEBE5F03C3F}">
  <sheetPr>
    <pageSetUpPr fitToPage="1"/>
  </sheetPr>
  <dimension ref="A1:AF86"/>
  <sheetViews>
    <sheetView zoomScale="72" zoomScaleNormal="72" zoomScaleSheetLayoutView="70" workbookViewId="0">
      <selection activeCell="A13" sqref="A13:XFD1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852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314" t="s">
        <v>17</v>
      </c>
      <c r="L5" s="314" t="s">
        <v>18</v>
      </c>
      <c r="M5" s="314" t="s">
        <v>19</v>
      </c>
      <c r="N5" s="31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0.11943627086738991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0.11943627086738991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292</v>
      </c>
      <c r="D8" s="55" t="s">
        <v>218</v>
      </c>
      <c r="E8" s="57" t="s">
        <v>523</v>
      </c>
      <c r="F8" s="33" t="s">
        <v>295</v>
      </c>
      <c r="G8" s="36">
        <v>1</v>
      </c>
      <c r="H8" s="38">
        <v>25</v>
      </c>
      <c r="I8" s="7">
        <v>2000</v>
      </c>
      <c r="J8" s="5">
        <v>2060</v>
      </c>
      <c r="K8" s="15">
        <f>L8+2059</f>
        <v>2059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0.11943627086738991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125</v>
      </c>
      <c r="D9" s="55" t="s">
        <v>374</v>
      </c>
      <c r="E9" s="57" t="s">
        <v>375</v>
      </c>
      <c r="F9" s="12" t="s">
        <v>364</v>
      </c>
      <c r="G9" s="12">
        <v>1</v>
      </c>
      <c r="H9" s="13">
        <v>25</v>
      </c>
      <c r="I9" s="7">
        <v>500</v>
      </c>
      <c r="J9" s="5">
        <v>1850</v>
      </c>
      <c r="K9" s="15">
        <f>L9+1850</f>
        <v>1850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0.11943627086738991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362</v>
      </c>
      <c r="D10" s="55" t="s">
        <v>784</v>
      </c>
      <c r="E10" s="57" t="s">
        <v>757</v>
      </c>
      <c r="F10" s="12" t="s">
        <v>132</v>
      </c>
      <c r="G10" s="12">
        <v>2</v>
      </c>
      <c r="H10" s="13">
        <v>25</v>
      </c>
      <c r="I10" s="7">
        <v>60000</v>
      </c>
      <c r="J10" s="14">
        <v>7252</v>
      </c>
      <c r="K10" s="15">
        <f>L10+12622+7434+9660</f>
        <v>36968</v>
      </c>
      <c r="L10" s="15">
        <f>3626*2</f>
        <v>7252</v>
      </c>
      <c r="M10" s="16">
        <f t="shared" si="0"/>
        <v>7252</v>
      </c>
      <c r="N10" s="16">
        <v>0</v>
      </c>
      <c r="O10" s="62">
        <f t="shared" si="1"/>
        <v>0</v>
      </c>
      <c r="P10" s="42">
        <f t="shared" si="2"/>
        <v>10</v>
      </c>
      <c r="Q10" s="43">
        <f t="shared" si="3"/>
        <v>14</v>
      </c>
      <c r="R10" s="7"/>
      <c r="S10" s="6">
        <v>2</v>
      </c>
      <c r="T10" s="17"/>
      <c r="U10" s="17"/>
      <c r="V10" s="18">
        <v>12</v>
      </c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0.41666666666666669</v>
      </c>
      <c r="AD10" s="10">
        <f t="shared" si="6"/>
        <v>0.41666666666666669</v>
      </c>
      <c r="AE10" s="39">
        <f t="shared" si="7"/>
        <v>0.11943627086738991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143</v>
      </c>
      <c r="D11" s="55" t="s">
        <v>126</v>
      </c>
      <c r="E11" s="57" t="s">
        <v>824</v>
      </c>
      <c r="F11" s="12" t="s">
        <v>133</v>
      </c>
      <c r="G11" s="12">
        <v>1</v>
      </c>
      <c r="H11" s="13">
        <v>25</v>
      </c>
      <c r="I11" s="34">
        <v>4000</v>
      </c>
      <c r="J11" s="5">
        <v>431</v>
      </c>
      <c r="K11" s="15">
        <f>L11+5141+431</f>
        <v>5572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0.11943627086738991</v>
      </c>
      <c r="AF11" s="93">
        <f t="shared" si="8"/>
        <v>6</v>
      </c>
    </row>
    <row r="12" spans="1:32" ht="27" customHeight="1">
      <c r="A12" s="109">
        <v>7</v>
      </c>
      <c r="B12" s="11" t="s">
        <v>835</v>
      </c>
      <c r="C12" s="11" t="s">
        <v>125</v>
      </c>
      <c r="D12" s="55" t="s">
        <v>152</v>
      </c>
      <c r="E12" s="57" t="s">
        <v>153</v>
      </c>
      <c r="F12" s="12" t="s">
        <v>447</v>
      </c>
      <c r="G12" s="12">
        <v>1</v>
      </c>
      <c r="H12" s="13">
        <v>25</v>
      </c>
      <c r="I12" s="7">
        <v>30000</v>
      </c>
      <c r="J12" s="14">
        <v>2732</v>
      </c>
      <c r="K12" s="15">
        <f>L12+5963</f>
        <v>8695</v>
      </c>
      <c r="L12" s="15">
        <f>2732</f>
        <v>2732</v>
      </c>
      <c r="M12" s="16">
        <f t="shared" si="0"/>
        <v>2732</v>
      </c>
      <c r="N12" s="16">
        <v>0</v>
      </c>
      <c r="O12" s="62">
        <f t="shared" si="1"/>
        <v>0</v>
      </c>
      <c r="P12" s="42">
        <f t="shared" si="2"/>
        <v>11</v>
      </c>
      <c r="Q12" s="43">
        <f t="shared" si="3"/>
        <v>13</v>
      </c>
      <c r="R12" s="7"/>
      <c r="S12" s="6"/>
      <c r="T12" s="17"/>
      <c r="U12" s="17"/>
      <c r="V12" s="18">
        <v>13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0.45833333333333331</v>
      </c>
      <c r="AD12" s="10">
        <f t="shared" si="6"/>
        <v>0.45833333333333331</v>
      </c>
      <c r="AE12" s="39">
        <f t="shared" si="7"/>
        <v>0.11943627086738991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125</v>
      </c>
      <c r="D13" s="55" t="s">
        <v>607</v>
      </c>
      <c r="E13" s="57" t="s">
        <v>829</v>
      </c>
      <c r="F13" s="12" t="s">
        <v>132</v>
      </c>
      <c r="G13" s="12">
        <v>1</v>
      </c>
      <c r="H13" s="13">
        <v>25</v>
      </c>
      <c r="I13" s="7">
        <v>500</v>
      </c>
      <c r="J13" s="14">
        <v>1240</v>
      </c>
      <c r="K13" s="15">
        <f>L13+1238</f>
        <v>1238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0.11943627086738991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670</v>
      </c>
      <c r="F14" s="33" t="s">
        <v>447</v>
      </c>
      <c r="G14" s="36">
        <v>1</v>
      </c>
      <c r="H14" s="38">
        <v>25</v>
      </c>
      <c r="I14" s="7">
        <v>1000</v>
      </c>
      <c r="J14" s="5">
        <v>1068</v>
      </c>
      <c r="K14" s="15">
        <f>L14+1068</f>
        <v>1068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>
        <v>24</v>
      </c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0.11943627086738991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362</v>
      </c>
      <c r="D15" s="55" t="s">
        <v>126</v>
      </c>
      <c r="E15" s="57" t="s">
        <v>760</v>
      </c>
      <c r="F15" s="12" t="s">
        <v>736</v>
      </c>
      <c r="G15" s="12">
        <v>1</v>
      </c>
      <c r="H15" s="13">
        <v>24</v>
      </c>
      <c r="I15" s="34">
        <v>13000</v>
      </c>
      <c r="J15" s="14">
        <v>1275</v>
      </c>
      <c r="K15" s="15">
        <f>L15+2100+1275</f>
        <v>3375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>
        <v>24</v>
      </c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0.11943627086738991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125</v>
      </c>
      <c r="D16" s="55" t="s">
        <v>171</v>
      </c>
      <c r="E16" s="57" t="s">
        <v>815</v>
      </c>
      <c r="F16" s="33" t="s">
        <v>170</v>
      </c>
      <c r="G16" s="36">
        <v>1</v>
      </c>
      <c r="H16" s="38">
        <v>25</v>
      </c>
      <c r="I16" s="7">
        <v>500</v>
      </c>
      <c r="J16" s="5">
        <v>714</v>
      </c>
      <c r="K16" s="15">
        <f>L16+714</f>
        <v>714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0.11943627086738991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125</v>
      </c>
      <c r="D17" s="55" t="s">
        <v>675</v>
      </c>
      <c r="E17" s="57" t="s">
        <v>785</v>
      </c>
      <c r="F17" s="12" t="s">
        <v>786</v>
      </c>
      <c r="G17" s="12">
        <v>1</v>
      </c>
      <c r="H17" s="13">
        <v>24</v>
      </c>
      <c r="I17" s="34">
        <v>500</v>
      </c>
      <c r="J17" s="14">
        <v>627</v>
      </c>
      <c r="K17" s="15">
        <f>L17+627</f>
        <v>627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0.11943627086738991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114</v>
      </c>
      <c r="D18" s="55" t="s">
        <v>171</v>
      </c>
      <c r="E18" s="57" t="s">
        <v>830</v>
      </c>
      <c r="F18" s="12">
        <v>7301</v>
      </c>
      <c r="G18" s="36">
        <v>1</v>
      </c>
      <c r="H18" s="38">
        <v>30</v>
      </c>
      <c r="I18" s="7">
        <v>4000</v>
      </c>
      <c r="J18" s="5">
        <v>2495</v>
      </c>
      <c r="K18" s="15">
        <f>L18+4283</f>
        <v>6778</v>
      </c>
      <c r="L18" s="15">
        <v>2495</v>
      </c>
      <c r="M18" s="16">
        <f t="shared" si="0"/>
        <v>2495</v>
      </c>
      <c r="N18" s="16">
        <v>0</v>
      </c>
      <c r="O18" s="62">
        <f t="shared" si="1"/>
        <v>0</v>
      </c>
      <c r="P18" s="42">
        <f t="shared" si="2"/>
        <v>11</v>
      </c>
      <c r="Q18" s="43">
        <f t="shared" si="3"/>
        <v>13</v>
      </c>
      <c r="R18" s="7"/>
      <c r="S18" s="6"/>
      <c r="T18" s="17"/>
      <c r="U18" s="17"/>
      <c r="V18" s="18">
        <v>13</v>
      </c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0.45833333333333331</v>
      </c>
      <c r="AD18" s="10">
        <f t="shared" si="6"/>
        <v>0.45833333333333331</v>
      </c>
      <c r="AE18" s="39">
        <f t="shared" si="7"/>
        <v>0.11943627086738991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125</v>
      </c>
      <c r="D19" s="55" t="s">
        <v>126</v>
      </c>
      <c r="E19" s="57" t="s">
        <v>721</v>
      </c>
      <c r="F19" s="33" t="s">
        <v>133</v>
      </c>
      <c r="G19" s="12">
        <v>1</v>
      </c>
      <c r="H19" s="13">
        <v>25</v>
      </c>
      <c r="I19" s="34">
        <v>10000</v>
      </c>
      <c r="J19" s="5">
        <v>999</v>
      </c>
      <c r="K19" s="15">
        <f>L19+1683+2711+999</f>
        <v>5393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>
        <v>24</v>
      </c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0.11943627086738991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124</v>
      </c>
      <c r="F20" s="12" t="s">
        <v>122</v>
      </c>
      <c r="G20" s="12">
        <v>4</v>
      </c>
      <c r="H20" s="38">
        <v>20</v>
      </c>
      <c r="I20" s="7">
        <v>300000</v>
      </c>
      <c r="J20" s="14">
        <v>22430</v>
      </c>
      <c r="K20" s="15">
        <f>L20+44148+50632+51280+53100+49924</f>
        <v>271508</v>
      </c>
      <c r="L20" s="15">
        <f>5606*4</f>
        <v>22424</v>
      </c>
      <c r="M20" s="16">
        <f t="shared" si="0"/>
        <v>22424</v>
      </c>
      <c r="N20" s="16">
        <v>0</v>
      </c>
      <c r="O20" s="62">
        <f t="shared" si="1"/>
        <v>0</v>
      </c>
      <c r="P20" s="42">
        <f t="shared" si="2"/>
        <v>11</v>
      </c>
      <c r="Q20" s="43">
        <f t="shared" si="3"/>
        <v>13</v>
      </c>
      <c r="R20" s="7"/>
      <c r="S20" s="6"/>
      <c r="T20" s="17"/>
      <c r="U20" s="17"/>
      <c r="V20" s="18">
        <v>13</v>
      </c>
      <c r="W20" s="19"/>
      <c r="X20" s="17"/>
      <c r="Y20" s="20"/>
      <c r="Z20" s="20"/>
      <c r="AA20" s="21"/>
      <c r="AB20" s="8">
        <f t="shared" si="4"/>
        <v>0.99973250111457868</v>
      </c>
      <c r="AC20" s="9">
        <f t="shared" si="5"/>
        <v>0.45833333333333331</v>
      </c>
      <c r="AD20" s="10">
        <f t="shared" si="6"/>
        <v>0.45821072967751519</v>
      </c>
      <c r="AE20" s="39">
        <f t="shared" si="7"/>
        <v>0.11943627086738991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627000</v>
      </c>
      <c r="J21" s="22">
        <f t="shared" si="9"/>
        <v>82813</v>
      </c>
      <c r="K21" s="23">
        <f t="shared" si="9"/>
        <v>533123</v>
      </c>
      <c r="L21" s="24">
        <f t="shared" si="9"/>
        <v>34903</v>
      </c>
      <c r="M21" s="23">
        <f t="shared" si="9"/>
        <v>34903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43</v>
      </c>
      <c r="Q21" s="46">
        <f t="shared" si="10"/>
        <v>317</v>
      </c>
      <c r="R21" s="26">
        <f t="shared" si="10"/>
        <v>48</v>
      </c>
      <c r="S21" s="27">
        <f t="shared" si="10"/>
        <v>2</v>
      </c>
      <c r="T21" s="27">
        <f t="shared" si="10"/>
        <v>0</v>
      </c>
      <c r="U21" s="27">
        <f t="shared" si="10"/>
        <v>0</v>
      </c>
      <c r="V21" s="28">
        <f t="shared" si="10"/>
        <v>99</v>
      </c>
      <c r="W21" s="29">
        <f t="shared" si="10"/>
        <v>168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0.26664883340763856</v>
      </c>
      <c r="AC21" s="4">
        <f>SUM(AC6:AC20)/15</f>
        <v>0.11944444444444444</v>
      </c>
      <c r="AD21" s="4">
        <f>SUM(AD6:AD20)/15</f>
        <v>0.11943627086738991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853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854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315" t="s">
        <v>46</v>
      </c>
      <c r="D50" s="315" t="s">
        <v>47</v>
      </c>
      <c r="E50" s="315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315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362</v>
      </c>
      <c r="B51" s="440"/>
      <c r="C51" s="317" t="s">
        <v>188</v>
      </c>
      <c r="D51" s="317"/>
      <c r="E51" s="317" t="s">
        <v>757</v>
      </c>
      <c r="F51" s="431" t="s">
        <v>196</v>
      </c>
      <c r="G51" s="431"/>
      <c r="H51" s="431"/>
      <c r="I51" s="431"/>
      <c r="J51" s="431"/>
      <c r="K51" s="431"/>
      <c r="L51" s="431"/>
      <c r="M51" s="441"/>
      <c r="N51" s="316" t="s">
        <v>292</v>
      </c>
      <c r="O51" s="124" t="s">
        <v>181</v>
      </c>
      <c r="P51" s="440" t="s">
        <v>152</v>
      </c>
      <c r="Q51" s="440"/>
      <c r="R51" s="440" t="s">
        <v>855</v>
      </c>
      <c r="S51" s="440"/>
      <c r="T51" s="440"/>
      <c r="U51" s="440"/>
      <c r="V51" s="431" t="s">
        <v>130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/>
      <c r="B52" s="440"/>
      <c r="C52" s="317"/>
      <c r="D52" s="317"/>
      <c r="E52" s="317"/>
      <c r="F52" s="431"/>
      <c r="G52" s="431"/>
      <c r="H52" s="431"/>
      <c r="I52" s="431"/>
      <c r="J52" s="431"/>
      <c r="K52" s="431"/>
      <c r="L52" s="431"/>
      <c r="M52" s="441"/>
      <c r="N52" s="316" t="s">
        <v>292</v>
      </c>
      <c r="O52" s="124" t="s">
        <v>763</v>
      </c>
      <c r="P52" s="440" t="s">
        <v>171</v>
      </c>
      <c r="Q52" s="440"/>
      <c r="R52" s="440" t="s">
        <v>856</v>
      </c>
      <c r="S52" s="440"/>
      <c r="T52" s="440"/>
      <c r="U52" s="440"/>
      <c r="V52" s="431" t="s">
        <v>130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/>
      <c r="B53" s="440"/>
      <c r="C53" s="317"/>
      <c r="D53" s="317"/>
      <c r="E53" s="317"/>
      <c r="F53" s="431"/>
      <c r="G53" s="431"/>
      <c r="H53" s="431"/>
      <c r="I53" s="431"/>
      <c r="J53" s="431"/>
      <c r="K53" s="431"/>
      <c r="L53" s="431"/>
      <c r="M53" s="441"/>
      <c r="N53" s="316" t="s">
        <v>292</v>
      </c>
      <c r="O53" s="124" t="s">
        <v>194</v>
      </c>
      <c r="P53" s="440" t="s">
        <v>123</v>
      </c>
      <c r="Q53" s="440"/>
      <c r="R53" s="440" t="s">
        <v>857</v>
      </c>
      <c r="S53" s="440"/>
      <c r="T53" s="440"/>
      <c r="U53" s="440"/>
      <c r="V53" s="431" t="s">
        <v>130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/>
      <c r="B54" s="440"/>
      <c r="C54" s="317"/>
      <c r="D54" s="317"/>
      <c r="E54" s="317"/>
      <c r="F54" s="431"/>
      <c r="G54" s="431"/>
      <c r="H54" s="431"/>
      <c r="I54" s="431"/>
      <c r="J54" s="431"/>
      <c r="K54" s="431"/>
      <c r="L54" s="431"/>
      <c r="M54" s="441"/>
      <c r="N54" s="316" t="s">
        <v>292</v>
      </c>
      <c r="O54" s="124" t="s">
        <v>191</v>
      </c>
      <c r="P54" s="440" t="s">
        <v>159</v>
      </c>
      <c r="Q54" s="440"/>
      <c r="R54" s="440" t="s">
        <v>858</v>
      </c>
      <c r="S54" s="440"/>
      <c r="T54" s="440"/>
      <c r="U54" s="440"/>
      <c r="V54" s="431" t="s">
        <v>130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/>
      <c r="B55" s="440"/>
      <c r="C55" s="317"/>
      <c r="D55" s="317"/>
      <c r="E55" s="317"/>
      <c r="F55" s="431"/>
      <c r="G55" s="431"/>
      <c r="H55" s="431"/>
      <c r="I55" s="431"/>
      <c r="J55" s="431"/>
      <c r="K55" s="431"/>
      <c r="L55" s="431"/>
      <c r="M55" s="441"/>
      <c r="N55" s="316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/>
      <c r="B56" s="440"/>
      <c r="C56" s="317"/>
      <c r="D56" s="317"/>
      <c r="E56" s="317"/>
      <c r="F56" s="431"/>
      <c r="G56" s="431"/>
      <c r="H56" s="431"/>
      <c r="I56" s="431"/>
      <c r="J56" s="431"/>
      <c r="K56" s="431"/>
      <c r="L56" s="431"/>
      <c r="M56" s="441"/>
      <c r="N56" s="316"/>
      <c r="O56" s="124"/>
      <c r="P56" s="446"/>
      <c r="Q56" s="447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/>
      <c r="B57" s="440"/>
      <c r="C57" s="317"/>
      <c r="D57" s="317"/>
      <c r="E57" s="317"/>
      <c r="F57" s="431"/>
      <c r="G57" s="431"/>
      <c r="H57" s="431"/>
      <c r="I57" s="431"/>
      <c r="J57" s="431"/>
      <c r="K57" s="431"/>
      <c r="L57" s="431"/>
      <c r="M57" s="441"/>
      <c r="N57" s="316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317"/>
      <c r="D58" s="317"/>
      <c r="E58" s="317"/>
      <c r="F58" s="431"/>
      <c r="G58" s="431"/>
      <c r="H58" s="431"/>
      <c r="I58" s="431"/>
      <c r="J58" s="431"/>
      <c r="K58" s="431"/>
      <c r="L58" s="431"/>
      <c r="M58" s="441"/>
      <c r="N58" s="316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317"/>
      <c r="D59" s="317"/>
      <c r="E59" s="317"/>
      <c r="F59" s="431"/>
      <c r="G59" s="431"/>
      <c r="H59" s="431"/>
      <c r="I59" s="431"/>
      <c r="J59" s="431"/>
      <c r="K59" s="431"/>
      <c r="L59" s="431"/>
      <c r="M59" s="441"/>
      <c r="N59" s="316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319"/>
      <c r="D60" s="319"/>
      <c r="E60" s="319"/>
      <c r="F60" s="431"/>
      <c r="G60" s="431"/>
      <c r="H60" s="431"/>
      <c r="I60" s="431"/>
      <c r="J60" s="431"/>
      <c r="K60" s="431"/>
      <c r="L60" s="431"/>
      <c r="M60" s="441"/>
      <c r="N60" s="318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859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320" t="s">
        <v>2</v>
      </c>
      <c r="D62" s="320" t="s">
        <v>37</v>
      </c>
      <c r="E62" s="320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320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114</v>
      </c>
      <c r="D63" s="323"/>
      <c r="E63" s="321" t="s">
        <v>218</v>
      </c>
      <c r="F63" s="429" t="s">
        <v>217</v>
      </c>
      <c r="G63" s="421"/>
      <c r="H63" s="421"/>
      <c r="I63" s="421"/>
      <c r="J63" s="421"/>
      <c r="K63" s="421" t="s">
        <v>216</v>
      </c>
      <c r="L63" s="421"/>
      <c r="M63" s="54" t="s">
        <v>257</v>
      </c>
      <c r="N63" s="421">
        <v>4</v>
      </c>
      <c r="O63" s="421"/>
      <c r="P63" s="430">
        <v>600</v>
      </c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 t="s">
        <v>114</v>
      </c>
      <c r="D64" s="323"/>
      <c r="E64" s="321" t="s">
        <v>219</v>
      </c>
      <c r="F64" s="429" t="s">
        <v>220</v>
      </c>
      <c r="G64" s="421"/>
      <c r="H64" s="421"/>
      <c r="I64" s="421"/>
      <c r="J64" s="421"/>
      <c r="K64" s="421" t="s">
        <v>216</v>
      </c>
      <c r="L64" s="421"/>
      <c r="M64" s="54" t="s">
        <v>257</v>
      </c>
      <c r="N64" s="421">
        <v>8</v>
      </c>
      <c r="O64" s="421"/>
      <c r="P64" s="430">
        <v>600</v>
      </c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 t="s">
        <v>114</v>
      </c>
      <c r="D65" s="323"/>
      <c r="E65" s="321" t="s">
        <v>212</v>
      </c>
      <c r="F65" s="429" t="s">
        <v>213</v>
      </c>
      <c r="G65" s="421"/>
      <c r="H65" s="421"/>
      <c r="I65" s="421"/>
      <c r="J65" s="421"/>
      <c r="K65" s="421" t="s">
        <v>216</v>
      </c>
      <c r="L65" s="421"/>
      <c r="M65" s="54" t="s">
        <v>257</v>
      </c>
      <c r="N65" s="421">
        <v>11</v>
      </c>
      <c r="O65" s="421"/>
      <c r="P65" s="430">
        <v>300</v>
      </c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 t="s">
        <v>125</v>
      </c>
      <c r="D66" s="323"/>
      <c r="E66" s="321" t="s">
        <v>771</v>
      </c>
      <c r="F66" s="429" t="s">
        <v>772</v>
      </c>
      <c r="G66" s="421"/>
      <c r="H66" s="421"/>
      <c r="I66" s="421"/>
      <c r="J66" s="421"/>
      <c r="K66" s="421" t="s">
        <v>216</v>
      </c>
      <c r="L66" s="421"/>
      <c r="M66" s="54" t="s">
        <v>330</v>
      </c>
      <c r="N66" s="421">
        <v>4</v>
      </c>
      <c r="O66" s="421"/>
      <c r="P66" s="430">
        <v>300</v>
      </c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 t="s">
        <v>125</v>
      </c>
      <c r="D67" s="323"/>
      <c r="E67" s="321" t="s">
        <v>159</v>
      </c>
      <c r="F67" s="429" t="s">
        <v>631</v>
      </c>
      <c r="G67" s="421"/>
      <c r="H67" s="421"/>
      <c r="I67" s="421"/>
      <c r="J67" s="421"/>
      <c r="K67" s="421" t="s">
        <v>214</v>
      </c>
      <c r="L67" s="421"/>
      <c r="M67" s="54" t="s">
        <v>215</v>
      </c>
      <c r="N67" s="421">
        <v>4</v>
      </c>
      <c r="O67" s="421"/>
      <c r="P67" s="430">
        <v>50</v>
      </c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323"/>
      <c r="E68" s="321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323"/>
      <c r="E69" s="321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323"/>
      <c r="E70" s="321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860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322" t="s">
        <v>2</v>
      </c>
      <c r="D72" s="322" t="s">
        <v>37</v>
      </c>
      <c r="E72" s="322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324" t="s">
        <v>114</v>
      </c>
      <c r="D73" s="324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323" t="s">
        <v>114</v>
      </c>
      <c r="D74" s="323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323"/>
      <c r="D75" s="323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323"/>
      <c r="D76" s="323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323"/>
      <c r="D77" s="323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323"/>
      <c r="D78" s="323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323"/>
      <c r="D79" s="323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323"/>
      <c r="D80" s="323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323"/>
      <c r="D81" s="323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861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>
        <v>9</v>
      </c>
      <c r="D84" s="397"/>
      <c r="E84" s="397" t="s">
        <v>848</v>
      </c>
      <c r="F84" s="397"/>
      <c r="G84" s="397"/>
      <c r="H84" s="397"/>
      <c r="I84" s="397"/>
      <c r="J84" s="397"/>
      <c r="K84" s="397" t="s">
        <v>849</v>
      </c>
      <c r="L84" s="397"/>
      <c r="M84" s="397"/>
      <c r="N84" s="397"/>
      <c r="O84" s="397"/>
      <c r="P84" s="397"/>
      <c r="Q84" s="397"/>
      <c r="R84" s="397"/>
      <c r="S84" s="397"/>
      <c r="T84" s="397" t="s">
        <v>850</v>
      </c>
      <c r="U84" s="397"/>
      <c r="V84" s="398" t="s">
        <v>851</v>
      </c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11E3-C895-46FC-B9E0-606291F8DE92}">
  <sheetPr>
    <pageSetUpPr fitToPage="1"/>
  </sheetPr>
  <dimension ref="A1:AF86"/>
  <sheetViews>
    <sheetView zoomScale="72" zoomScaleNormal="72" zoomScaleSheetLayoutView="70" workbookViewId="0">
      <selection activeCell="K20" sqref="K2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862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335" t="s">
        <v>17</v>
      </c>
      <c r="L5" s="335" t="s">
        <v>18</v>
      </c>
      <c r="M5" s="335" t="s">
        <v>19</v>
      </c>
      <c r="N5" s="33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0.483088838422572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0.483088838422572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292</v>
      </c>
      <c r="D8" s="55" t="s">
        <v>152</v>
      </c>
      <c r="E8" s="57" t="s">
        <v>855</v>
      </c>
      <c r="F8" s="33" t="s">
        <v>134</v>
      </c>
      <c r="G8" s="36">
        <v>1</v>
      </c>
      <c r="H8" s="38">
        <v>25</v>
      </c>
      <c r="I8" s="7">
        <v>25000</v>
      </c>
      <c r="J8" s="5">
        <v>4360</v>
      </c>
      <c r="K8" s="15">
        <f>L8</f>
        <v>4360</v>
      </c>
      <c r="L8" s="15">
        <f>1496+2864</f>
        <v>4360</v>
      </c>
      <c r="M8" s="16">
        <f t="shared" si="0"/>
        <v>4360</v>
      </c>
      <c r="N8" s="16">
        <v>0</v>
      </c>
      <c r="O8" s="62">
        <f t="shared" si="1"/>
        <v>0</v>
      </c>
      <c r="P8" s="42">
        <f t="shared" si="2"/>
        <v>22</v>
      </c>
      <c r="Q8" s="43">
        <f t="shared" si="3"/>
        <v>2</v>
      </c>
      <c r="R8" s="7"/>
      <c r="S8" s="6"/>
      <c r="T8" s="17">
        <v>2</v>
      </c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9">
        <f t="shared" si="7"/>
        <v>0.483088838422572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125</v>
      </c>
      <c r="D9" s="55" t="s">
        <v>374</v>
      </c>
      <c r="E9" s="57" t="s">
        <v>375</v>
      </c>
      <c r="F9" s="12" t="s">
        <v>364</v>
      </c>
      <c r="G9" s="12">
        <v>1</v>
      </c>
      <c r="H9" s="13">
        <v>25</v>
      </c>
      <c r="I9" s="7">
        <v>500</v>
      </c>
      <c r="J9" s="5">
        <v>1850</v>
      </c>
      <c r="K9" s="15">
        <f>L9+1850</f>
        <v>1850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0.483088838422572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362</v>
      </c>
      <c r="D10" s="55" t="s">
        <v>784</v>
      </c>
      <c r="E10" s="57" t="s">
        <v>757</v>
      </c>
      <c r="F10" s="12" t="s">
        <v>132</v>
      </c>
      <c r="G10" s="12">
        <v>2</v>
      </c>
      <c r="H10" s="13">
        <v>25</v>
      </c>
      <c r="I10" s="7">
        <v>60000</v>
      </c>
      <c r="J10" s="14">
        <v>11746</v>
      </c>
      <c r="K10" s="15">
        <f>L10+12622+7434+9660+7252</f>
        <v>48714</v>
      </c>
      <c r="L10" s="15">
        <f>5538+3104*2</f>
        <v>11746</v>
      </c>
      <c r="M10" s="16">
        <f t="shared" si="0"/>
        <v>11746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>
        <v>3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0.875</v>
      </c>
      <c r="AD10" s="10">
        <f t="shared" si="6"/>
        <v>0.875</v>
      </c>
      <c r="AE10" s="39">
        <f t="shared" si="7"/>
        <v>0.483088838422572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292</v>
      </c>
      <c r="D11" s="55" t="s">
        <v>159</v>
      </c>
      <c r="E11" s="57" t="s">
        <v>863</v>
      </c>
      <c r="F11" s="12" t="s">
        <v>864</v>
      </c>
      <c r="G11" s="12">
        <v>1</v>
      </c>
      <c r="H11" s="13">
        <v>25</v>
      </c>
      <c r="I11" s="34">
        <v>25000</v>
      </c>
      <c r="J11" s="5">
        <v>3550</v>
      </c>
      <c r="K11" s="15">
        <f>L11</f>
        <v>3545</v>
      </c>
      <c r="L11" s="15">
        <f>450+3095</f>
        <v>3545</v>
      </c>
      <c r="M11" s="16">
        <f t="shared" si="0"/>
        <v>3545</v>
      </c>
      <c r="N11" s="16">
        <v>0</v>
      </c>
      <c r="O11" s="62">
        <f t="shared" si="1"/>
        <v>0</v>
      </c>
      <c r="P11" s="42">
        <f t="shared" si="2"/>
        <v>20</v>
      </c>
      <c r="Q11" s="43">
        <f t="shared" si="3"/>
        <v>4</v>
      </c>
      <c r="R11" s="7"/>
      <c r="S11" s="6"/>
      <c r="T11" s="17">
        <v>4</v>
      </c>
      <c r="U11" s="17"/>
      <c r="V11" s="18"/>
      <c r="W11" s="19"/>
      <c r="X11" s="17"/>
      <c r="Y11" s="20"/>
      <c r="Z11" s="20"/>
      <c r="AA11" s="21"/>
      <c r="AB11" s="8">
        <f t="shared" si="4"/>
        <v>0.99859154929577465</v>
      </c>
      <c r="AC11" s="9">
        <f t="shared" si="5"/>
        <v>0.83333333333333337</v>
      </c>
      <c r="AD11" s="10">
        <f t="shared" si="6"/>
        <v>0.83215962441314562</v>
      </c>
      <c r="AE11" s="39">
        <f t="shared" si="7"/>
        <v>0.483088838422572</v>
      </c>
      <c r="AF11" s="93">
        <f t="shared" si="8"/>
        <v>6</v>
      </c>
    </row>
    <row r="12" spans="1:32" ht="27" customHeight="1">
      <c r="A12" s="109">
        <v>7</v>
      </c>
      <c r="B12" s="11" t="s">
        <v>835</v>
      </c>
      <c r="C12" s="11" t="s">
        <v>125</v>
      </c>
      <c r="D12" s="55" t="s">
        <v>152</v>
      </c>
      <c r="E12" s="57" t="s">
        <v>153</v>
      </c>
      <c r="F12" s="12" t="s">
        <v>447</v>
      </c>
      <c r="G12" s="12">
        <v>1</v>
      </c>
      <c r="H12" s="13">
        <v>25</v>
      </c>
      <c r="I12" s="7">
        <v>30000</v>
      </c>
      <c r="J12" s="14">
        <v>6000</v>
      </c>
      <c r="K12" s="15">
        <f>L12+5963+2732</f>
        <v>14684</v>
      </c>
      <c r="L12" s="15">
        <f>2717+3272</f>
        <v>5989</v>
      </c>
      <c r="M12" s="16">
        <f t="shared" si="0"/>
        <v>5989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0.99816666666666665</v>
      </c>
      <c r="AC12" s="9">
        <f t="shared" si="5"/>
        <v>1</v>
      </c>
      <c r="AD12" s="10">
        <f t="shared" si="6"/>
        <v>0.99816666666666665</v>
      </c>
      <c r="AE12" s="39">
        <f t="shared" si="7"/>
        <v>0.483088838422572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292</v>
      </c>
      <c r="D13" s="55" t="s">
        <v>152</v>
      </c>
      <c r="E13" s="57" t="s">
        <v>865</v>
      </c>
      <c r="F13" s="12" t="s">
        <v>295</v>
      </c>
      <c r="G13" s="12">
        <v>1</v>
      </c>
      <c r="H13" s="13">
        <v>25</v>
      </c>
      <c r="I13" s="7">
        <v>12000</v>
      </c>
      <c r="J13" s="14">
        <v>6040</v>
      </c>
      <c r="K13" s="15">
        <f>L13</f>
        <v>6038</v>
      </c>
      <c r="L13" s="15">
        <f>3019*2</f>
        <v>6038</v>
      </c>
      <c r="M13" s="16">
        <f t="shared" si="0"/>
        <v>6038</v>
      </c>
      <c r="N13" s="16">
        <v>0</v>
      </c>
      <c r="O13" s="62">
        <f t="shared" si="1"/>
        <v>0</v>
      </c>
      <c r="P13" s="42">
        <f t="shared" si="2"/>
        <v>18</v>
      </c>
      <c r="Q13" s="43">
        <f t="shared" si="3"/>
        <v>6</v>
      </c>
      <c r="R13" s="7"/>
      <c r="S13" s="6">
        <v>6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0.99966887417218542</v>
      </c>
      <c r="AC13" s="9">
        <f t="shared" si="5"/>
        <v>0.75</v>
      </c>
      <c r="AD13" s="10">
        <f t="shared" si="6"/>
        <v>0.74975165562913904</v>
      </c>
      <c r="AE13" s="39">
        <f t="shared" si="7"/>
        <v>0.483088838422572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670</v>
      </c>
      <c r="F14" s="33" t="s">
        <v>447</v>
      </c>
      <c r="G14" s="36">
        <v>1</v>
      </c>
      <c r="H14" s="38">
        <v>25</v>
      </c>
      <c r="I14" s="7">
        <v>1000</v>
      </c>
      <c r="J14" s="5">
        <v>1068</v>
      </c>
      <c r="K14" s="15">
        <f>L14+1068</f>
        <v>1068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>
        <v>24</v>
      </c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0.483088838422572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362</v>
      </c>
      <c r="D15" s="55" t="s">
        <v>126</v>
      </c>
      <c r="E15" s="57" t="s">
        <v>760</v>
      </c>
      <c r="F15" s="12" t="s">
        <v>736</v>
      </c>
      <c r="G15" s="12">
        <v>1</v>
      </c>
      <c r="H15" s="13">
        <v>24</v>
      </c>
      <c r="I15" s="34">
        <v>13000</v>
      </c>
      <c r="J15" s="14">
        <v>1275</v>
      </c>
      <c r="K15" s="15">
        <f>L15+2100+1275</f>
        <v>3375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>
        <v>24</v>
      </c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0.483088838422572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292</v>
      </c>
      <c r="D16" s="55" t="s">
        <v>171</v>
      </c>
      <c r="E16" s="57" t="s">
        <v>856</v>
      </c>
      <c r="F16" s="33" t="s">
        <v>134</v>
      </c>
      <c r="G16" s="36">
        <v>1</v>
      </c>
      <c r="H16" s="38">
        <v>25</v>
      </c>
      <c r="I16" s="7">
        <v>25000</v>
      </c>
      <c r="J16" s="5">
        <v>4500</v>
      </c>
      <c r="K16" s="15">
        <f>L16</f>
        <v>4499</v>
      </c>
      <c r="L16" s="15">
        <f>1419+3080</f>
        <v>4499</v>
      </c>
      <c r="M16" s="16">
        <f t="shared" si="0"/>
        <v>4499</v>
      </c>
      <c r="N16" s="16">
        <v>0</v>
      </c>
      <c r="O16" s="62">
        <f t="shared" si="1"/>
        <v>0</v>
      </c>
      <c r="P16" s="42">
        <f t="shared" si="2"/>
        <v>22</v>
      </c>
      <c r="Q16" s="43">
        <f t="shared" si="3"/>
        <v>2</v>
      </c>
      <c r="R16" s="7"/>
      <c r="S16" s="6"/>
      <c r="T16" s="17">
        <v>2</v>
      </c>
      <c r="U16" s="17"/>
      <c r="V16" s="18"/>
      <c r="W16" s="19"/>
      <c r="X16" s="17"/>
      <c r="Y16" s="20"/>
      <c r="Z16" s="20"/>
      <c r="AA16" s="21"/>
      <c r="AB16" s="8">
        <f t="shared" si="4"/>
        <v>0.99977777777777777</v>
      </c>
      <c r="AC16" s="9">
        <f t="shared" si="5"/>
        <v>0.91666666666666663</v>
      </c>
      <c r="AD16" s="10">
        <f t="shared" si="6"/>
        <v>0.91646296296296292</v>
      </c>
      <c r="AE16" s="39">
        <f t="shared" si="7"/>
        <v>0.483088838422572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125</v>
      </c>
      <c r="D17" s="55" t="s">
        <v>675</v>
      </c>
      <c r="E17" s="57" t="s">
        <v>785</v>
      </c>
      <c r="F17" s="12" t="s">
        <v>786</v>
      </c>
      <c r="G17" s="12">
        <v>1</v>
      </c>
      <c r="H17" s="13">
        <v>24</v>
      </c>
      <c r="I17" s="34">
        <v>500</v>
      </c>
      <c r="J17" s="14">
        <v>627</v>
      </c>
      <c r="K17" s="15">
        <f>L17+627</f>
        <v>627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0.483088838422572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292</v>
      </c>
      <c r="D18" s="55" t="s">
        <v>123</v>
      </c>
      <c r="E18" s="57" t="s">
        <v>857</v>
      </c>
      <c r="F18" s="12" t="s">
        <v>295</v>
      </c>
      <c r="G18" s="36">
        <v>1</v>
      </c>
      <c r="H18" s="38">
        <v>30</v>
      </c>
      <c r="I18" s="7">
        <v>25000</v>
      </c>
      <c r="J18" s="5">
        <v>4600</v>
      </c>
      <c r="K18" s="15">
        <f>L18</f>
        <v>4599</v>
      </c>
      <c r="L18" s="15">
        <f>1647+2952</f>
        <v>4599</v>
      </c>
      <c r="M18" s="16">
        <f t="shared" si="0"/>
        <v>4599</v>
      </c>
      <c r="N18" s="16">
        <v>0</v>
      </c>
      <c r="O18" s="62">
        <f t="shared" si="1"/>
        <v>0</v>
      </c>
      <c r="P18" s="42">
        <f t="shared" si="2"/>
        <v>23</v>
      </c>
      <c r="Q18" s="43">
        <f t="shared" si="3"/>
        <v>1</v>
      </c>
      <c r="R18" s="7"/>
      <c r="S18" s="6"/>
      <c r="T18" s="17">
        <v>1</v>
      </c>
      <c r="U18" s="17"/>
      <c r="V18" s="18"/>
      <c r="W18" s="19"/>
      <c r="X18" s="17"/>
      <c r="Y18" s="20"/>
      <c r="Z18" s="20"/>
      <c r="AA18" s="21"/>
      <c r="AB18" s="8">
        <f t="shared" si="4"/>
        <v>0.99978260869565216</v>
      </c>
      <c r="AC18" s="9">
        <f t="shared" si="5"/>
        <v>0.95833333333333337</v>
      </c>
      <c r="AD18" s="10">
        <f t="shared" si="6"/>
        <v>0.958125</v>
      </c>
      <c r="AE18" s="39">
        <f t="shared" si="7"/>
        <v>0.483088838422572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125</v>
      </c>
      <c r="D19" s="55" t="s">
        <v>126</v>
      </c>
      <c r="E19" s="57" t="s">
        <v>721</v>
      </c>
      <c r="F19" s="33" t="s">
        <v>133</v>
      </c>
      <c r="G19" s="12">
        <v>1</v>
      </c>
      <c r="H19" s="13">
        <v>25</v>
      </c>
      <c r="I19" s="34">
        <v>10000</v>
      </c>
      <c r="J19" s="5">
        <v>999</v>
      </c>
      <c r="K19" s="15">
        <f>L19+1683+2711+999</f>
        <v>5393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>
        <v>24</v>
      </c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0.483088838422572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124</v>
      </c>
      <c r="F20" s="12" t="s">
        <v>122</v>
      </c>
      <c r="G20" s="12">
        <v>4</v>
      </c>
      <c r="H20" s="38">
        <v>20</v>
      </c>
      <c r="I20" s="7">
        <v>300000</v>
      </c>
      <c r="J20" s="14">
        <v>45520</v>
      </c>
      <c r="K20" s="15">
        <f>L20+44148+50632+51280+53100+49924+22424</f>
        <v>317028</v>
      </c>
      <c r="L20" s="15">
        <f>6840*4+4540*4</f>
        <v>45520</v>
      </c>
      <c r="M20" s="16">
        <f t="shared" si="0"/>
        <v>45520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0.483088838422572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728000</v>
      </c>
      <c r="J21" s="22">
        <f t="shared" si="9"/>
        <v>129775</v>
      </c>
      <c r="K21" s="23">
        <f t="shared" si="9"/>
        <v>603058</v>
      </c>
      <c r="L21" s="24">
        <f t="shared" si="9"/>
        <v>86296</v>
      </c>
      <c r="M21" s="23">
        <f t="shared" si="9"/>
        <v>86296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174</v>
      </c>
      <c r="Q21" s="46">
        <f t="shared" si="10"/>
        <v>186</v>
      </c>
      <c r="R21" s="26">
        <f t="shared" si="10"/>
        <v>48</v>
      </c>
      <c r="S21" s="27">
        <f t="shared" si="10"/>
        <v>9</v>
      </c>
      <c r="T21" s="27">
        <f t="shared" si="10"/>
        <v>9</v>
      </c>
      <c r="U21" s="27">
        <f t="shared" si="10"/>
        <v>0</v>
      </c>
      <c r="V21" s="28">
        <f t="shared" si="10"/>
        <v>48</v>
      </c>
      <c r="W21" s="29">
        <f t="shared" si="10"/>
        <v>72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0.53306583177387046</v>
      </c>
      <c r="AC21" s="4">
        <f>SUM(AC6:AC20)/15</f>
        <v>0.48333333333333334</v>
      </c>
      <c r="AD21" s="4">
        <f>SUM(AD6:AD20)/15</f>
        <v>0.483088838422572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866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873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334" t="s">
        <v>46</v>
      </c>
      <c r="D50" s="334" t="s">
        <v>47</v>
      </c>
      <c r="E50" s="334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334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362</v>
      </c>
      <c r="B51" s="440"/>
      <c r="C51" s="331" t="s">
        <v>188</v>
      </c>
      <c r="D51" s="331"/>
      <c r="E51" s="331" t="s">
        <v>757</v>
      </c>
      <c r="F51" s="431" t="s">
        <v>870</v>
      </c>
      <c r="G51" s="431"/>
      <c r="H51" s="431"/>
      <c r="I51" s="431"/>
      <c r="J51" s="431"/>
      <c r="K51" s="431"/>
      <c r="L51" s="431"/>
      <c r="M51" s="441"/>
      <c r="N51" s="330" t="s">
        <v>362</v>
      </c>
      <c r="O51" s="124" t="s">
        <v>188</v>
      </c>
      <c r="P51" s="440"/>
      <c r="Q51" s="440"/>
      <c r="R51" s="440" t="s">
        <v>757</v>
      </c>
      <c r="S51" s="440"/>
      <c r="T51" s="440"/>
      <c r="U51" s="440"/>
      <c r="V51" s="431" t="s">
        <v>196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292</v>
      </c>
      <c r="B52" s="440"/>
      <c r="C52" s="331" t="s">
        <v>181</v>
      </c>
      <c r="D52" s="331" t="s">
        <v>152</v>
      </c>
      <c r="E52" s="331" t="s">
        <v>867</v>
      </c>
      <c r="F52" s="431" t="s">
        <v>130</v>
      </c>
      <c r="G52" s="431"/>
      <c r="H52" s="431"/>
      <c r="I52" s="431"/>
      <c r="J52" s="431"/>
      <c r="K52" s="431"/>
      <c r="L52" s="431"/>
      <c r="M52" s="441"/>
      <c r="N52" s="330" t="s">
        <v>125</v>
      </c>
      <c r="O52" s="124" t="s">
        <v>182</v>
      </c>
      <c r="P52" s="440" t="s">
        <v>607</v>
      </c>
      <c r="Q52" s="440"/>
      <c r="R52" s="440" t="s">
        <v>829</v>
      </c>
      <c r="S52" s="440"/>
      <c r="T52" s="440"/>
      <c r="U52" s="440"/>
      <c r="V52" s="431" t="s">
        <v>196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292</v>
      </c>
      <c r="B53" s="440"/>
      <c r="C53" s="331" t="s">
        <v>191</v>
      </c>
      <c r="D53" s="331" t="s">
        <v>159</v>
      </c>
      <c r="E53" s="331" t="s">
        <v>858</v>
      </c>
      <c r="F53" s="431" t="s">
        <v>130</v>
      </c>
      <c r="G53" s="431"/>
      <c r="H53" s="431"/>
      <c r="I53" s="431"/>
      <c r="J53" s="431"/>
      <c r="K53" s="431"/>
      <c r="L53" s="431"/>
      <c r="M53" s="441"/>
      <c r="N53" s="330"/>
      <c r="O53" s="124"/>
      <c r="P53" s="440"/>
      <c r="Q53" s="440"/>
      <c r="R53" s="440"/>
      <c r="S53" s="440"/>
      <c r="T53" s="440"/>
      <c r="U53" s="440"/>
      <c r="V53" s="431"/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292</v>
      </c>
      <c r="B54" s="440"/>
      <c r="C54" s="331" t="s">
        <v>204</v>
      </c>
      <c r="D54" s="331" t="s">
        <v>152</v>
      </c>
      <c r="E54" s="331" t="s">
        <v>865</v>
      </c>
      <c r="F54" s="431" t="s">
        <v>130</v>
      </c>
      <c r="G54" s="431"/>
      <c r="H54" s="431"/>
      <c r="I54" s="431"/>
      <c r="J54" s="431"/>
      <c r="K54" s="431"/>
      <c r="L54" s="431"/>
      <c r="M54" s="441"/>
      <c r="N54" s="330"/>
      <c r="O54" s="124"/>
      <c r="P54" s="440"/>
      <c r="Q54" s="440"/>
      <c r="R54" s="440"/>
      <c r="S54" s="440"/>
      <c r="T54" s="440"/>
      <c r="U54" s="440"/>
      <c r="V54" s="431"/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292</v>
      </c>
      <c r="B55" s="440"/>
      <c r="C55" s="331" t="s">
        <v>763</v>
      </c>
      <c r="D55" s="331" t="s">
        <v>171</v>
      </c>
      <c r="E55" s="331" t="s">
        <v>868</v>
      </c>
      <c r="F55" s="431" t="s">
        <v>130</v>
      </c>
      <c r="G55" s="431"/>
      <c r="H55" s="431"/>
      <c r="I55" s="431"/>
      <c r="J55" s="431"/>
      <c r="K55" s="431"/>
      <c r="L55" s="431"/>
      <c r="M55" s="441"/>
      <c r="N55" s="330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292</v>
      </c>
      <c r="B56" s="440"/>
      <c r="C56" s="331" t="s">
        <v>194</v>
      </c>
      <c r="D56" s="331" t="s">
        <v>123</v>
      </c>
      <c r="E56" s="331" t="s">
        <v>869</v>
      </c>
      <c r="F56" s="431" t="s">
        <v>130</v>
      </c>
      <c r="G56" s="431"/>
      <c r="H56" s="431"/>
      <c r="I56" s="431"/>
      <c r="J56" s="431"/>
      <c r="K56" s="431"/>
      <c r="L56" s="431"/>
      <c r="M56" s="441"/>
      <c r="N56" s="330"/>
      <c r="O56" s="124"/>
      <c r="P56" s="446"/>
      <c r="Q56" s="447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 t="s">
        <v>125</v>
      </c>
      <c r="B57" s="440"/>
      <c r="C57" s="331" t="s">
        <v>182</v>
      </c>
      <c r="D57" s="331" t="s">
        <v>607</v>
      </c>
      <c r="E57" s="331" t="s">
        <v>871</v>
      </c>
      <c r="F57" s="431" t="s">
        <v>872</v>
      </c>
      <c r="G57" s="431"/>
      <c r="H57" s="431"/>
      <c r="I57" s="431"/>
      <c r="J57" s="431"/>
      <c r="K57" s="431"/>
      <c r="L57" s="431"/>
      <c r="M57" s="441"/>
      <c r="N57" s="330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331"/>
      <c r="D58" s="331"/>
      <c r="E58" s="331"/>
      <c r="F58" s="431"/>
      <c r="G58" s="431"/>
      <c r="H58" s="431"/>
      <c r="I58" s="431"/>
      <c r="J58" s="431"/>
      <c r="K58" s="431"/>
      <c r="L58" s="431"/>
      <c r="M58" s="441"/>
      <c r="N58" s="330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331"/>
      <c r="D59" s="331"/>
      <c r="E59" s="331"/>
      <c r="F59" s="431"/>
      <c r="G59" s="431"/>
      <c r="H59" s="431"/>
      <c r="I59" s="431"/>
      <c r="J59" s="431"/>
      <c r="K59" s="431"/>
      <c r="L59" s="431"/>
      <c r="M59" s="441"/>
      <c r="N59" s="330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333"/>
      <c r="D60" s="333"/>
      <c r="E60" s="333"/>
      <c r="F60" s="489"/>
      <c r="G60" s="489"/>
      <c r="H60" s="489"/>
      <c r="I60" s="489"/>
      <c r="J60" s="489"/>
      <c r="K60" s="489"/>
      <c r="L60" s="489"/>
      <c r="M60" s="490"/>
      <c r="N60" s="332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874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329" t="s">
        <v>2</v>
      </c>
      <c r="D62" s="329" t="s">
        <v>37</v>
      </c>
      <c r="E62" s="329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329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292</v>
      </c>
      <c r="D63" s="325"/>
      <c r="E63" s="328" t="s">
        <v>159</v>
      </c>
      <c r="F63" s="429" t="s">
        <v>875</v>
      </c>
      <c r="G63" s="421"/>
      <c r="H63" s="421"/>
      <c r="I63" s="421"/>
      <c r="J63" s="421"/>
      <c r="K63" s="421" t="s">
        <v>864</v>
      </c>
      <c r="L63" s="421"/>
      <c r="M63" s="54" t="s">
        <v>876</v>
      </c>
      <c r="N63" s="421">
        <v>6</v>
      </c>
      <c r="O63" s="421"/>
      <c r="P63" s="430">
        <v>100</v>
      </c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 t="s">
        <v>125</v>
      </c>
      <c r="D64" s="325"/>
      <c r="E64" s="328" t="s">
        <v>123</v>
      </c>
      <c r="F64" s="429" t="s">
        <v>573</v>
      </c>
      <c r="G64" s="421"/>
      <c r="H64" s="421"/>
      <c r="I64" s="421"/>
      <c r="J64" s="421"/>
      <c r="K64" s="421" t="s">
        <v>132</v>
      </c>
      <c r="L64" s="421"/>
      <c r="M64" s="54" t="s">
        <v>215</v>
      </c>
      <c r="N64" s="421">
        <v>4</v>
      </c>
      <c r="O64" s="421"/>
      <c r="P64" s="430">
        <v>50</v>
      </c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/>
      <c r="D65" s="325"/>
      <c r="E65" s="328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/>
      <c r="D66" s="325"/>
      <c r="E66" s="328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325"/>
      <c r="E67" s="328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325"/>
      <c r="E68" s="328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325"/>
      <c r="E69" s="328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325"/>
      <c r="E70" s="328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877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327" t="s">
        <v>2</v>
      </c>
      <c r="D72" s="327" t="s">
        <v>37</v>
      </c>
      <c r="E72" s="327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326" t="s">
        <v>114</v>
      </c>
      <c r="D73" s="326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325" t="s">
        <v>114</v>
      </c>
      <c r="D74" s="325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325"/>
      <c r="D75" s="325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325"/>
      <c r="D76" s="325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325"/>
      <c r="D77" s="325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325"/>
      <c r="D78" s="325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325"/>
      <c r="D79" s="325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325"/>
      <c r="D80" s="325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325"/>
      <c r="D81" s="325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878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>
        <v>9</v>
      </c>
      <c r="D84" s="397"/>
      <c r="E84" s="397" t="s">
        <v>848</v>
      </c>
      <c r="F84" s="397"/>
      <c r="G84" s="397"/>
      <c r="H84" s="397"/>
      <c r="I84" s="397"/>
      <c r="J84" s="397"/>
      <c r="K84" s="397" t="s">
        <v>849</v>
      </c>
      <c r="L84" s="397"/>
      <c r="M84" s="397"/>
      <c r="N84" s="397"/>
      <c r="O84" s="397"/>
      <c r="P84" s="397"/>
      <c r="Q84" s="397"/>
      <c r="R84" s="397"/>
      <c r="S84" s="397"/>
      <c r="T84" s="397" t="s">
        <v>850</v>
      </c>
      <c r="U84" s="397"/>
      <c r="V84" s="398" t="s">
        <v>851</v>
      </c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ED4A-94E6-4BA6-8BCE-3BABA45ECA6B}">
  <sheetPr>
    <pageSetUpPr fitToPage="1"/>
  </sheetPr>
  <dimension ref="A1:AF86"/>
  <sheetViews>
    <sheetView zoomScale="72" zoomScaleNormal="72" zoomScaleSheetLayoutView="70" workbookViewId="0">
      <selection activeCell="U12" sqref="U1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879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336" t="s">
        <v>17</v>
      </c>
      <c r="L5" s="336" t="s">
        <v>18</v>
      </c>
      <c r="M5" s="336" t="s">
        <v>19</v>
      </c>
      <c r="N5" s="33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0.47490537747383327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0.47490537747383327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292</v>
      </c>
      <c r="D8" s="55" t="s">
        <v>152</v>
      </c>
      <c r="E8" s="57" t="s">
        <v>855</v>
      </c>
      <c r="F8" s="33" t="s">
        <v>134</v>
      </c>
      <c r="G8" s="36">
        <v>1</v>
      </c>
      <c r="H8" s="38">
        <v>25</v>
      </c>
      <c r="I8" s="7">
        <v>25000</v>
      </c>
      <c r="J8" s="5">
        <v>4180</v>
      </c>
      <c r="K8" s="15">
        <f>L8+4360</f>
        <v>8540</v>
      </c>
      <c r="L8" s="15">
        <f>1295+2885</f>
        <v>4180</v>
      </c>
      <c r="M8" s="16">
        <f t="shared" si="0"/>
        <v>4180</v>
      </c>
      <c r="N8" s="16">
        <v>0</v>
      </c>
      <c r="O8" s="62">
        <f t="shared" si="1"/>
        <v>0</v>
      </c>
      <c r="P8" s="42">
        <f t="shared" si="2"/>
        <v>21</v>
      </c>
      <c r="Q8" s="43">
        <f t="shared" si="3"/>
        <v>3</v>
      </c>
      <c r="R8" s="7"/>
      <c r="S8" s="6">
        <v>3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9">
        <f t="shared" si="7"/>
        <v>0.47490537747383327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125</v>
      </c>
      <c r="D9" s="55" t="s">
        <v>607</v>
      </c>
      <c r="E9" s="57" t="s">
        <v>829</v>
      </c>
      <c r="F9" s="12" t="s">
        <v>132</v>
      </c>
      <c r="G9" s="12">
        <v>1</v>
      </c>
      <c r="H9" s="13">
        <v>25</v>
      </c>
      <c r="I9" s="7">
        <v>500</v>
      </c>
      <c r="J9" s="14">
        <v>1245</v>
      </c>
      <c r="K9" s="15">
        <f>L9</f>
        <v>1245</v>
      </c>
      <c r="L9" s="15">
        <v>1245</v>
      </c>
      <c r="M9" s="16">
        <f t="shared" si="0"/>
        <v>1245</v>
      </c>
      <c r="N9" s="16">
        <v>0</v>
      </c>
      <c r="O9" s="62">
        <f t="shared" si="1"/>
        <v>0</v>
      </c>
      <c r="P9" s="42">
        <f t="shared" si="2"/>
        <v>6</v>
      </c>
      <c r="Q9" s="43">
        <f t="shared" si="3"/>
        <v>18</v>
      </c>
      <c r="R9" s="7"/>
      <c r="S9" s="6"/>
      <c r="T9" s="17"/>
      <c r="U9" s="17"/>
      <c r="V9" s="18"/>
      <c r="W9" s="19">
        <v>18</v>
      </c>
      <c r="X9" s="17"/>
      <c r="Y9" s="20"/>
      <c r="Z9" s="20"/>
      <c r="AA9" s="21"/>
      <c r="AB9" s="8">
        <f t="shared" si="4"/>
        <v>1</v>
      </c>
      <c r="AC9" s="9">
        <f t="shared" si="5"/>
        <v>0.25</v>
      </c>
      <c r="AD9" s="10">
        <f t="shared" si="6"/>
        <v>0.25</v>
      </c>
      <c r="AE9" s="39">
        <f t="shared" si="7"/>
        <v>0.47490537747383327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362</v>
      </c>
      <c r="D10" s="55" t="s">
        <v>784</v>
      </c>
      <c r="E10" s="57" t="s">
        <v>757</v>
      </c>
      <c r="F10" s="12" t="s">
        <v>132</v>
      </c>
      <c r="G10" s="12">
        <v>2</v>
      </c>
      <c r="H10" s="13">
        <v>25</v>
      </c>
      <c r="I10" s="7">
        <v>60000</v>
      </c>
      <c r="J10" s="14">
        <v>1216</v>
      </c>
      <c r="K10" s="15">
        <f>L10+12622+7434+9660+7252+11746</f>
        <v>49930</v>
      </c>
      <c r="L10" s="15">
        <v>1216</v>
      </c>
      <c r="M10" s="16">
        <f t="shared" si="0"/>
        <v>1216</v>
      </c>
      <c r="N10" s="16">
        <v>0</v>
      </c>
      <c r="O10" s="62">
        <f t="shared" si="1"/>
        <v>0</v>
      </c>
      <c r="P10" s="42">
        <f t="shared" si="2"/>
        <v>4</v>
      </c>
      <c r="Q10" s="43">
        <f t="shared" si="3"/>
        <v>20</v>
      </c>
      <c r="R10" s="7"/>
      <c r="S10" s="6">
        <v>20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0.16666666666666666</v>
      </c>
      <c r="AD10" s="10">
        <f t="shared" si="6"/>
        <v>0.16666666666666666</v>
      </c>
      <c r="AE10" s="39">
        <f t="shared" si="7"/>
        <v>0.47490537747383327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292</v>
      </c>
      <c r="D11" s="55" t="s">
        <v>159</v>
      </c>
      <c r="E11" s="57" t="s">
        <v>863</v>
      </c>
      <c r="F11" s="12" t="s">
        <v>864</v>
      </c>
      <c r="G11" s="12">
        <v>1</v>
      </c>
      <c r="H11" s="13">
        <v>25</v>
      </c>
      <c r="I11" s="34">
        <v>25000</v>
      </c>
      <c r="J11" s="5">
        <v>2801</v>
      </c>
      <c r="K11" s="15">
        <f>L11</f>
        <v>2801</v>
      </c>
      <c r="L11" s="15">
        <v>2801</v>
      </c>
      <c r="M11" s="16">
        <f t="shared" si="0"/>
        <v>2801</v>
      </c>
      <c r="N11" s="16">
        <v>0</v>
      </c>
      <c r="O11" s="62">
        <f t="shared" si="1"/>
        <v>0</v>
      </c>
      <c r="P11" s="42">
        <f t="shared" si="2"/>
        <v>18</v>
      </c>
      <c r="Q11" s="43">
        <f t="shared" si="3"/>
        <v>6</v>
      </c>
      <c r="R11" s="7"/>
      <c r="S11" s="6">
        <v>6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0.75</v>
      </c>
      <c r="AD11" s="10">
        <f t="shared" si="6"/>
        <v>0.75</v>
      </c>
      <c r="AE11" s="39">
        <f t="shared" si="7"/>
        <v>0.47490537747383327</v>
      </c>
      <c r="AF11" s="93">
        <f t="shared" si="8"/>
        <v>6</v>
      </c>
    </row>
    <row r="12" spans="1:32" ht="27" customHeight="1">
      <c r="A12" s="109">
        <v>7</v>
      </c>
      <c r="B12" s="11" t="s">
        <v>835</v>
      </c>
      <c r="C12" s="11" t="s">
        <v>125</v>
      </c>
      <c r="D12" s="55" t="s">
        <v>152</v>
      </c>
      <c r="E12" s="57" t="s">
        <v>153</v>
      </c>
      <c r="F12" s="12" t="s">
        <v>447</v>
      </c>
      <c r="G12" s="12">
        <v>1</v>
      </c>
      <c r="H12" s="13">
        <v>25</v>
      </c>
      <c r="I12" s="7">
        <v>30000</v>
      </c>
      <c r="J12" s="14">
        <v>5981</v>
      </c>
      <c r="K12" s="15">
        <f>L12+5963+2732+5989</f>
        <v>20665</v>
      </c>
      <c r="L12" s="15">
        <f>2840+3141</f>
        <v>5981</v>
      </c>
      <c r="M12" s="16">
        <f t="shared" si="0"/>
        <v>5981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0.47490537747383327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292</v>
      </c>
      <c r="D13" s="55" t="s">
        <v>152</v>
      </c>
      <c r="E13" s="57" t="s">
        <v>865</v>
      </c>
      <c r="F13" s="12" t="s">
        <v>295</v>
      </c>
      <c r="G13" s="12">
        <v>1</v>
      </c>
      <c r="H13" s="13">
        <v>25</v>
      </c>
      <c r="I13" s="7">
        <v>12000</v>
      </c>
      <c r="J13" s="14">
        <v>7210</v>
      </c>
      <c r="K13" s="15">
        <f>L13+6038</f>
        <v>13246</v>
      </c>
      <c r="L13" s="15">
        <f>2638*2+966*2</f>
        <v>7208</v>
      </c>
      <c r="M13" s="16">
        <f t="shared" si="0"/>
        <v>7208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/>
      <c r="T13" s="17"/>
      <c r="U13" s="17"/>
      <c r="V13" s="18"/>
      <c r="W13" s="19">
        <v>4</v>
      </c>
      <c r="X13" s="17"/>
      <c r="Y13" s="20"/>
      <c r="Z13" s="20"/>
      <c r="AA13" s="21"/>
      <c r="AB13" s="8">
        <f t="shared" si="4"/>
        <v>0.99972260748959774</v>
      </c>
      <c r="AC13" s="9">
        <f t="shared" si="5"/>
        <v>0.83333333333333337</v>
      </c>
      <c r="AD13" s="10">
        <f t="shared" si="6"/>
        <v>0.83310217290799815</v>
      </c>
      <c r="AE13" s="39">
        <f t="shared" si="7"/>
        <v>0.47490537747383327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670</v>
      </c>
      <c r="F14" s="33" t="s">
        <v>447</v>
      </c>
      <c r="G14" s="36">
        <v>1</v>
      </c>
      <c r="H14" s="38">
        <v>25</v>
      </c>
      <c r="I14" s="7">
        <v>1000</v>
      </c>
      <c r="J14" s="5">
        <v>1068</v>
      </c>
      <c r="K14" s="15">
        <f>L14+1068</f>
        <v>1068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>
        <v>24</v>
      </c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0.47490537747383327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362</v>
      </c>
      <c r="D15" s="55" t="s">
        <v>126</v>
      </c>
      <c r="E15" s="57" t="s">
        <v>760</v>
      </c>
      <c r="F15" s="12" t="s">
        <v>736</v>
      </c>
      <c r="G15" s="12">
        <v>1</v>
      </c>
      <c r="H15" s="13">
        <v>24</v>
      </c>
      <c r="I15" s="34">
        <v>13000</v>
      </c>
      <c r="J15" s="14">
        <v>1275</v>
      </c>
      <c r="K15" s="15">
        <f>L15+2100+1275</f>
        <v>3375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>
        <v>24</v>
      </c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0.47490537747383327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292</v>
      </c>
      <c r="D16" s="55" t="s">
        <v>171</v>
      </c>
      <c r="E16" s="57" t="s">
        <v>856</v>
      </c>
      <c r="F16" s="33" t="s">
        <v>134</v>
      </c>
      <c r="G16" s="36">
        <v>1</v>
      </c>
      <c r="H16" s="38">
        <v>25</v>
      </c>
      <c r="I16" s="7">
        <v>25000</v>
      </c>
      <c r="J16" s="5">
        <v>5220</v>
      </c>
      <c r="K16" s="15">
        <f>L16+4499</f>
        <v>9713</v>
      </c>
      <c r="L16" s="15">
        <f>2687+2527</f>
        <v>5214</v>
      </c>
      <c r="M16" s="16">
        <f t="shared" si="0"/>
        <v>5214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0.99885057471264371</v>
      </c>
      <c r="AC16" s="9">
        <f t="shared" si="5"/>
        <v>1</v>
      </c>
      <c r="AD16" s="10">
        <f t="shared" si="6"/>
        <v>0.99885057471264371</v>
      </c>
      <c r="AE16" s="39">
        <f t="shared" si="7"/>
        <v>0.47490537747383327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880</v>
      </c>
      <c r="D17" s="55" t="s">
        <v>881</v>
      </c>
      <c r="E17" s="57" t="s">
        <v>882</v>
      </c>
      <c r="F17" s="12">
        <v>8301</v>
      </c>
      <c r="G17" s="12">
        <v>1</v>
      </c>
      <c r="H17" s="13">
        <v>24</v>
      </c>
      <c r="I17" s="34">
        <v>500</v>
      </c>
      <c r="J17" s="14">
        <v>1238</v>
      </c>
      <c r="K17" s="15">
        <f>L17</f>
        <v>1238</v>
      </c>
      <c r="L17" s="15">
        <v>1238</v>
      </c>
      <c r="M17" s="16">
        <f t="shared" si="0"/>
        <v>1238</v>
      </c>
      <c r="N17" s="16">
        <v>0</v>
      </c>
      <c r="O17" s="62">
        <f t="shared" si="1"/>
        <v>0</v>
      </c>
      <c r="P17" s="42">
        <f t="shared" si="2"/>
        <v>6</v>
      </c>
      <c r="Q17" s="43">
        <f t="shared" si="3"/>
        <v>18</v>
      </c>
      <c r="R17" s="7"/>
      <c r="S17" s="6"/>
      <c r="T17" s="17"/>
      <c r="U17" s="17"/>
      <c r="V17" s="18"/>
      <c r="W17" s="19">
        <v>18</v>
      </c>
      <c r="X17" s="17"/>
      <c r="Y17" s="20"/>
      <c r="Z17" s="20"/>
      <c r="AA17" s="21"/>
      <c r="AB17" s="8">
        <f t="shared" si="4"/>
        <v>1</v>
      </c>
      <c r="AC17" s="9">
        <f t="shared" si="5"/>
        <v>0.25</v>
      </c>
      <c r="AD17" s="10">
        <f t="shared" si="6"/>
        <v>0.25</v>
      </c>
      <c r="AE17" s="39">
        <f t="shared" si="7"/>
        <v>0.47490537747383327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292</v>
      </c>
      <c r="D18" s="55" t="s">
        <v>123</v>
      </c>
      <c r="E18" s="57" t="s">
        <v>857</v>
      </c>
      <c r="F18" s="12" t="s">
        <v>295</v>
      </c>
      <c r="G18" s="36">
        <v>1</v>
      </c>
      <c r="H18" s="38">
        <v>30</v>
      </c>
      <c r="I18" s="7">
        <v>25000</v>
      </c>
      <c r="J18" s="5">
        <v>5522</v>
      </c>
      <c r="K18" s="15">
        <f>L18+4599</f>
        <v>10121</v>
      </c>
      <c r="L18" s="15">
        <f>2569+2953</f>
        <v>5522</v>
      </c>
      <c r="M18" s="16">
        <f t="shared" si="0"/>
        <v>5522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0.47490537747383327</v>
      </c>
      <c r="AF18" s="93">
        <f t="shared" si="8"/>
        <v>13</v>
      </c>
    </row>
    <row r="19" spans="1:32" ht="27" customHeight="1">
      <c r="A19" s="109">
        <v>14</v>
      </c>
      <c r="B19" s="11" t="s">
        <v>341</v>
      </c>
      <c r="C19" s="37" t="s">
        <v>125</v>
      </c>
      <c r="D19" s="55" t="s">
        <v>126</v>
      </c>
      <c r="E19" s="57" t="s">
        <v>721</v>
      </c>
      <c r="F19" s="33" t="s">
        <v>133</v>
      </c>
      <c r="G19" s="12">
        <v>1</v>
      </c>
      <c r="H19" s="13">
        <v>25</v>
      </c>
      <c r="I19" s="34">
        <v>10000</v>
      </c>
      <c r="J19" s="5">
        <v>999</v>
      </c>
      <c r="K19" s="15">
        <f>L19+1683+2711+999</f>
        <v>5393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>
        <v>24</v>
      </c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0.47490537747383327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124</v>
      </c>
      <c r="F20" s="12" t="s">
        <v>122</v>
      </c>
      <c r="G20" s="12">
        <v>4</v>
      </c>
      <c r="H20" s="38">
        <v>20</v>
      </c>
      <c r="I20" s="7">
        <v>300000</v>
      </c>
      <c r="J20" s="14">
        <v>51610</v>
      </c>
      <c r="K20" s="15">
        <f>L20+44148+50632+51280+53100+49924+22424+45520</f>
        <v>368636</v>
      </c>
      <c r="L20" s="15">
        <f>5986*4+6916*4</f>
        <v>51608</v>
      </c>
      <c r="M20" s="16">
        <f t="shared" si="0"/>
        <v>51608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0.99996124782018991</v>
      </c>
      <c r="AC20" s="9">
        <f t="shared" si="5"/>
        <v>1</v>
      </c>
      <c r="AD20" s="10">
        <f t="shared" si="6"/>
        <v>0.99996124782018991</v>
      </c>
      <c r="AE20" s="39">
        <f t="shared" si="7"/>
        <v>0.47490537747383327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728000</v>
      </c>
      <c r="J21" s="22">
        <f t="shared" si="9"/>
        <v>127205</v>
      </c>
      <c r="K21" s="23">
        <f t="shared" si="9"/>
        <v>683249</v>
      </c>
      <c r="L21" s="24">
        <f t="shared" si="9"/>
        <v>86213</v>
      </c>
      <c r="M21" s="23">
        <f t="shared" si="9"/>
        <v>86213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171</v>
      </c>
      <c r="Q21" s="46">
        <f t="shared" si="10"/>
        <v>189</v>
      </c>
      <c r="R21" s="26">
        <f t="shared" si="10"/>
        <v>48</v>
      </c>
      <c r="S21" s="27">
        <f t="shared" si="10"/>
        <v>29</v>
      </c>
      <c r="T21" s="27">
        <f t="shared" si="10"/>
        <v>0</v>
      </c>
      <c r="U21" s="27">
        <f t="shared" si="10"/>
        <v>0</v>
      </c>
      <c r="V21" s="28">
        <f t="shared" si="10"/>
        <v>48</v>
      </c>
      <c r="W21" s="29">
        <f t="shared" si="10"/>
        <v>64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0.6665689620014954</v>
      </c>
      <c r="AC21" s="4">
        <f>SUM(AC6:AC20)/15</f>
        <v>0.47499999999999998</v>
      </c>
      <c r="AD21" s="4">
        <f>SUM(AD6:AD20)/15</f>
        <v>0.47490537747383327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883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886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337" t="s">
        <v>46</v>
      </c>
      <c r="D50" s="337" t="s">
        <v>47</v>
      </c>
      <c r="E50" s="337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337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292</v>
      </c>
      <c r="B51" s="440"/>
      <c r="C51" s="339" t="s">
        <v>181</v>
      </c>
      <c r="D51" s="339" t="s">
        <v>152</v>
      </c>
      <c r="E51" s="339" t="s">
        <v>867</v>
      </c>
      <c r="F51" s="431" t="s">
        <v>399</v>
      </c>
      <c r="G51" s="431"/>
      <c r="H51" s="431"/>
      <c r="I51" s="431"/>
      <c r="J51" s="431"/>
      <c r="K51" s="431"/>
      <c r="L51" s="431"/>
      <c r="M51" s="441"/>
      <c r="N51" s="338" t="s">
        <v>362</v>
      </c>
      <c r="O51" s="124" t="s">
        <v>188</v>
      </c>
      <c r="P51" s="440"/>
      <c r="Q51" s="440"/>
      <c r="R51" s="440" t="s">
        <v>757</v>
      </c>
      <c r="S51" s="440"/>
      <c r="T51" s="440"/>
      <c r="U51" s="440"/>
      <c r="V51" s="431" t="s">
        <v>196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125</v>
      </c>
      <c r="B52" s="440"/>
      <c r="C52" s="339" t="s">
        <v>182</v>
      </c>
      <c r="D52" s="339" t="s">
        <v>607</v>
      </c>
      <c r="E52" s="339" t="s">
        <v>871</v>
      </c>
      <c r="F52" s="431" t="s">
        <v>884</v>
      </c>
      <c r="G52" s="431"/>
      <c r="H52" s="431"/>
      <c r="I52" s="431"/>
      <c r="J52" s="431"/>
      <c r="K52" s="431"/>
      <c r="L52" s="431"/>
      <c r="M52" s="441"/>
      <c r="N52" s="338" t="s">
        <v>880</v>
      </c>
      <c r="O52" s="124" t="s">
        <v>182</v>
      </c>
      <c r="P52" s="440"/>
      <c r="Q52" s="440"/>
      <c r="R52" s="440" t="s">
        <v>887</v>
      </c>
      <c r="S52" s="440"/>
      <c r="T52" s="440"/>
      <c r="U52" s="440"/>
      <c r="V52" s="431" t="s">
        <v>130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292</v>
      </c>
      <c r="B53" s="440"/>
      <c r="C53" s="339" t="s">
        <v>191</v>
      </c>
      <c r="D53" s="339" t="s">
        <v>159</v>
      </c>
      <c r="E53" s="339" t="s">
        <v>858</v>
      </c>
      <c r="F53" s="431" t="s">
        <v>885</v>
      </c>
      <c r="G53" s="431"/>
      <c r="H53" s="431"/>
      <c r="I53" s="431"/>
      <c r="J53" s="431"/>
      <c r="K53" s="431"/>
      <c r="L53" s="431"/>
      <c r="M53" s="441"/>
      <c r="N53" s="338" t="s">
        <v>889</v>
      </c>
      <c r="O53" s="124" t="s">
        <v>306</v>
      </c>
      <c r="P53" s="440"/>
      <c r="Q53" s="440"/>
      <c r="R53" s="440" t="s">
        <v>888</v>
      </c>
      <c r="S53" s="440"/>
      <c r="T53" s="440"/>
      <c r="U53" s="440"/>
      <c r="V53" s="431" t="s">
        <v>130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125</v>
      </c>
      <c r="B54" s="440"/>
      <c r="C54" s="339" t="s">
        <v>306</v>
      </c>
      <c r="D54" s="339" t="s">
        <v>152</v>
      </c>
      <c r="E54" s="339" t="s">
        <v>153</v>
      </c>
      <c r="F54" s="431" t="s">
        <v>206</v>
      </c>
      <c r="G54" s="431"/>
      <c r="H54" s="431"/>
      <c r="I54" s="431"/>
      <c r="J54" s="431"/>
      <c r="K54" s="431"/>
      <c r="L54" s="431"/>
      <c r="M54" s="441"/>
      <c r="N54" s="338" t="s">
        <v>292</v>
      </c>
      <c r="O54" s="124" t="s">
        <v>204</v>
      </c>
      <c r="P54" s="440" t="s">
        <v>123</v>
      </c>
      <c r="Q54" s="440"/>
      <c r="R54" s="440" t="s">
        <v>890</v>
      </c>
      <c r="S54" s="440"/>
      <c r="T54" s="440"/>
      <c r="U54" s="440"/>
      <c r="V54" s="431" t="s">
        <v>130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880</v>
      </c>
      <c r="B55" s="440"/>
      <c r="C55" s="339" t="s">
        <v>271</v>
      </c>
      <c r="D55" s="339" t="s">
        <v>881</v>
      </c>
      <c r="E55" s="339" t="s">
        <v>882</v>
      </c>
      <c r="F55" s="431" t="s">
        <v>130</v>
      </c>
      <c r="G55" s="431"/>
      <c r="H55" s="431"/>
      <c r="I55" s="431"/>
      <c r="J55" s="431"/>
      <c r="K55" s="431"/>
      <c r="L55" s="431"/>
      <c r="M55" s="441"/>
      <c r="N55" s="338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/>
      <c r="B56" s="440"/>
      <c r="C56" s="339"/>
      <c r="D56" s="339"/>
      <c r="E56" s="339"/>
      <c r="F56" s="431"/>
      <c r="G56" s="431"/>
      <c r="H56" s="431"/>
      <c r="I56" s="431"/>
      <c r="J56" s="431"/>
      <c r="K56" s="431"/>
      <c r="L56" s="431"/>
      <c r="M56" s="441"/>
      <c r="N56" s="338"/>
      <c r="O56" s="124"/>
      <c r="P56" s="446"/>
      <c r="Q56" s="447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/>
      <c r="B57" s="440"/>
      <c r="C57" s="339"/>
      <c r="D57" s="339"/>
      <c r="E57" s="339"/>
      <c r="F57" s="431"/>
      <c r="G57" s="431"/>
      <c r="H57" s="431"/>
      <c r="I57" s="431"/>
      <c r="J57" s="431"/>
      <c r="K57" s="431"/>
      <c r="L57" s="431"/>
      <c r="M57" s="441"/>
      <c r="N57" s="338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339"/>
      <c r="D58" s="339"/>
      <c r="E58" s="339"/>
      <c r="F58" s="431"/>
      <c r="G58" s="431"/>
      <c r="H58" s="431"/>
      <c r="I58" s="431"/>
      <c r="J58" s="431"/>
      <c r="K58" s="431"/>
      <c r="L58" s="431"/>
      <c r="M58" s="441"/>
      <c r="N58" s="338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339"/>
      <c r="D59" s="339"/>
      <c r="E59" s="339"/>
      <c r="F59" s="431"/>
      <c r="G59" s="431"/>
      <c r="H59" s="431"/>
      <c r="I59" s="431"/>
      <c r="J59" s="431"/>
      <c r="K59" s="431"/>
      <c r="L59" s="431"/>
      <c r="M59" s="441"/>
      <c r="N59" s="338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341"/>
      <c r="D60" s="341"/>
      <c r="E60" s="341"/>
      <c r="F60" s="489"/>
      <c r="G60" s="489"/>
      <c r="H60" s="489"/>
      <c r="I60" s="489"/>
      <c r="J60" s="489"/>
      <c r="K60" s="489"/>
      <c r="L60" s="489"/>
      <c r="M60" s="490"/>
      <c r="N60" s="340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891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342" t="s">
        <v>2</v>
      </c>
      <c r="D62" s="342" t="s">
        <v>37</v>
      </c>
      <c r="E62" s="342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342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125</v>
      </c>
      <c r="D63" s="345"/>
      <c r="E63" s="343" t="s">
        <v>159</v>
      </c>
      <c r="F63" s="429" t="s">
        <v>892</v>
      </c>
      <c r="G63" s="421"/>
      <c r="H63" s="421"/>
      <c r="I63" s="421"/>
      <c r="J63" s="421"/>
      <c r="K63" s="421" t="s">
        <v>214</v>
      </c>
      <c r="L63" s="421"/>
      <c r="M63" s="54" t="s">
        <v>330</v>
      </c>
      <c r="N63" s="421">
        <v>4</v>
      </c>
      <c r="O63" s="421"/>
      <c r="P63" s="430">
        <v>50</v>
      </c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 t="s">
        <v>362</v>
      </c>
      <c r="D64" s="345"/>
      <c r="E64" s="343" t="s">
        <v>126</v>
      </c>
      <c r="F64" s="429" t="s">
        <v>893</v>
      </c>
      <c r="G64" s="421"/>
      <c r="H64" s="421"/>
      <c r="I64" s="421"/>
      <c r="J64" s="421"/>
      <c r="K64" s="421" t="s">
        <v>736</v>
      </c>
      <c r="L64" s="421"/>
      <c r="M64" s="54" t="s">
        <v>215</v>
      </c>
      <c r="N64" s="421">
        <v>10</v>
      </c>
      <c r="O64" s="421"/>
      <c r="P64" s="430">
        <v>50</v>
      </c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 t="s">
        <v>125</v>
      </c>
      <c r="D65" s="345"/>
      <c r="E65" s="343" t="s">
        <v>126</v>
      </c>
      <c r="F65" s="429" t="s">
        <v>894</v>
      </c>
      <c r="G65" s="421"/>
      <c r="H65" s="421"/>
      <c r="I65" s="421"/>
      <c r="J65" s="421"/>
      <c r="K65" s="421" t="s">
        <v>133</v>
      </c>
      <c r="L65" s="421"/>
      <c r="M65" s="54" t="s">
        <v>330</v>
      </c>
      <c r="N65" s="421">
        <v>12</v>
      </c>
      <c r="O65" s="421"/>
      <c r="P65" s="430">
        <v>50</v>
      </c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/>
      <c r="D66" s="345"/>
      <c r="E66" s="343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345"/>
      <c r="E67" s="343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345"/>
      <c r="E68" s="343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345"/>
      <c r="E69" s="343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345"/>
      <c r="E70" s="343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895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344" t="s">
        <v>2</v>
      </c>
      <c r="D72" s="344" t="s">
        <v>37</v>
      </c>
      <c r="E72" s="344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346" t="s">
        <v>114</v>
      </c>
      <c r="D73" s="346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345" t="s">
        <v>114</v>
      </c>
      <c r="D74" s="345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345"/>
      <c r="D75" s="345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345"/>
      <c r="D76" s="345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345"/>
      <c r="D77" s="345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345"/>
      <c r="D78" s="345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345"/>
      <c r="D79" s="345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345"/>
      <c r="D80" s="345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345"/>
      <c r="D81" s="345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896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>
        <v>9</v>
      </c>
      <c r="D84" s="397"/>
      <c r="E84" s="397" t="s">
        <v>848</v>
      </c>
      <c r="F84" s="397"/>
      <c r="G84" s="397"/>
      <c r="H84" s="397"/>
      <c r="I84" s="397"/>
      <c r="J84" s="397"/>
      <c r="K84" s="397" t="s">
        <v>849</v>
      </c>
      <c r="L84" s="397"/>
      <c r="M84" s="397"/>
      <c r="N84" s="397"/>
      <c r="O84" s="397"/>
      <c r="P84" s="397"/>
      <c r="Q84" s="397"/>
      <c r="R84" s="397"/>
      <c r="S84" s="397"/>
      <c r="T84" s="397" t="s">
        <v>850</v>
      </c>
      <c r="U84" s="397"/>
      <c r="V84" s="398" t="s">
        <v>851</v>
      </c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EC53-3261-4B4B-9752-299DF3C8200D}">
  <sheetPr>
    <pageSetUpPr fitToPage="1"/>
  </sheetPr>
  <dimension ref="A1:AF87"/>
  <sheetViews>
    <sheetView zoomScale="72" zoomScaleNormal="72" zoomScaleSheetLayoutView="70" workbookViewId="0">
      <selection activeCell="L18" sqref="L1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897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357" t="s">
        <v>17</v>
      </c>
      <c r="L5" s="357" t="s">
        <v>18</v>
      </c>
      <c r="M5" s="357" t="s">
        <v>19</v>
      </c>
      <c r="N5" s="35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0.44155514932940415</v>
      </c>
      <c r="AF6" s="93">
        <f t="shared" ref="AF6:AF21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0.44155514932940415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292</v>
      </c>
      <c r="D8" s="55" t="s">
        <v>152</v>
      </c>
      <c r="E8" s="57" t="s">
        <v>855</v>
      </c>
      <c r="F8" s="33" t="s">
        <v>134</v>
      </c>
      <c r="G8" s="36">
        <v>1</v>
      </c>
      <c r="H8" s="38">
        <v>25</v>
      </c>
      <c r="I8" s="7">
        <v>25000</v>
      </c>
      <c r="J8" s="5">
        <v>3188</v>
      </c>
      <c r="K8" s="15">
        <f>L8+4360+4180</f>
        <v>11728</v>
      </c>
      <c r="L8" s="15">
        <f>694+2494</f>
        <v>3188</v>
      </c>
      <c r="M8" s="16">
        <f t="shared" si="0"/>
        <v>3188</v>
      </c>
      <c r="N8" s="16">
        <v>0</v>
      </c>
      <c r="O8" s="62">
        <f t="shared" si="1"/>
        <v>0</v>
      </c>
      <c r="P8" s="42">
        <f t="shared" si="2"/>
        <v>16</v>
      </c>
      <c r="Q8" s="43">
        <f t="shared" si="3"/>
        <v>8</v>
      </c>
      <c r="R8" s="7"/>
      <c r="S8" s="6">
        <v>8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0.66666666666666663</v>
      </c>
      <c r="AD8" s="10">
        <f t="shared" si="6"/>
        <v>0.66666666666666663</v>
      </c>
      <c r="AE8" s="39">
        <f t="shared" si="7"/>
        <v>0.44155514932940415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125</v>
      </c>
      <c r="D9" s="55" t="s">
        <v>159</v>
      </c>
      <c r="E9" s="57" t="s">
        <v>898</v>
      </c>
      <c r="F9" s="12" t="s">
        <v>214</v>
      </c>
      <c r="G9" s="12">
        <v>1</v>
      </c>
      <c r="H9" s="13">
        <v>25</v>
      </c>
      <c r="I9" s="7">
        <v>300</v>
      </c>
      <c r="J9" s="14">
        <v>261</v>
      </c>
      <c r="K9" s="15">
        <f>L9</f>
        <v>261</v>
      </c>
      <c r="L9" s="15">
        <v>261</v>
      </c>
      <c r="M9" s="16">
        <f t="shared" si="0"/>
        <v>261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0.44155514932940415</v>
      </c>
      <c r="AF9" s="93">
        <f t="shared" si="8"/>
        <v>4</v>
      </c>
    </row>
    <row r="10" spans="1:32" ht="27" customHeight="1">
      <c r="A10" s="109">
        <v>4</v>
      </c>
      <c r="B10" s="11" t="s">
        <v>57</v>
      </c>
      <c r="C10" s="11" t="s">
        <v>880</v>
      </c>
      <c r="D10" s="55" t="s">
        <v>841</v>
      </c>
      <c r="E10" s="57" t="s">
        <v>887</v>
      </c>
      <c r="F10" s="12">
        <v>7301</v>
      </c>
      <c r="G10" s="12">
        <v>1</v>
      </c>
      <c r="H10" s="13">
        <v>25</v>
      </c>
      <c r="I10" s="7">
        <v>500</v>
      </c>
      <c r="J10" s="14">
        <v>1083</v>
      </c>
      <c r="K10" s="15">
        <f>L10</f>
        <v>1083</v>
      </c>
      <c r="L10" s="15">
        <v>1083</v>
      </c>
      <c r="M10" s="16">
        <f t="shared" ref="M10" si="9">L10-N10</f>
        <v>1083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6</v>
      </c>
      <c r="Q10" s="43">
        <f t="shared" ref="Q10" si="12">SUM(R10:AA10)</f>
        <v>18</v>
      </c>
      <c r="R10" s="7"/>
      <c r="S10" s="6"/>
      <c r="T10" s="17"/>
      <c r="U10" s="17"/>
      <c r="V10" s="18"/>
      <c r="W10" s="19">
        <v>18</v>
      </c>
      <c r="X10" s="17"/>
      <c r="Y10" s="20"/>
      <c r="Z10" s="20"/>
      <c r="AA10" s="21"/>
      <c r="AB10" s="8">
        <f t="shared" ref="AB10" si="13">IF(J10=0,"0",(L10/J10))</f>
        <v>1</v>
      </c>
      <c r="AC10" s="9">
        <f t="shared" ref="AC10" si="14">IF(P10=0,"0",(P10/24))</f>
        <v>0.25</v>
      </c>
      <c r="AD10" s="10">
        <f t="shared" ref="AD10" si="15">AC10*AB10*(1-O10)</f>
        <v>0.25</v>
      </c>
      <c r="AE10" s="39">
        <f t="shared" si="7"/>
        <v>0.44155514932940415</v>
      </c>
      <c r="AF10" s="93">
        <f t="shared" ref="AF10" si="16">A10</f>
        <v>4</v>
      </c>
    </row>
    <row r="11" spans="1:32" ht="27" customHeight="1">
      <c r="A11" s="109">
        <v>5</v>
      </c>
      <c r="B11" s="11" t="s">
        <v>57</v>
      </c>
      <c r="C11" s="11" t="s">
        <v>362</v>
      </c>
      <c r="D11" s="55" t="s">
        <v>784</v>
      </c>
      <c r="E11" s="57" t="s">
        <v>757</v>
      </c>
      <c r="F11" s="12" t="s">
        <v>132</v>
      </c>
      <c r="G11" s="12">
        <v>2</v>
      </c>
      <c r="H11" s="13">
        <v>25</v>
      </c>
      <c r="I11" s="7">
        <v>60000</v>
      </c>
      <c r="J11" s="14">
        <v>14820</v>
      </c>
      <c r="K11" s="15">
        <f>L11+12622+7434+9660+7252+11746+1216</f>
        <v>64748</v>
      </c>
      <c r="L11" s="15">
        <f>5661*2+1748*2</f>
        <v>14818</v>
      </c>
      <c r="M11" s="16">
        <f t="shared" si="0"/>
        <v>14818</v>
      </c>
      <c r="N11" s="16">
        <v>0</v>
      </c>
      <c r="O11" s="62">
        <f t="shared" si="1"/>
        <v>0</v>
      </c>
      <c r="P11" s="42">
        <f t="shared" si="2"/>
        <v>22</v>
      </c>
      <c r="Q11" s="43">
        <f t="shared" si="3"/>
        <v>2</v>
      </c>
      <c r="R11" s="7"/>
      <c r="S11" s="6">
        <v>2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0.99986504723346825</v>
      </c>
      <c r="AC11" s="9">
        <f t="shared" si="5"/>
        <v>0.91666666666666663</v>
      </c>
      <c r="AD11" s="10">
        <f t="shared" si="6"/>
        <v>0.91654295996401247</v>
      </c>
      <c r="AE11" s="39">
        <f t="shared" si="7"/>
        <v>0.44155514932940415</v>
      </c>
      <c r="AF11" s="93">
        <f t="shared" si="8"/>
        <v>5</v>
      </c>
    </row>
    <row r="12" spans="1:32" ht="27" customHeight="1">
      <c r="A12" s="109">
        <v>6</v>
      </c>
      <c r="B12" s="11" t="s">
        <v>57</v>
      </c>
      <c r="C12" s="37" t="s">
        <v>292</v>
      </c>
      <c r="D12" s="55" t="s">
        <v>159</v>
      </c>
      <c r="E12" s="57" t="s">
        <v>863</v>
      </c>
      <c r="F12" s="12" t="s">
        <v>864</v>
      </c>
      <c r="G12" s="12">
        <v>1</v>
      </c>
      <c r="H12" s="13">
        <v>25</v>
      </c>
      <c r="I12" s="34">
        <v>25000</v>
      </c>
      <c r="J12" s="5">
        <v>5810</v>
      </c>
      <c r="K12" s="15">
        <f>L12+2801</f>
        <v>8602</v>
      </c>
      <c r="L12" s="15">
        <f>3111+2690</f>
        <v>5801</v>
      </c>
      <c r="M12" s="16">
        <f t="shared" si="0"/>
        <v>5801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0.9984509466437177</v>
      </c>
      <c r="AC12" s="9">
        <f t="shared" si="5"/>
        <v>1</v>
      </c>
      <c r="AD12" s="10">
        <f t="shared" si="6"/>
        <v>0.9984509466437177</v>
      </c>
      <c r="AE12" s="39">
        <f t="shared" si="7"/>
        <v>0.44155514932940415</v>
      </c>
      <c r="AF12" s="93">
        <f t="shared" si="8"/>
        <v>6</v>
      </c>
    </row>
    <row r="13" spans="1:32" ht="27" customHeight="1">
      <c r="A13" s="109">
        <v>7</v>
      </c>
      <c r="B13" s="11" t="s">
        <v>57</v>
      </c>
      <c r="C13" s="11" t="s">
        <v>889</v>
      </c>
      <c r="D13" s="55"/>
      <c r="E13" s="57" t="s">
        <v>899</v>
      </c>
      <c r="F13" s="12" t="s">
        <v>122</v>
      </c>
      <c r="G13" s="12">
        <v>3</v>
      </c>
      <c r="H13" s="13">
        <v>25</v>
      </c>
      <c r="I13" s="7">
        <v>30000</v>
      </c>
      <c r="J13" s="14">
        <v>19125</v>
      </c>
      <c r="K13" s="15">
        <f>L13</f>
        <v>19125</v>
      </c>
      <c r="L13" s="15">
        <f>3000+5375*3</f>
        <v>19125</v>
      </c>
      <c r="M13" s="16">
        <f t="shared" si="0"/>
        <v>19125</v>
      </c>
      <c r="N13" s="16">
        <v>0</v>
      </c>
      <c r="O13" s="62">
        <f t="shared" si="1"/>
        <v>0</v>
      </c>
      <c r="P13" s="42">
        <f t="shared" si="2"/>
        <v>22</v>
      </c>
      <c r="Q13" s="43">
        <f t="shared" si="3"/>
        <v>2</v>
      </c>
      <c r="R13" s="7"/>
      <c r="S13" s="6"/>
      <c r="T13" s="17">
        <v>2</v>
      </c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0.91666666666666663</v>
      </c>
      <c r="AD13" s="10">
        <f t="shared" si="6"/>
        <v>0.91666666666666663</v>
      </c>
      <c r="AE13" s="39">
        <f t="shared" si="7"/>
        <v>0.44155514932940415</v>
      </c>
      <c r="AF13" s="93">
        <f t="shared" si="8"/>
        <v>7</v>
      </c>
    </row>
    <row r="14" spans="1:32" ht="27" customHeight="1">
      <c r="A14" s="109">
        <v>8</v>
      </c>
      <c r="B14" s="11" t="s">
        <v>57</v>
      </c>
      <c r="C14" s="11" t="s">
        <v>292</v>
      </c>
      <c r="D14" s="55" t="s">
        <v>123</v>
      </c>
      <c r="E14" s="57" t="s">
        <v>890</v>
      </c>
      <c r="F14" s="12" t="s">
        <v>295</v>
      </c>
      <c r="G14" s="12">
        <v>1</v>
      </c>
      <c r="H14" s="13">
        <v>25</v>
      </c>
      <c r="I14" s="7">
        <v>20000</v>
      </c>
      <c r="J14" s="14">
        <v>9828</v>
      </c>
      <c r="K14" s="15">
        <f>L14</f>
        <v>9828</v>
      </c>
      <c r="L14" s="15">
        <f>2903*2+2011*2</f>
        <v>9828</v>
      </c>
      <c r="M14" s="16">
        <f t="shared" si="0"/>
        <v>9828</v>
      </c>
      <c r="N14" s="16">
        <v>0</v>
      </c>
      <c r="O14" s="62">
        <f t="shared" si="1"/>
        <v>0</v>
      </c>
      <c r="P14" s="42">
        <f t="shared" si="2"/>
        <v>23</v>
      </c>
      <c r="Q14" s="43">
        <f t="shared" si="3"/>
        <v>1</v>
      </c>
      <c r="R14" s="7"/>
      <c r="S14" s="6"/>
      <c r="T14" s="17">
        <v>1</v>
      </c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0.95833333333333337</v>
      </c>
      <c r="AD14" s="10">
        <f t="shared" si="6"/>
        <v>0.95833333333333337</v>
      </c>
      <c r="AE14" s="39">
        <f t="shared" si="7"/>
        <v>0.44155514932940415</v>
      </c>
      <c r="AF14" s="93">
        <f t="shared" si="8"/>
        <v>8</v>
      </c>
    </row>
    <row r="15" spans="1:32" ht="27" customHeight="1">
      <c r="A15" s="108">
        <v>9</v>
      </c>
      <c r="B15" s="11" t="s">
        <v>57</v>
      </c>
      <c r="C15" s="37" t="s">
        <v>114</v>
      </c>
      <c r="D15" s="55" t="s">
        <v>123</v>
      </c>
      <c r="E15" s="57" t="s">
        <v>670</v>
      </c>
      <c r="F15" s="33" t="s">
        <v>447</v>
      </c>
      <c r="G15" s="36">
        <v>1</v>
      </c>
      <c r="H15" s="38">
        <v>25</v>
      </c>
      <c r="I15" s="7">
        <v>1000</v>
      </c>
      <c r="J15" s="5">
        <v>1068</v>
      </c>
      <c r="K15" s="15">
        <f>L15+1068</f>
        <v>1068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>
        <v>24</v>
      </c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0.44155514932940415</v>
      </c>
      <c r="AF15" s="93">
        <f t="shared" si="8"/>
        <v>9</v>
      </c>
    </row>
    <row r="16" spans="1:32" ht="27" customHeight="1">
      <c r="A16" s="108">
        <v>10</v>
      </c>
      <c r="B16" s="11" t="s">
        <v>57</v>
      </c>
      <c r="C16" s="11" t="s">
        <v>362</v>
      </c>
      <c r="D16" s="55" t="s">
        <v>126</v>
      </c>
      <c r="E16" s="57" t="s">
        <v>760</v>
      </c>
      <c r="F16" s="12" t="s">
        <v>736</v>
      </c>
      <c r="G16" s="12">
        <v>1</v>
      </c>
      <c r="H16" s="13">
        <v>24</v>
      </c>
      <c r="I16" s="34">
        <v>13000</v>
      </c>
      <c r="J16" s="14">
        <v>1275</v>
      </c>
      <c r="K16" s="15">
        <f>L16+2100+1275</f>
        <v>3375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>
        <v>24</v>
      </c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0.44155514932940415</v>
      </c>
      <c r="AF16" s="93">
        <f t="shared" si="8"/>
        <v>10</v>
      </c>
    </row>
    <row r="17" spans="1:32" ht="27" customHeight="1">
      <c r="A17" s="108">
        <v>11</v>
      </c>
      <c r="B17" s="11" t="s">
        <v>57</v>
      </c>
      <c r="C17" s="37" t="s">
        <v>292</v>
      </c>
      <c r="D17" s="55" t="s">
        <v>171</v>
      </c>
      <c r="E17" s="57" t="s">
        <v>856</v>
      </c>
      <c r="F17" s="33" t="s">
        <v>134</v>
      </c>
      <c r="G17" s="36">
        <v>1</v>
      </c>
      <c r="H17" s="38">
        <v>25</v>
      </c>
      <c r="I17" s="7">
        <v>25000</v>
      </c>
      <c r="J17" s="5">
        <v>5220</v>
      </c>
      <c r="K17" s="15">
        <f>L17+4499+5214</f>
        <v>9713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>
        <v>24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0.44155514932940415</v>
      </c>
      <c r="AF17" s="93">
        <f t="shared" si="8"/>
        <v>11</v>
      </c>
    </row>
    <row r="18" spans="1:32" ht="27" customHeight="1">
      <c r="A18" s="108">
        <v>12</v>
      </c>
      <c r="B18" s="11" t="s">
        <v>57</v>
      </c>
      <c r="C18" s="11" t="s">
        <v>880</v>
      </c>
      <c r="D18" s="55" t="s">
        <v>881</v>
      </c>
      <c r="E18" s="57" t="s">
        <v>882</v>
      </c>
      <c r="F18" s="12">
        <v>8301</v>
      </c>
      <c r="G18" s="12">
        <v>1</v>
      </c>
      <c r="H18" s="13">
        <v>24</v>
      </c>
      <c r="I18" s="34">
        <v>500</v>
      </c>
      <c r="J18" s="14">
        <v>1238</v>
      </c>
      <c r="K18" s="15">
        <f>L18+1238</f>
        <v>1238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0.44155514932940415</v>
      </c>
      <c r="AF18" s="93">
        <f t="shared" si="8"/>
        <v>12</v>
      </c>
    </row>
    <row r="19" spans="1:32" ht="27" customHeight="1">
      <c r="A19" s="109">
        <v>13</v>
      </c>
      <c r="B19" s="11" t="s">
        <v>57</v>
      </c>
      <c r="C19" s="37" t="s">
        <v>292</v>
      </c>
      <c r="D19" s="55" t="s">
        <v>123</v>
      </c>
      <c r="E19" s="57" t="s">
        <v>857</v>
      </c>
      <c r="F19" s="12" t="s">
        <v>295</v>
      </c>
      <c r="G19" s="36">
        <v>1</v>
      </c>
      <c r="H19" s="38">
        <v>30</v>
      </c>
      <c r="I19" s="7">
        <v>25000</v>
      </c>
      <c r="J19" s="5">
        <v>2773</v>
      </c>
      <c r="K19" s="15">
        <f>L19+4599+5522</f>
        <v>12894</v>
      </c>
      <c r="L19" s="15">
        <f>903+1870</f>
        <v>2773</v>
      </c>
      <c r="M19" s="16">
        <f t="shared" si="0"/>
        <v>2773</v>
      </c>
      <c r="N19" s="16">
        <v>0</v>
      </c>
      <c r="O19" s="62">
        <f t="shared" si="1"/>
        <v>0</v>
      </c>
      <c r="P19" s="42">
        <f t="shared" si="2"/>
        <v>14</v>
      </c>
      <c r="Q19" s="43">
        <f t="shared" si="3"/>
        <v>10</v>
      </c>
      <c r="R19" s="7"/>
      <c r="S19" s="6">
        <v>10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9">
        <f t="shared" si="7"/>
        <v>0.44155514932940415</v>
      </c>
      <c r="AF19" s="93">
        <f t="shared" si="8"/>
        <v>13</v>
      </c>
    </row>
    <row r="20" spans="1:32" ht="27" customHeight="1">
      <c r="A20" s="109">
        <v>14</v>
      </c>
      <c r="B20" s="11" t="s">
        <v>57</v>
      </c>
      <c r="C20" s="37" t="s">
        <v>114</v>
      </c>
      <c r="D20" s="55" t="s">
        <v>123</v>
      </c>
      <c r="E20" s="57" t="s">
        <v>900</v>
      </c>
      <c r="F20" s="33" t="s">
        <v>129</v>
      </c>
      <c r="G20" s="12">
        <v>1</v>
      </c>
      <c r="H20" s="13">
        <v>25</v>
      </c>
      <c r="I20" s="34">
        <v>10000</v>
      </c>
      <c r="J20" s="5">
        <v>2681</v>
      </c>
      <c r="K20" s="15">
        <f>L20</f>
        <v>2681</v>
      </c>
      <c r="L20" s="15">
        <v>2681</v>
      </c>
      <c r="M20" s="16">
        <f t="shared" si="0"/>
        <v>2681</v>
      </c>
      <c r="N20" s="16">
        <v>0</v>
      </c>
      <c r="O20" s="62">
        <f t="shared" si="1"/>
        <v>0</v>
      </c>
      <c r="P20" s="42">
        <f t="shared" si="2"/>
        <v>14</v>
      </c>
      <c r="Q20" s="43">
        <f t="shared" si="3"/>
        <v>10</v>
      </c>
      <c r="R20" s="7"/>
      <c r="S20" s="6"/>
      <c r="T20" s="17">
        <v>10</v>
      </c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0.58333333333333337</v>
      </c>
      <c r="AD20" s="10">
        <f t="shared" si="6"/>
        <v>0.58333333333333337</v>
      </c>
      <c r="AE20" s="39">
        <f t="shared" si="7"/>
        <v>0.44155514932940415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121</v>
      </c>
      <c r="D21" s="55"/>
      <c r="E21" s="56" t="s">
        <v>124</v>
      </c>
      <c r="F21" s="12" t="s">
        <v>122</v>
      </c>
      <c r="G21" s="12">
        <v>4</v>
      </c>
      <c r="H21" s="38">
        <v>20</v>
      </c>
      <c r="I21" s="7">
        <v>300000</v>
      </c>
      <c r="J21" s="14">
        <v>29260</v>
      </c>
      <c r="K21" s="15">
        <f>L21+44148+50632+51280+53100+49924+22424+45520+51608</f>
        <v>397896</v>
      </c>
      <c r="L21" s="15">
        <f>1350*4+5965*4</f>
        <v>29260</v>
      </c>
      <c r="M21" s="16">
        <f t="shared" si="0"/>
        <v>29260</v>
      </c>
      <c r="N21" s="16">
        <v>0</v>
      </c>
      <c r="O21" s="62">
        <f t="shared" si="1"/>
        <v>0</v>
      </c>
      <c r="P21" s="42">
        <f t="shared" si="2"/>
        <v>14</v>
      </c>
      <c r="Q21" s="43">
        <f t="shared" si="3"/>
        <v>10</v>
      </c>
      <c r="R21" s="7"/>
      <c r="S21" s="6"/>
      <c r="T21" s="17"/>
      <c r="U21" s="17"/>
      <c r="V21" s="18">
        <v>10</v>
      </c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9">
        <f t="shared" si="7"/>
        <v>0.44155514932940415</v>
      </c>
      <c r="AF21" s="93">
        <f t="shared" si="8"/>
        <v>15</v>
      </c>
    </row>
    <row r="22" spans="1:32" ht="31.5" customHeight="1" thickBot="1">
      <c r="A22" s="450" t="s">
        <v>34</v>
      </c>
      <c r="B22" s="451"/>
      <c r="C22" s="451"/>
      <c r="D22" s="451"/>
      <c r="E22" s="451"/>
      <c r="F22" s="451"/>
      <c r="G22" s="451"/>
      <c r="H22" s="452"/>
      <c r="I22" s="25">
        <f t="shared" ref="I22:N22" si="17">SUM(I6:I21)</f>
        <v>736300</v>
      </c>
      <c r="J22" s="22">
        <f t="shared" si="17"/>
        <v>135270</v>
      </c>
      <c r="K22" s="23">
        <f t="shared" si="17"/>
        <v>731518</v>
      </c>
      <c r="L22" s="24">
        <f t="shared" si="17"/>
        <v>88818</v>
      </c>
      <c r="M22" s="23">
        <f t="shared" si="17"/>
        <v>88818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159</v>
      </c>
      <c r="Q22" s="46">
        <f t="shared" si="18"/>
        <v>225</v>
      </c>
      <c r="R22" s="26">
        <f t="shared" si="18"/>
        <v>48</v>
      </c>
      <c r="S22" s="27">
        <f t="shared" si="18"/>
        <v>44</v>
      </c>
      <c r="T22" s="27">
        <f t="shared" si="18"/>
        <v>13</v>
      </c>
      <c r="U22" s="27">
        <f t="shared" si="18"/>
        <v>0</v>
      </c>
      <c r="V22" s="28">
        <f t="shared" si="18"/>
        <v>34</v>
      </c>
      <c r="W22" s="29">
        <f t="shared" si="18"/>
        <v>86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0.6665543995918124</v>
      </c>
      <c r="AC22" s="4">
        <f>SUM(AC6:AC21)/15</f>
        <v>0.4416666666666666</v>
      </c>
      <c r="AD22" s="4">
        <f>SUM(AD6:AD21)/15</f>
        <v>0.44155514932940415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53" t="s">
        <v>45</v>
      </c>
      <c r="B49" s="453"/>
      <c r="C49" s="453"/>
      <c r="D49" s="453"/>
      <c r="E49" s="453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54" t="s">
        <v>901</v>
      </c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6"/>
      <c r="N50" s="457" t="s">
        <v>904</v>
      </c>
      <c r="O50" s="458"/>
      <c r="P50" s="458"/>
      <c r="Q50" s="458"/>
      <c r="R50" s="458"/>
      <c r="S50" s="458"/>
      <c r="T50" s="458"/>
      <c r="U50" s="458"/>
      <c r="V50" s="458"/>
      <c r="W50" s="458"/>
      <c r="X50" s="458"/>
      <c r="Y50" s="458"/>
      <c r="Z50" s="458"/>
      <c r="AA50" s="458"/>
      <c r="AB50" s="458"/>
      <c r="AC50" s="458"/>
      <c r="AD50" s="459"/>
    </row>
    <row r="51" spans="1:32" ht="27" customHeight="1">
      <c r="A51" s="460" t="s">
        <v>2</v>
      </c>
      <c r="B51" s="461"/>
      <c r="C51" s="356" t="s">
        <v>46</v>
      </c>
      <c r="D51" s="356" t="s">
        <v>47</v>
      </c>
      <c r="E51" s="356" t="s">
        <v>108</v>
      </c>
      <c r="F51" s="461" t="s">
        <v>107</v>
      </c>
      <c r="G51" s="461"/>
      <c r="H51" s="461"/>
      <c r="I51" s="461"/>
      <c r="J51" s="461"/>
      <c r="K51" s="461"/>
      <c r="L51" s="461"/>
      <c r="M51" s="462"/>
      <c r="N51" s="73" t="s">
        <v>112</v>
      </c>
      <c r="O51" s="356" t="s">
        <v>46</v>
      </c>
      <c r="P51" s="463" t="s">
        <v>47</v>
      </c>
      <c r="Q51" s="464"/>
      <c r="R51" s="463" t="s">
        <v>38</v>
      </c>
      <c r="S51" s="465"/>
      <c r="T51" s="465"/>
      <c r="U51" s="464"/>
      <c r="V51" s="463" t="s">
        <v>48</v>
      </c>
      <c r="W51" s="465"/>
      <c r="X51" s="465"/>
      <c r="Y51" s="465"/>
      <c r="Z51" s="465"/>
      <c r="AA51" s="465"/>
      <c r="AB51" s="465"/>
      <c r="AC51" s="465"/>
      <c r="AD51" s="466"/>
    </row>
    <row r="52" spans="1:32" ht="27" customHeight="1">
      <c r="A52" s="439" t="s">
        <v>292</v>
      </c>
      <c r="B52" s="440"/>
      <c r="C52" s="353" t="s">
        <v>181</v>
      </c>
      <c r="D52" s="353" t="s">
        <v>152</v>
      </c>
      <c r="E52" s="353" t="s">
        <v>867</v>
      </c>
      <c r="F52" s="431" t="s">
        <v>902</v>
      </c>
      <c r="G52" s="431"/>
      <c r="H52" s="431"/>
      <c r="I52" s="431"/>
      <c r="J52" s="431"/>
      <c r="K52" s="431"/>
      <c r="L52" s="431"/>
      <c r="M52" s="441"/>
      <c r="N52" s="352" t="s">
        <v>292</v>
      </c>
      <c r="O52" s="124" t="s">
        <v>181</v>
      </c>
      <c r="P52" s="440" t="s">
        <v>152</v>
      </c>
      <c r="Q52" s="440"/>
      <c r="R52" s="440" t="s">
        <v>867</v>
      </c>
      <c r="S52" s="440"/>
      <c r="T52" s="440"/>
      <c r="U52" s="440"/>
      <c r="V52" s="431" t="s">
        <v>196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125</v>
      </c>
      <c r="B53" s="440"/>
      <c r="C53" s="353" t="s">
        <v>182</v>
      </c>
      <c r="D53" s="353" t="s">
        <v>159</v>
      </c>
      <c r="E53" s="353" t="s">
        <v>898</v>
      </c>
      <c r="F53" s="431" t="s">
        <v>130</v>
      </c>
      <c r="G53" s="431"/>
      <c r="H53" s="431"/>
      <c r="I53" s="431"/>
      <c r="J53" s="431"/>
      <c r="K53" s="431"/>
      <c r="L53" s="431"/>
      <c r="M53" s="441"/>
      <c r="N53" s="352" t="s">
        <v>292</v>
      </c>
      <c r="O53" s="124" t="s">
        <v>763</v>
      </c>
      <c r="P53" s="440" t="s">
        <v>171</v>
      </c>
      <c r="Q53" s="440"/>
      <c r="R53" s="440" t="s">
        <v>868</v>
      </c>
      <c r="S53" s="440"/>
      <c r="T53" s="440"/>
      <c r="U53" s="440"/>
      <c r="V53" s="431" t="s">
        <v>196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889</v>
      </c>
      <c r="B54" s="440"/>
      <c r="C54" s="353" t="s">
        <v>306</v>
      </c>
      <c r="D54" s="353"/>
      <c r="E54" s="353" t="s">
        <v>899</v>
      </c>
      <c r="F54" s="431" t="s">
        <v>130</v>
      </c>
      <c r="G54" s="431"/>
      <c r="H54" s="431"/>
      <c r="I54" s="431"/>
      <c r="J54" s="431"/>
      <c r="K54" s="431"/>
      <c r="L54" s="431"/>
      <c r="M54" s="441"/>
      <c r="N54" s="352" t="s">
        <v>292</v>
      </c>
      <c r="O54" s="124" t="s">
        <v>194</v>
      </c>
      <c r="P54" s="440" t="s">
        <v>123</v>
      </c>
      <c r="Q54" s="440"/>
      <c r="R54" s="440" t="s">
        <v>869</v>
      </c>
      <c r="S54" s="440"/>
      <c r="T54" s="440"/>
      <c r="U54" s="440"/>
      <c r="V54" s="431" t="s">
        <v>196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125</v>
      </c>
      <c r="B55" s="440"/>
      <c r="C55" s="353" t="s">
        <v>204</v>
      </c>
      <c r="D55" s="353" t="s">
        <v>123</v>
      </c>
      <c r="E55" s="353" t="s">
        <v>890</v>
      </c>
      <c r="F55" s="431" t="s">
        <v>130</v>
      </c>
      <c r="G55" s="431"/>
      <c r="H55" s="431"/>
      <c r="I55" s="431"/>
      <c r="J55" s="431"/>
      <c r="K55" s="431"/>
      <c r="L55" s="431"/>
      <c r="M55" s="441"/>
      <c r="N55" s="352" t="s">
        <v>292</v>
      </c>
      <c r="O55" s="124" t="s">
        <v>182</v>
      </c>
      <c r="P55" s="440" t="s">
        <v>841</v>
      </c>
      <c r="Q55" s="440"/>
      <c r="R55" s="440" t="s">
        <v>766</v>
      </c>
      <c r="S55" s="440"/>
      <c r="T55" s="440"/>
      <c r="U55" s="440"/>
      <c r="V55" s="431" t="s">
        <v>130</v>
      </c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880</v>
      </c>
      <c r="B56" s="440"/>
      <c r="C56" s="353" t="s">
        <v>182</v>
      </c>
      <c r="D56" s="353" t="s">
        <v>841</v>
      </c>
      <c r="E56" s="353" t="s">
        <v>887</v>
      </c>
      <c r="F56" s="431" t="s">
        <v>130</v>
      </c>
      <c r="G56" s="431"/>
      <c r="H56" s="431"/>
      <c r="I56" s="431"/>
      <c r="J56" s="431"/>
      <c r="K56" s="431"/>
      <c r="L56" s="431"/>
      <c r="M56" s="441"/>
      <c r="N56" s="352"/>
      <c r="O56" s="124"/>
      <c r="P56" s="440"/>
      <c r="Q56" s="440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 t="s">
        <v>292</v>
      </c>
      <c r="B57" s="440"/>
      <c r="C57" s="353" t="s">
        <v>763</v>
      </c>
      <c r="D57" s="353" t="s">
        <v>171</v>
      </c>
      <c r="E57" s="353" t="s">
        <v>868</v>
      </c>
      <c r="F57" s="431" t="s">
        <v>902</v>
      </c>
      <c r="G57" s="431"/>
      <c r="H57" s="431"/>
      <c r="I57" s="431"/>
      <c r="J57" s="431"/>
      <c r="K57" s="431"/>
      <c r="L57" s="431"/>
      <c r="M57" s="441"/>
      <c r="N57" s="352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 t="s">
        <v>292</v>
      </c>
      <c r="B58" s="440"/>
      <c r="C58" s="353" t="s">
        <v>194</v>
      </c>
      <c r="D58" s="353" t="s">
        <v>123</v>
      </c>
      <c r="E58" s="353" t="s">
        <v>869</v>
      </c>
      <c r="F58" s="431" t="s">
        <v>903</v>
      </c>
      <c r="G58" s="431"/>
      <c r="H58" s="431"/>
      <c r="I58" s="431"/>
      <c r="J58" s="431"/>
      <c r="K58" s="431"/>
      <c r="L58" s="431"/>
      <c r="M58" s="441"/>
      <c r="N58" s="352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 t="s">
        <v>114</v>
      </c>
      <c r="B59" s="440"/>
      <c r="C59" s="353" t="s">
        <v>209</v>
      </c>
      <c r="D59" s="353" t="s">
        <v>123</v>
      </c>
      <c r="E59" s="353" t="s">
        <v>900</v>
      </c>
      <c r="F59" s="431" t="s">
        <v>130</v>
      </c>
      <c r="G59" s="431"/>
      <c r="H59" s="431"/>
      <c r="I59" s="431"/>
      <c r="J59" s="431"/>
      <c r="K59" s="431"/>
      <c r="L59" s="431"/>
      <c r="M59" s="441"/>
      <c r="N59" s="352"/>
      <c r="O59" s="124"/>
      <c r="P59" s="446"/>
      <c r="Q59" s="447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</row>
    <row r="60" spans="1:32" ht="27" customHeight="1">
      <c r="A60" s="439"/>
      <c r="B60" s="440"/>
      <c r="C60" s="353"/>
      <c r="D60" s="353"/>
      <c r="E60" s="353"/>
      <c r="F60" s="431"/>
      <c r="G60" s="431"/>
      <c r="H60" s="431"/>
      <c r="I60" s="431"/>
      <c r="J60" s="431"/>
      <c r="K60" s="431"/>
      <c r="L60" s="431"/>
      <c r="M60" s="441"/>
      <c r="N60" s="352"/>
      <c r="O60" s="124"/>
      <c r="P60" s="440"/>
      <c r="Q60" s="440"/>
      <c r="R60" s="440"/>
      <c r="S60" s="440"/>
      <c r="T60" s="440"/>
      <c r="U60" s="440"/>
      <c r="V60" s="431"/>
      <c r="W60" s="431"/>
      <c r="X60" s="431"/>
      <c r="Y60" s="431"/>
      <c r="Z60" s="431"/>
      <c r="AA60" s="431"/>
      <c r="AB60" s="431"/>
      <c r="AC60" s="431"/>
      <c r="AD60" s="441"/>
      <c r="AF60" s="93">
        <f>8*3000</f>
        <v>24000</v>
      </c>
    </row>
    <row r="61" spans="1:32" ht="27" customHeight="1" thickBot="1">
      <c r="A61" s="442"/>
      <c r="B61" s="443"/>
      <c r="C61" s="355"/>
      <c r="D61" s="355"/>
      <c r="E61" s="355"/>
      <c r="F61" s="489"/>
      <c r="G61" s="489"/>
      <c r="H61" s="489"/>
      <c r="I61" s="489"/>
      <c r="J61" s="489"/>
      <c r="K61" s="489"/>
      <c r="L61" s="489"/>
      <c r="M61" s="490"/>
      <c r="N61" s="354"/>
      <c r="O61" s="120"/>
      <c r="P61" s="443"/>
      <c r="Q61" s="443"/>
      <c r="R61" s="443"/>
      <c r="S61" s="443"/>
      <c r="T61" s="443"/>
      <c r="U61" s="443"/>
      <c r="V61" s="444"/>
      <c r="W61" s="444"/>
      <c r="X61" s="444"/>
      <c r="Y61" s="444"/>
      <c r="Z61" s="444"/>
      <c r="AA61" s="444"/>
      <c r="AB61" s="444"/>
      <c r="AC61" s="444"/>
      <c r="AD61" s="445"/>
      <c r="AF61" s="93">
        <f>16*3000</f>
        <v>48000</v>
      </c>
    </row>
    <row r="62" spans="1:32" ht="27.75" thickBot="1">
      <c r="A62" s="437" t="s">
        <v>905</v>
      </c>
      <c r="B62" s="437"/>
      <c r="C62" s="437"/>
      <c r="D62" s="437"/>
      <c r="E62" s="43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38" t="s">
        <v>113</v>
      </c>
      <c r="B63" s="435"/>
      <c r="C63" s="351" t="s">
        <v>2</v>
      </c>
      <c r="D63" s="351" t="s">
        <v>37</v>
      </c>
      <c r="E63" s="351" t="s">
        <v>3</v>
      </c>
      <c r="F63" s="435" t="s">
        <v>110</v>
      </c>
      <c r="G63" s="435"/>
      <c r="H63" s="435"/>
      <c r="I63" s="435"/>
      <c r="J63" s="435"/>
      <c r="K63" s="435" t="s">
        <v>39</v>
      </c>
      <c r="L63" s="435"/>
      <c r="M63" s="351" t="s">
        <v>40</v>
      </c>
      <c r="N63" s="435" t="s">
        <v>41</v>
      </c>
      <c r="O63" s="435"/>
      <c r="P63" s="432" t="s">
        <v>42</v>
      </c>
      <c r="Q63" s="434"/>
      <c r="R63" s="432" t="s">
        <v>43</v>
      </c>
      <c r="S63" s="433"/>
      <c r="T63" s="433"/>
      <c r="U63" s="433"/>
      <c r="V63" s="433"/>
      <c r="W63" s="433"/>
      <c r="X63" s="433"/>
      <c r="Y63" s="433"/>
      <c r="Z63" s="433"/>
      <c r="AA63" s="434"/>
      <c r="AB63" s="435" t="s">
        <v>44</v>
      </c>
      <c r="AC63" s="435"/>
      <c r="AD63" s="436"/>
      <c r="AF63" s="93">
        <f>SUM(AF60:AF62)</f>
        <v>96000</v>
      </c>
    </row>
    <row r="64" spans="1:32" ht="25.5" customHeight="1">
      <c r="A64" s="427">
        <v>1</v>
      </c>
      <c r="B64" s="428"/>
      <c r="C64" s="123"/>
      <c r="D64" s="347"/>
      <c r="E64" s="350"/>
      <c r="F64" s="429"/>
      <c r="G64" s="421"/>
      <c r="H64" s="421"/>
      <c r="I64" s="421"/>
      <c r="J64" s="421"/>
      <c r="K64" s="421"/>
      <c r="L64" s="421"/>
      <c r="M64" s="54"/>
      <c r="N64" s="421"/>
      <c r="O64" s="421"/>
      <c r="P64" s="430"/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2</v>
      </c>
      <c r="B65" s="428"/>
      <c r="C65" s="123"/>
      <c r="D65" s="347"/>
      <c r="E65" s="350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3</v>
      </c>
      <c r="B66" s="428"/>
      <c r="C66" s="123"/>
      <c r="D66" s="347"/>
      <c r="E66" s="350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4</v>
      </c>
      <c r="B67" s="428"/>
      <c r="C67" s="123"/>
      <c r="D67" s="347"/>
      <c r="E67" s="350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5</v>
      </c>
      <c r="B68" s="428"/>
      <c r="C68" s="123"/>
      <c r="D68" s="347"/>
      <c r="E68" s="350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6</v>
      </c>
      <c r="B69" s="428"/>
      <c r="C69" s="123"/>
      <c r="D69" s="347"/>
      <c r="E69" s="350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7</v>
      </c>
      <c r="B70" s="428"/>
      <c r="C70" s="123"/>
      <c r="D70" s="347"/>
      <c r="E70" s="350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5.5" customHeight="1">
      <c r="A71" s="427">
        <v>8</v>
      </c>
      <c r="B71" s="428"/>
      <c r="C71" s="123"/>
      <c r="D71" s="347"/>
      <c r="E71" s="350"/>
      <c r="F71" s="429"/>
      <c r="G71" s="421"/>
      <c r="H71" s="421"/>
      <c r="I71" s="421"/>
      <c r="J71" s="421"/>
      <c r="K71" s="421"/>
      <c r="L71" s="421"/>
      <c r="M71" s="54"/>
      <c r="N71" s="421"/>
      <c r="O71" s="421"/>
      <c r="P71" s="430"/>
      <c r="Q71" s="430"/>
      <c r="R71" s="431"/>
      <c r="S71" s="431"/>
      <c r="T71" s="431"/>
      <c r="U71" s="431"/>
      <c r="V71" s="431"/>
      <c r="W71" s="431"/>
      <c r="X71" s="431"/>
      <c r="Y71" s="431"/>
      <c r="Z71" s="431"/>
      <c r="AA71" s="431"/>
      <c r="AB71" s="421"/>
      <c r="AC71" s="421"/>
      <c r="AD71" s="422"/>
      <c r="AF71" s="53"/>
    </row>
    <row r="72" spans="1:32" ht="26.25" customHeight="1" thickBot="1">
      <c r="A72" s="401" t="s">
        <v>906</v>
      </c>
      <c r="B72" s="401"/>
      <c r="C72" s="401"/>
      <c r="D72" s="401"/>
      <c r="E72" s="401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02" t="s">
        <v>113</v>
      </c>
      <c r="B73" s="403"/>
      <c r="C73" s="349" t="s">
        <v>2</v>
      </c>
      <c r="D73" s="349" t="s">
        <v>37</v>
      </c>
      <c r="E73" s="349" t="s">
        <v>3</v>
      </c>
      <c r="F73" s="403" t="s">
        <v>38</v>
      </c>
      <c r="G73" s="403"/>
      <c r="H73" s="403"/>
      <c r="I73" s="403"/>
      <c r="J73" s="403"/>
      <c r="K73" s="423" t="s">
        <v>58</v>
      </c>
      <c r="L73" s="424"/>
      <c r="M73" s="424"/>
      <c r="N73" s="424"/>
      <c r="O73" s="424"/>
      <c r="P73" s="424"/>
      <c r="Q73" s="424"/>
      <c r="R73" s="424"/>
      <c r="S73" s="425"/>
      <c r="T73" s="403" t="s">
        <v>49</v>
      </c>
      <c r="U73" s="403"/>
      <c r="V73" s="423" t="s">
        <v>50</v>
      </c>
      <c r="W73" s="425"/>
      <c r="X73" s="424" t="s">
        <v>51</v>
      </c>
      <c r="Y73" s="424"/>
      <c r="Z73" s="424"/>
      <c r="AA73" s="424"/>
      <c r="AB73" s="424"/>
      <c r="AC73" s="424"/>
      <c r="AD73" s="426"/>
      <c r="AF73" s="53"/>
    </row>
    <row r="74" spans="1:32" ht="33.75" customHeight="1">
      <c r="A74" s="395">
        <v>1</v>
      </c>
      <c r="B74" s="396"/>
      <c r="C74" s="348" t="s">
        <v>114</v>
      </c>
      <c r="D74" s="348"/>
      <c r="E74" s="71" t="s">
        <v>119</v>
      </c>
      <c r="F74" s="410" t="s">
        <v>120</v>
      </c>
      <c r="G74" s="411"/>
      <c r="H74" s="411"/>
      <c r="I74" s="411"/>
      <c r="J74" s="412"/>
      <c r="K74" s="413" t="s">
        <v>115</v>
      </c>
      <c r="L74" s="414"/>
      <c r="M74" s="414"/>
      <c r="N74" s="414"/>
      <c r="O74" s="414"/>
      <c r="P74" s="414"/>
      <c r="Q74" s="414"/>
      <c r="R74" s="414"/>
      <c r="S74" s="415"/>
      <c r="T74" s="416">
        <v>42901</v>
      </c>
      <c r="U74" s="417"/>
      <c r="V74" s="418"/>
      <c r="W74" s="418"/>
      <c r="X74" s="419"/>
      <c r="Y74" s="419"/>
      <c r="Z74" s="419"/>
      <c r="AA74" s="419"/>
      <c r="AB74" s="419"/>
      <c r="AC74" s="419"/>
      <c r="AD74" s="420"/>
      <c r="AF74" s="53"/>
    </row>
    <row r="75" spans="1:32" ht="30" customHeight="1">
      <c r="A75" s="388">
        <f>A74+1</f>
        <v>2</v>
      </c>
      <c r="B75" s="389"/>
      <c r="C75" s="347" t="s">
        <v>114</v>
      </c>
      <c r="D75" s="347"/>
      <c r="E75" s="35" t="s">
        <v>116</v>
      </c>
      <c r="F75" s="389" t="s">
        <v>117</v>
      </c>
      <c r="G75" s="389"/>
      <c r="H75" s="389"/>
      <c r="I75" s="389"/>
      <c r="J75" s="389"/>
      <c r="K75" s="404" t="s">
        <v>118</v>
      </c>
      <c r="L75" s="405"/>
      <c r="M75" s="405"/>
      <c r="N75" s="405"/>
      <c r="O75" s="405"/>
      <c r="P75" s="405"/>
      <c r="Q75" s="405"/>
      <c r="R75" s="405"/>
      <c r="S75" s="406"/>
      <c r="T75" s="407">
        <v>42867</v>
      </c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ref="A76:A82" si="19">A75+1</f>
        <v>3</v>
      </c>
      <c r="B76" s="389"/>
      <c r="C76" s="347"/>
      <c r="D76" s="347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9"/>
        <v>4</v>
      </c>
      <c r="B77" s="389"/>
      <c r="C77" s="347"/>
      <c r="D77" s="347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9"/>
        <v>5</v>
      </c>
      <c r="B78" s="389"/>
      <c r="C78" s="347"/>
      <c r="D78" s="347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9"/>
        <v>6</v>
      </c>
      <c r="B79" s="389"/>
      <c r="C79" s="347"/>
      <c r="D79" s="347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9"/>
        <v>7</v>
      </c>
      <c r="B80" s="389"/>
      <c r="C80" s="347"/>
      <c r="D80" s="347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9"/>
        <v>8</v>
      </c>
      <c r="B81" s="389"/>
      <c r="C81" s="347"/>
      <c r="D81" s="347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0" customHeight="1">
      <c r="A82" s="388">
        <f t="shared" si="19"/>
        <v>9</v>
      </c>
      <c r="B82" s="389"/>
      <c r="C82" s="347"/>
      <c r="D82" s="347"/>
      <c r="E82" s="35"/>
      <c r="F82" s="389"/>
      <c r="G82" s="389"/>
      <c r="H82" s="389"/>
      <c r="I82" s="389"/>
      <c r="J82" s="389"/>
      <c r="K82" s="404"/>
      <c r="L82" s="405"/>
      <c r="M82" s="405"/>
      <c r="N82" s="405"/>
      <c r="O82" s="405"/>
      <c r="P82" s="405"/>
      <c r="Q82" s="405"/>
      <c r="R82" s="405"/>
      <c r="S82" s="406"/>
      <c r="T82" s="407"/>
      <c r="U82" s="407"/>
      <c r="V82" s="407"/>
      <c r="W82" s="407"/>
      <c r="X82" s="408"/>
      <c r="Y82" s="408"/>
      <c r="Z82" s="408"/>
      <c r="AA82" s="408"/>
      <c r="AB82" s="408"/>
      <c r="AC82" s="408"/>
      <c r="AD82" s="409"/>
      <c r="AF82" s="53"/>
    </row>
    <row r="83" spans="1:32" ht="36" thickBot="1">
      <c r="A83" s="401" t="s">
        <v>907</v>
      </c>
      <c r="B83" s="401"/>
      <c r="C83" s="401"/>
      <c r="D83" s="401"/>
      <c r="E83" s="401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02" t="s">
        <v>113</v>
      </c>
      <c r="B84" s="403"/>
      <c r="C84" s="393" t="s">
        <v>52</v>
      </c>
      <c r="D84" s="393"/>
      <c r="E84" s="393" t="s">
        <v>53</v>
      </c>
      <c r="F84" s="393"/>
      <c r="G84" s="393"/>
      <c r="H84" s="393"/>
      <c r="I84" s="393"/>
      <c r="J84" s="393"/>
      <c r="K84" s="393" t="s">
        <v>54</v>
      </c>
      <c r="L84" s="393"/>
      <c r="M84" s="393"/>
      <c r="N84" s="393"/>
      <c r="O84" s="393"/>
      <c r="P84" s="393"/>
      <c r="Q84" s="393"/>
      <c r="R84" s="393"/>
      <c r="S84" s="393"/>
      <c r="T84" s="393" t="s">
        <v>55</v>
      </c>
      <c r="U84" s="393"/>
      <c r="V84" s="393" t="s">
        <v>56</v>
      </c>
      <c r="W84" s="393"/>
      <c r="X84" s="393"/>
      <c r="Y84" s="393" t="s">
        <v>51</v>
      </c>
      <c r="Z84" s="393"/>
      <c r="AA84" s="393"/>
      <c r="AB84" s="393"/>
      <c r="AC84" s="393"/>
      <c r="AD84" s="394"/>
      <c r="AF84" s="53"/>
    </row>
    <row r="85" spans="1:32" ht="30.75" customHeight="1">
      <c r="A85" s="395">
        <v>1</v>
      </c>
      <c r="B85" s="396"/>
      <c r="C85" s="397">
        <v>9</v>
      </c>
      <c r="D85" s="397"/>
      <c r="E85" s="397" t="s">
        <v>848</v>
      </c>
      <c r="F85" s="397"/>
      <c r="G85" s="397"/>
      <c r="H85" s="397"/>
      <c r="I85" s="397"/>
      <c r="J85" s="397"/>
      <c r="K85" s="397" t="s">
        <v>849</v>
      </c>
      <c r="L85" s="397"/>
      <c r="M85" s="397"/>
      <c r="N85" s="397"/>
      <c r="O85" s="397"/>
      <c r="P85" s="397"/>
      <c r="Q85" s="397"/>
      <c r="R85" s="397"/>
      <c r="S85" s="397"/>
      <c r="T85" s="397" t="s">
        <v>850</v>
      </c>
      <c r="U85" s="397"/>
      <c r="V85" s="398" t="s">
        <v>851</v>
      </c>
      <c r="W85" s="398"/>
      <c r="X85" s="398"/>
      <c r="Y85" s="399"/>
      <c r="Z85" s="399"/>
      <c r="AA85" s="399"/>
      <c r="AB85" s="399"/>
      <c r="AC85" s="399"/>
      <c r="AD85" s="400"/>
      <c r="AF85" s="53"/>
    </row>
    <row r="86" spans="1:32" ht="30.75" customHeight="1">
      <c r="A86" s="388">
        <v>2</v>
      </c>
      <c r="B86" s="389"/>
      <c r="C86" s="390"/>
      <c r="D86" s="390"/>
      <c r="E86" s="390"/>
      <c r="F86" s="390"/>
      <c r="G86" s="390"/>
      <c r="H86" s="390"/>
      <c r="I86" s="390"/>
      <c r="J86" s="390"/>
      <c r="K86" s="390"/>
      <c r="L86" s="390"/>
      <c r="M86" s="390"/>
      <c r="N86" s="390"/>
      <c r="O86" s="390"/>
      <c r="P86" s="390"/>
      <c r="Q86" s="390"/>
      <c r="R86" s="390"/>
      <c r="S86" s="390"/>
      <c r="T86" s="391"/>
      <c r="U86" s="391"/>
      <c r="V86" s="392"/>
      <c r="W86" s="392"/>
      <c r="X86" s="392"/>
      <c r="Y86" s="381"/>
      <c r="Z86" s="381"/>
      <c r="AA86" s="381"/>
      <c r="AB86" s="381"/>
      <c r="AC86" s="381"/>
      <c r="AD86" s="382"/>
      <c r="AF86" s="53"/>
    </row>
    <row r="87" spans="1:32" ht="30.75" customHeight="1" thickBot="1">
      <c r="A87" s="383">
        <v>3</v>
      </c>
      <c r="B87" s="384"/>
      <c r="C87" s="385"/>
      <c r="D87" s="385"/>
      <c r="E87" s="385"/>
      <c r="F87" s="385"/>
      <c r="G87" s="385"/>
      <c r="H87" s="385"/>
      <c r="I87" s="385"/>
      <c r="J87" s="385"/>
      <c r="K87" s="385"/>
      <c r="L87" s="385"/>
      <c r="M87" s="385"/>
      <c r="N87" s="385"/>
      <c r="O87" s="385"/>
      <c r="P87" s="385"/>
      <c r="Q87" s="385"/>
      <c r="R87" s="385"/>
      <c r="S87" s="385"/>
      <c r="T87" s="385"/>
      <c r="U87" s="385"/>
      <c r="V87" s="385"/>
      <c r="W87" s="385"/>
      <c r="X87" s="385"/>
      <c r="Y87" s="386"/>
      <c r="Z87" s="386"/>
      <c r="AA87" s="386"/>
      <c r="AB87" s="386"/>
      <c r="AC87" s="386"/>
      <c r="AD87" s="387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98BB-AA27-4126-81E2-E3A8FE4C0FF4}">
  <sheetPr>
    <pageSetUpPr fitToPage="1"/>
  </sheetPr>
  <dimension ref="A1:AF86"/>
  <sheetViews>
    <sheetView zoomScale="72" zoomScaleNormal="72" zoomScaleSheetLayoutView="70" workbookViewId="0">
      <selection activeCell="L15" sqref="L1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908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358" t="s">
        <v>17</v>
      </c>
      <c r="L5" s="358" t="s">
        <v>18</v>
      </c>
      <c r="M5" s="358" t="s">
        <v>19</v>
      </c>
      <c r="N5" s="35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0.51930863256676218</v>
      </c>
      <c r="AF6" s="93">
        <f t="shared" ref="AF6:AF20" si="8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0.51930863256676218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292</v>
      </c>
      <c r="D8" s="55" t="s">
        <v>152</v>
      </c>
      <c r="E8" s="57" t="s">
        <v>855</v>
      </c>
      <c r="F8" s="33" t="s">
        <v>134</v>
      </c>
      <c r="G8" s="36">
        <v>1</v>
      </c>
      <c r="H8" s="38">
        <v>25</v>
      </c>
      <c r="I8" s="7">
        <v>25000</v>
      </c>
      <c r="J8" s="5">
        <v>4010</v>
      </c>
      <c r="K8" s="15">
        <f>L8+4360+4180+3188</f>
        <v>15738</v>
      </c>
      <c r="L8" s="15">
        <f>3191+819</f>
        <v>4010</v>
      </c>
      <c r="M8" s="16">
        <f t="shared" si="0"/>
        <v>4010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>
        <v>5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9">
        <f t="shared" si="7"/>
        <v>0.51930863256676218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292</v>
      </c>
      <c r="D9" s="55" t="s">
        <v>909</v>
      </c>
      <c r="E9" s="57" t="s">
        <v>766</v>
      </c>
      <c r="F9" s="12" t="s">
        <v>295</v>
      </c>
      <c r="G9" s="12">
        <v>1</v>
      </c>
      <c r="H9" s="13">
        <v>25</v>
      </c>
      <c r="I9" s="7">
        <v>1000</v>
      </c>
      <c r="J9" s="14">
        <v>1056</v>
      </c>
      <c r="K9" s="15">
        <f>L9</f>
        <v>1056</v>
      </c>
      <c r="L9" s="15">
        <v>1056</v>
      </c>
      <c r="M9" s="16">
        <f t="shared" si="0"/>
        <v>1056</v>
      </c>
      <c r="N9" s="16">
        <v>0</v>
      </c>
      <c r="O9" s="62">
        <f t="shared" si="1"/>
        <v>0</v>
      </c>
      <c r="P9" s="42">
        <f t="shared" si="2"/>
        <v>9</v>
      </c>
      <c r="Q9" s="43">
        <f t="shared" si="3"/>
        <v>15</v>
      </c>
      <c r="R9" s="7"/>
      <c r="S9" s="6"/>
      <c r="T9" s="17"/>
      <c r="U9" s="17"/>
      <c r="V9" s="18"/>
      <c r="W9" s="19">
        <v>15</v>
      </c>
      <c r="X9" s="17"/>
      <c r="Y9" s="20"/>
      <c r="Z9" s="20"/>
      <c r="AA9" s="21"/>
      <c r="AB9" s="8">
        <f t="shared" si="4"/>
        <v>1</v>
      </c>
      <c r="AC9" s="9">
        <f t="shared" si="5"/>
        <v>0.375</v>
      </c>
      <c r="AD9" s="10">
        <f t="shared" si="6"/>
        <v>0.375</v>
      </c>
      <c r="AE9" s="39">
        <f t="shared" si="7"/>
        <v>0.51930863256676218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362</v>
      </c>
      <c r="D10" s="55" t="s">
        <v>784</v>
      </c>
      <c r="E10" s="57" t="s">
        <v>757</v>
      </c>
      <c r="F10" s="12" t="s">
        <v>132</v>
      </c>
      <c r="G10" s="12">
        <v>2</v>
      </c>
      <c r="H10" s="13">
        <v>25</v>
      </c>
      <c r="I10" s="7">
        <v>60000</v>
      </c>
      <c r="J10" s="14">
        <v>20930</v>
      </c>
      <c r="K10" s="15">
        <f>L10+12622+7434+9660+7252+11746+1216+14818</f>
        <v>85678</v>
      </c>
      <c r="L10" s="15">
        <f>5620*2+4845*2</f>
        <v>20930</v>
      </c>
      <c r="M10" s="16">
        <f t="shared" si="0"/>
        <v>20930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0.51930863256676218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292</v>
      </c>
      <c r="D11" s="55" t="s">
        <v>159</v>
      </c>
      <c r="E11" s="57" t="s">
        <v>863</v>
      </c>
      <c r="F11" s="12" t="s">
        <v>864</v>
      </c>
      <c r="G11" s="12">
        <v>1</v>
      </c>
      <c r="H11" s="13">
        <v>25</v>
      </c>
      <c r="I11" s="34">
        <v>25000</v>
      </c>
      <c r="J11" s="5">
        <v>2006</v>
      </c>
      <c r="K11" s="15">
        <f>L11+2801+5801</f>
        <v>10608</v>
      </c>
      <c r="L11" s="15">
        <v>2006</v>
      </c>
      <c r="M11" s="16">
        <f t="shared" si="0"/>
        <v>2006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>
        <v>14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9">
        <f t="shared" si="7"/>
        <v>0.51930863256676218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889</v>
      </c>
      <c r="D12" s="55"/>
      <c r="E12" s="57" t="s">
        <v>899</v>
      </c>
      <c r="F12" s="12" t="s">
        <v>122</v>
      </c>
      <c r="G12" s="12">
        <v>3</v>
      </c>
      <c r="H12" s="13">
        <v>25</v>
      </c>
      <c r="I12" s="7">
        <v>30000</v>
      </c>
      <c r="J12" s="14">
        <v>30310</v>
      </c>
      <c r="K12" s="15">
        <f>L12+19125</f>
        <v>49434</v>
      </c>
      <c r="L12" s="15">
        <f>5345*3+4758*3</f>
        <v>30309</v>
      </c>
      <c r="M12" s="16">
        <f t="shared" si="0"/>
        <v>30309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0.99996700758825474</v>
      </c>
      <c r="AC12" s="9">
        <f t="shared" si="5"/>
        <v>1</v>
      </c>
      <c r="AD12" s="10">
        <f t="shared" si="6"/>
        <v>0.99996700758825474</v>
      </c>
      <c r="AE12" s="39">
        <f t="shared" si="7"/>
        <v>0.51930863256676218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292</v>
      </c>
      <c r="D13" s="55" t="s">
        <v>123</v>
      </c>
      <c r="E13" s="57" t="s">
        <v>890</v>
      </c>
      <c r="F13" s="12" t="s">
        <v>295</v>
      </c>
      <c r="G13" s="12">
        <v>1</v>
      </c>
      <c r="H13" s="13">
        <v>25</v>
      </c>
      <c r="I13" s="7">
        <v>20000</v>
      </c>
      <c r="J13" s="14">
        <v>10600</v>
      </c>
      <c r="K13" s="15">
        <f>L13+9828</f>
        <v>20426</v>
      </c>
      <c r="L13" s="15">
        <f>2863*2+2436*2</f>
        <v>10598</v>
      </c>
      <c r="M13" s="16">
        <f t="shared" si="0"/>
        <v>10598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0.99981132075471701</v>
      </c>
      <c r="AC13" s="9">
        <f t="shared" si="5"/>
        <v>1</v>
      </c>
      <c r="AD13" s="10">
        <f t="shared" si="6"/>
        <v>0.99981132075471701</v>
      </c>
      <c r="AE13" s="39">
        <f t="shared" si="7"/>
        <v>0.51930863256676218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114</v>
      </c>
      <c r="D14" s="55" t="s">
        <v>123</v>
      </c>
      <c r="E14" s="57" t="s">
        <v>670</v>
      </c>
      <c r="F14" s="33" t="s">
        <v>447</v>
      </c>
      <c r="G14" s="36">
        <v>1</v>
      </c>
      <c r="H14" s="38">
        <v>25</v>
      </c>
      <c r="I14" s="7">
        <v>1000</v>
      </c>
      <c r="J14" s="5">
        <v>1068</v>
      </c>
      <c r="K14" s="15">
        <f>L14+1068</f>
        <v>1068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>
        <v>24</v>
      </c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0.51930863256676218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11" t="s">
        <v>362</v>
      </c>
      <c r="D15" s="55" t="s">
        <v>126</v>
      </c>
      <c r="E15" s="57" t="s">
        <v>760</v>
      </c>
      <c r="F15" s="12" t="s">
        <v>736</v>
      </c>
      <c r="G15" s="12">
        <v>1</v>
      </c>
      <c r="H15" s="13">
        <v>24</v>
      </c>
      <c r="I15" s="34">
        <v>13000</v>
      </c>
      <c r="J15" s="14">
        <v>1275</v>
      </c>
      <c r="K15" s="15">
        <f>L15+2100+1275</f>
        <v>3375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>
        <v>24</v>
      </c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0.51930863256676218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292</v>
      </c>
      <c r="D16" s="55" t="s">
        <v>171</v>
      </c>
      <c r="E16" s="57" t="s">
        <v>856</v>
      </c>
      <c r="F16" s="33" t="s">
        <v>134</v>
      </c>
      <c r="G16" s="36">
        <v>1</v>
      </c>
      <c r="H16" s="38">
        <v>25</v>
      </c>
      <c r="I16" s="7">
        <v>25000</v>
      </c>
      <c r="J16" s="5">
        <v>3720</v>
      </c>
      <c r="K16" s="15">
        <f>L16+4499+5214</f>
        <v>13431</v>
      </c>
      <c r="L16" s="15">
        <f>3119+599</f>
        <v>3718</v>
      </c>
      <c r="M16" s="16">
        <f t="shared" si="0"/>
        <v>3718</v>
      </c>
      <c r="N16" s="16">
        <v>0</v>
      </c>
      <c r="O16" s="62">
        <f t="shared" si="1"/>
        <v>0</v>
      </c>
      <c r="P16" s="42">
        <f t="shared" si="2"/>
        <v>18</v>
      </c>
      <c r="Q16" s="43">
        <f t="shared" si="3"/>
        <v>6</v>
      </c>
      <c r="R16" s="7"/>
      <c r="S16" s="6">
        <v>6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0.99946236559139789</v>
      </c>
      <c r="AC16" s="9">
        <f t="shared" si="5"/>
        <v>0.75</v>
      </c>
      <c r="AD16" s="10">
        <f t="shared" si="6"/>
        <v>0.74959677419354842</v>
      </c>
      <c r="AE16" s="39">
        <f t="shared" si="7"/>
        <v>0.51930863256676218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11" t="s">
        <v>880</v>
      </c>
      <c r="D17" s="55" t="s">
        <v>881</v>
      </c>
      <c r="E17" s="57" t="s">
        <v>882</v>
      </c>
      <c r="F17" s="12">
        <v>8301</v>
      </c>
      <c r="G17" s="12">
        <v>1</v>
      </c>
      <c r="H17" s="13">
        <v>24</v>
      </c>
      <c r="I17" s="34">
        <v>500</v>
      </c>
      <c r="J17" s="14">
        <v>1238</v>
      </c>
      <c r="K17" s="15">
        <f>L17+1238</f>
        <v>1238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0.51930863256676218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292</v>
      </c>
      <c r="D18" s="55" t="s">
        <v>123</v>
      </c>
      <c r="E18" s="57" t="s">
        <v>857</v>
      </c>
      <c r="F18" s="12" t="s">
        <v>295</v>
      </c>
      <c r="G18" s="36">
        <v>1</v>
      </c>
      <c r="H18" s="38">
        <v>30</v>
      </c>
      <c r="I18" s="7">
        <v>25000</v>
      </c>
      <c r="J18" s="5">
        <v>4750</v>
      </c>
      <c r="K18" s="15">
        <f>L18+4599+5522+2773</f>
        <v>17637</v>
      </c>
      <c r="L18" s="15">
        <f>2948+1795</f>
        <v>4743</v>
      </c>
      <c r="M18" s="16">
        <f t="shared" si="0"/>
        <v>4743</v>
      </c>
      <c r="N18" s="16">
        <v>0</v>
      </c>
      <c r="O18" s="62">
        <f t="shared" si="1"/>
        <v>0</v>
      </c>
      <c r="P18" s="42">
        <f t="shared" si="2"/>
        <v>23</v>
      </c>
      <c r="Q18" s="43">
        <f t="shared" si="3"/>
        <v>1</v>
      </c>
      <c r="R18" s="7"/>
      <c r="S18" s="6">
        <v>1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0.99852631578947371</v>
      </c>
      <c r="AC18" s="9">
        <f t="shared" si="5"/>
        <v>0.95833333333333337</v>
      </c>
      <c r="AD18" s="10">
        <f t="shared" si="6"/>
        <v>0.95692105263157901</v>
      </c>
      <c r="AE18" s="39">
        <f t="shared" si="7"/>
        <v>0.51930863256676218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37" t="s">
        <v>114</v>
      </c>
      <c r="D19" s="55" t="s">
        <v>123</v>
      </c>
      <c r="E19" s="57" t="s">
        <v>900</v>
      </c>
      <c r="F19" s="33" t="s">
        <v>129</v>
      </c>
      <c r="G19" s="12">
        <v>1</v>
      </c>
      <c r="H19" s="13">
        <v>25</v>
      </c>
      <c r="I19" s="34">
        <v>10000</v>
      </c>
      <c r="J19" s="5">
        <v>5181</v>
      </c>
      <c r="K19" s="15">
        <f>L19+2681</f>
        <v>7862</v>
      </c>
      <c r="L19" s="15">
        <f>2749+2432</f>
        <v>5181</v>
      </c>
      <c r="M19" s="16">
        <f t="shared" si="0"/>
        <v>5181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0.51930863256676218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121</v>
      </c>
      <c r="D20" s="55"/>
      <c r="E20" s="56" t="s">
        <v>124</v>
      </c>
      <c r="F20" s="12" t="s">
        <v>122</v>
      </c>
      <c r="G20" s="12">
        <v>4</v>
      </c>
      <c r="H20" s="38">
        <v>20</v>
      </c>
      <c r="I20" s="7">
        <v>300000</v>
      </c>
      <c r="J20" s="14">
        <v>21344</v>
      </c>
      <c r="K20" s="15">
        <f>L20+44148+50632+51280+53100+49924+22424+45520+51608+29260</f>
        <v>419240</v>
      </c>
      <c r="L20" s="15">
        <f>5336*4</f>
        <v>21344</v>
      </c>
      <c r="M20" s="16">
        <f t="shared" si="0"/>
        <v>21344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/>
      <c r="S20" s="6"/>
      <c r="T20" s="17"/>
      <c r="U20" s="17"/>
      <c r="V20" s="18">
        <v>12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9">
        <f t="shared" si="7"/>
        <v>0.51930863256676218</v>
      </c>
      <c r="AF20" s="93">
        <f t="shared" si="8"/>
        <v>15</v>
      </c>
    </row>
    <row r="21" spans="1:32" ht="31.5" customHeight="1" thickBot="1">
      <c r="A21" s="450" t="s">
        <v>34</v>
      </c>
      <c r="B21" s="451"/>
      <c r="C21" s="451"/>
      <c r="D21" s="451"/>
      <c r="E21" s="451"/>
      <c r="F21" s="451"/>
      <c r="G21" s="451"/>
      <c r="H21" s="452"/>
      <c r="I21" s="25">
        <f t="shared" ref="I21:N21" si="9">SUM(I6:I20)</f>
        <v>736500</v>
      </c>
      <c r="J21" s="22">
        <f t="shared" si="9"/>
        <v>145128</v>
      </c>
      <c r="K21" s="23">
        <f t="shared" si="9"/>
        <v>834069</v>
      </c>
      <c r="L21" s="24">
        <f t="shared" si="9"/>
        <v>103895</v>
      </c>
      <c r="M21" s="23">
        <f t="shared" si="9"/>
        <v>103895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187</v>
      </c>
      <c r="Q21" s="46">
        <f t="shared" si="10"/>
        <v>173</v>
      </c>
      <c r="R21" s="26">
        <f t="shared" si="10"/>
        <v>48</v>
      </c>
      <c r="S21" s="27">
        <f t="shared" si="10"/>
        <v>26</v>
      </c>
      <c r="T21" s="27">
        <f t="shared" si="10"/>
        <v>0</v>
      </c>
      <c r="U21" s="27">
        <f t="shared" si="10"/>
        <v>0</v>
      </c>
      <c r="V21" s="28">
        <f t="shared" si="10"/>
        <v>36</v>
      </c>
      <c r="W21" s="29">
        <f t="shared" si="10"/>
        <v>63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0.66651780064825628</v>
      </c>
      <c r="AC21" s="4">
        <f>SUM(AC6:AC20)/15</f>
        <v>0.51944444444444438</v>
      </c>
      <c r="AD21" s="4">
        <f>SUM(AD6:AD20)/15</f>
        <v>0.51930863256676218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53" t="s">
        <v>45</v>
      </c>
      <c r="B48" s="453"/>
      <c r="C48" s="453"/>
      <c r="D48" s="453"/>
      <c r="E48" s="453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54" t="s">
        <v>910</v>
      </c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6"/>
      <c r="N49" s="457" t="s">
        <v>913</v>
      </c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9"/>
    </row>
    <row r="50" spans="1:32" ht="27" customHeight="1">
      <c r="A50" s="460" t="s">
        <v>2</v>
      </c>
      <c r="B50" s="461"/>
      <c r="C50" s="359" t="s">
        <v>46</v>
      </c>
      <c r="D50" s="359" t="s">
        <v>47</v>
      </c>
      <c r="E50" s="359" t="s">
        <v>108</v>
      </c>
      <c r="F50" s="461" t="s">
        <v>107</v>
      </c>
      <c r="G50" s="461"/>
      <c r="H50" s="461"/>
      <c r="I50" s="461"/>
      <c r="J50" s="461"/>
      <c r="K50" s="461"/>
      <c r="L50" s="461"/>
      <c r="M50" s="462"/>
      <c r="N50" s="73" t="s">
        <v>112</v>
      </c>
      <c r="O50" s="359" t="s">
        <v>46</v>
      </c>
      <c r="P50" s="463" t="s">
        <v>47</v>
      </c>
      <c r="Q50" s="464"/>
      <c r="R50" s="463" t="s">
        <v>38</v>
      </c>
      <c r="S50" s="465"/>
      <c r="T50" s="465"/>
      <c r="U50" s="464"/>
      <c r="V50" s="463" t="s">
        <v>48</v>
      </c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39" t="s">
        <v>292</v>
      </c>
      <c r="B51" s="440"/>
      <c r="C51" s="361" t="s">
        <v>181</v>
      </c>
      <c r="D51" s="361" t="s">
        <v>152</v>
      </c>
      <c r="E51" s="361" t="s">
        <v>867</v>
      </c>
      <c r="F51" s="431" t="s">
        <v>196</v>
      </c>
      <c r="G51" s="431"/>
      <c r="H51" s="431"/>
      <c r="I51" s="431"/>
      <c r="J51" s="431"/>
      <c r="K51" s="431"/>
      <c r="L51" s="431"/>
      <c r="M51" s="441"/>
      <c r="N51" s="360" t="s">
        <v>125</v>
      </c>
      <c r="O51" s="124" t="s">
        <v>204</v>
      </c>
      <c r="P51" s="440" t="s">
        <v>123</v>
      </c>
      <c r="Q51" s="440"/>
      <c r="R51" s="440" t="s">
        <v>145</v>
      </c>
      <c r="S51" s="440"/>
      <c r="T51" s="440"/>
      <c r="U51" s="440"/>
      <c r="V51" s="431" t="s">
        <v>130</v>
      </c>
      <c r="W51" s="431"/>
      <c r="X51" s="431"/>
      <c r="Y51" s="431"/>
      <c r="Z51" s="431"/>
      <c r="AA51" s="431"/>
      <c r="AB51" s="431"/>
      <c r="AC51" s="431"/>
      <c r="AD51" s="441"/>
    </row>
    <row r="52" spans="1:32" ht="27" customHeight="1">
      <c r="A52" s="439" t="s">
        <v>292</v>
      </c>
      <c r="B52" s="440"/>
      <c r="C52" s="361" t="s">
        <v>763</v>
      </c>
      <c r="D52" s="361" t="s">
        <v>171</v>
      </c>
      <c r="E52" s="361" t="s">
        <v>868</v>
      </c>
      <c r="F52" s="431" t="s">
        <v>196</v>
      </c>
      <c r="G52" s="431"/>
      <c r="H52" s="431"/>
      <c r="I52" s="431"/>
      <c r="J52" s="431"/>
      <c r="K52" s="431"/>
      <c r="L52" s="431"/>
      <c r="M52" s="441"/>
      <c r="N52" s="360" t="s">
        <v>125</v>
      </c>
      <c r="O52" s="124" t="s">
        <v>182</v>
      </c>
      <c r="P52" s="440" t="s">
        <v>607</v>
      </c>
      <c r="Q52" s="440"/>
      <c r="R52" s="440" t="s">
        <v>829</v>
      </c>
      <c r="S52" s="440"/>
      <c r="T52" s="440"/>
      <c r="U52" s="440"/>
      <c r="V52" s="431" t="s">
        <v>914</v>
      </c>
      <c r="W52" s="431"/>
      <c r="X52" s="431"/>
      <c r="Y52" s="431"/>
      <c r="Z52" s="431"/>
      <c r="AA52" s="431"/>
      <c r="AB52" s="431"/>
      <c r="AC52" s="431"/>
      <c r="AD52" s="441"/>
    </row>
    <row r="53" spans="1:32" ht="27" customHeight="1">
      <c r="A53" s="439" t="s">
        <v>292</v>
      </c>
      <c r="B53" s="440"/>
      <c r="C53" s="361" t="s">
        <v>194</v>
      </c>
      <c r="D53" s="361" t="s">
        <v>123</v>
      </c>
      <c r="E53" s="361" t="s">
        <v>869</v>
      </c>
      <c r="F53" s="431" t="s">
        <v>196</v>
      </c>
      <c r="G53" s="431"/>
      <c r="H53" s="431"/>
      <c r="I53" s="431"/>
      <c r="J53" s="431"/>
      <c r="K53" s="431"/>
      <c r="L53" s="431"/>
      <c r="M53" s="441"/>
      <c r="N53" s="360" t="s">
        <v>125</v>
      </c>
      <c r="O53" s="124" t="s">
        <v>182</v>
      </c>
      <c r="P53" s="440" t="s">
        <v>159</v>
      </c>
      <c r="Q53" s="440"/>
      <c r="R53" s="440" t="s">
        <v>915</v>
      </c>
      <c r="S53" s="440"/>
      <c r="T53" s="440"/>
      <c r="U53" s="440"/>
      <c r="V53" s="431" t="s">
        <v>130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292</v>
      </c>
      <c r="B54" s="440"/>
      <c r="C54" s="361" t="s">
        <v>182</v>
      </c>
      <c r="D54" s="361" t="s">
        <v>909</v>
      </c>
      <c r="E54" s="361" t="s">
        <v>766</v>
      </c>
      <c r="F54" s="431" t="s">
        <v>911</v>
      </c>
      <c r="G54" s="431"/>
      <c r="H54" s="431"/>
      <c r="I54" s="431"/>
      <c r="J54" s="431"/>
      <c r="K54" s="431"/>
      <c r="L54" s="431"/>
      <c r="M54" s="441"/>
      <c r="N54" s="360"/>
      <c r="O54" s="124"/>
      <c r="P54" s="440"/>
      <c r="Q54" s="440"/>
      <c r="R54" s="440"/>
      <c r="S54" s="440"/>
      <c r="T54" s="440"/>
      <c r="U54" s="440"/>
      <c r="V54" s="431"/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292</v>
      </c>
      <c r="B55" s="440"/>
      <c r="C55" s="361" t="s">
        <v>191</v>
      </c>
      <c r="D55" s="361" t="s">
        <v>159</v>
      </c>
      <c r="E55" s="361" t="s">
        <v>858</v>
      </c>
      <c r="F55" s="431" t="s">
        <v>912</v>
      </c>
      <c r="G55" s="431"/>
      <c r="H55" s="431"/>
      <c r="I55" s="431"/>
      <c r="J55" s="431"/>
      <c r="K55" s="431"/>
      <c r="L55" s="431"/>
      <c r="M55" s="441"/>
      <c r="N55" s="360"/>
      <c r="O55" s="124"/>
      <c r="P55" s="440"/>
      <c r="Q55" s="440"/>
      <c r="R55" s="440"/>
      <c r="S55" s="440"/>
      <c r="T55" s="440"/>
      <c r="U55" s="440"/>
      <c r="V55" s="431"/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/>
      <c r="B56" s="440"/>
      <c r="C56" s="361"/>
      <c r="D56" s="361"/>
      <c r="E56" s="361"/>
      <c r="F56" s="431"/>
      <c r="G56" s="431"/>
      <c r="H56" s="431"/>
      <c r="I56" s="431"/>
      <c r="J56" s="431"/>
      <c r="K56" s="431"/>
      <c r="L56" s="431"/>
      <c r="M56" s="441"/>
      <c r="N56" s="360"/>
      <c r="O56" s="124"/>
      <c r="P56" s="446"/>
      <c r="Q56" s="447"/>
      <c r="R56" s="440"/>
      <c r="S56" s="440"/>
      <c r="T56" s="440"/>
      <c r="U56" s="440"/>
      <c r="V56" s="431"/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/>
      <c r="B57" s="440"/>
      <c r="C57" s="361"/>
      <c r="D57" s="361"/>
      <c r="E57" s="361"/>
      <c r="F57" s="431"/>
      <c r="G57" s="431"/>
      <c r="H57" s="431"/>
      <c r="I57" s="431"/>
      <c r="J57" s="431"/>
      <c r="K57" s="431"/>
      <c r="L57" s="431"/>
      <c r="M57" s="441"/>
      <c r="N57" s="360"/>
      <c r="O57" s="124"/>
      <c r="P57" s="446"/>
      <c r="Q57" s="447"/>
      <c r="R57" s="440"/>
      <c r="S57" s="440"/>
      <c r="T57" s="440"/>
      <c r="U57" s="440"/>
      <c r="V57" s="431"/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/>
      <c r="B58" s="440"/>
      <c r="C58" s="361"/>
      <c r="D58" s="361"/>
      <c r="E58" s="361"/>
      <c r="F58" s="431"/>
      <c r="G58" s="431"/>
      <c r="H58" s="431"/>
      <c r="I58" s="431"/>
      <c r="J58" s="431"/>
      <c r="K58" s="431"/>
      <c r="L58" s="431"/>
      <c r="M58" s="441"/>
      <c r="N58" s="360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361"/>
      <c r="D59" s="361"/>
      <c r="E59" s="361"/>
      <c r="F59" s="431"/>
      <c r="G59" s="431"/>
      <c r="H59" s="431"/>
      <c r="I59" s="431"/>
      <c r="J59" s="431"/>
      <c r="K59" s="431"/>
      <c r="L59" s="431"/>
      <c r="M59" s="441"/>
      <c r="N59" s="360"/>
      <c r="O59" s="124"/>
      <c r="P59" s="440"/>
      <c r="Q59" s="440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  <c r="AF59" s="93">
        <f>8*3000</f>
        <v>24000</v>
      </c>
    </row>
    <row r="60" spans="1:32" ht="27" customHeight="1" thickBot="1">
      <c r="A60" s="442"/>
      <c r="B60" s="443"/>
      <c r="C60" s="363"/>
      <c r="D60" s="363"/>
      <c r="E60" s="363"/>
      <c r="F60" s="489"/>
      <c r="G60" s="489"/>
      <c r="H60" s="489"/>
      <c r="I60" s="489"/>
      <c r="J60" s="489"/>
      <c r="K60" s="489"/>
      <c r="L60" s="489"/>
      <c r="M60" s="490"/>
      <c r="N60" s="362"/>
      <c r="O60" s="120"/>
      <c r="P60" s="443"/>
      <c r="Q60" s="443"/>
      <c r="R60" s="443"/>
      <c r="S60" s="443"/>
      <c r="T60" s="443"/>
      <c r="U60" s="443"/>
      <c r="V60" s="444"/>
      <c r="W60" s="444"/>
      <c r="X60" s="444"/>
      <c r="Y60" s="444"/>
      <c r="Z60" s="444"/>
      <c r="AA60" s="444"/>
      <c r="AB60" s="444"/>
      <c r="AC60" s="444"/>
      <c r="AD60" s="445"/>
      <c r="AF60" s="93">
        <f>16*3000</f>
        <v>48000</v>
      </c>
    </row>
    <row r="61" spans="1:32" ht="27.75" thickBot="1">
      <c r="A61" s="437" t="s">
        <v>916</v>
      </c>
      <c r="B61" s="437"/>
      <c r="C61" s="437"/>
      <c r="D61" s="437"/>
      <c r="E61" s="43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38" t="s">
        <v>113</v>
      </c>
      <c r="B62" s="435"/>
      <c r="C62" s="364" t="s">
        <v>2</v>
      </c>
      <c r="D62" s="364" t="s">
        <v>37</v>
      </c>
      <c r="E62" s="364" t="s">
        <v>3</v>
      </c>
      <c r="F62" s="435" t="s">
        <v>110</v>
      </c>
      <c r="G62" s="435"/>
      <c r="H62" s="435"/>
      <c r="I62" s="435"/>
      <c r="J62" s="435"/>
      <c r="K62" s="435" t="s">
        <v>39</v>
      </c>
      <c r="L62" s="435"/>
      <c r="M62" s="364" t="s">
        <v>40</v>
      </c>
      <c r="N62" s="435" t="s">
        <v>41</v>
      </c>
      <c r="O62" s="435"/>
      <c r="P62" s="432" t="s">
        <v>42</v>
      </c>
      <c r="Q62" s="434"/>
      <c r="R62" s="432" t="s">
        <v>43</v>
      </c>
      <c r="S62" s="433"/>
      <c r="T62" s="433"/>
      <c r="U62" s="433"/>
      <c r="V62" s="433"/>
      <c r="W62" s="433"/>
      <c r="X62" s="433"/>
      <c r="Y62" s="433"/>
      <c r="Z62" s="433"/>
      <c r="AA62" s="434"/>
      <c r="AB62" s="435" t="s">
        <v>44</v>
      </c>
      <c r="AC62" s="435"/>
      <c r="AD62" s="436"/>
      <c r="AF62" s="93">
        <f>SUM(AF59:AF61)</f>
        <v>96000</v>
      </c>
    </row>
    <row r="63" spans="1:32" ht="25.5" customHeight="1">
      <c r="A63" s="427">
        <v>1</v>
      </c>
      <c r="B63" s="428"/>
      <c r="C63" s="123" t="s">
        <v>292</v>
      </c>
      <c r="D63" s="367"/>
      <c r="E63" s="365" t="s">
        <v>909</v>
      </c>
      <c r="F63" s="429" t="s">
        <v>766</v>
      </c>
      <c r="G63" s="421"/>
      <c r="H63" s="421"/>
      <c r="I63" s="421"/>
      <c r="J63" s="421"/>
      <c r="K63" s="421" t="s">
        <v>379</v>
      </c>
      <c r="L63" s="421"/>
      <c r="M63" s="54" t="s">
        <v>365</v>
      </c>
      <c r="N63" s="421">
        <v>4</v>
      </c>
      <c r="O63" s="421"/>
      <c r="P63" s="430">
        <v>100</v>
      </c>
      <c r="Q63" s="430"/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21"/>
      <c r="AC63" s="421"/>
      <c r="AD63" s="422"/>
      <c r="AF63" s="53"/>
    </row>
    <row r="64" spans="1:32" ht="25.5" customHeight="1">
      <c r="A64" s="427">
        <v>2</v>
      </c>
      <c r="B64" s="428"/>
      <c r="C64" s="123" t="s">
        <v>114</v>
      </c>
      <c r="D64" s="367"/>
      <c r="E64" s="365" t="s">
        <v>116</v>
      </c>
      <c r="F64" s="429" t="s">
        <v>917</v>
      </c>
      <c r="G64" s="421"/>
      <c r="H64" s="421"/>
      <c r="I64" s="421"/>
      <c r="J64" s="421"/>
      <c r="K64" s="421">
        <v>8301</v>
      </c>
      <c r="L64" s="421"/>
      <c r="M64" s="54" t="s">
        <v>918</v>
      </c>
      <c r="N64" s="421">
        <v>12</v>
      </c>
      <c r="O64" s="421"/>
      <c r="P64" s="430">
        <v>250</v>
      </c>
      <c r="Q64" s="430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21"/>
      <c r="AC64" s="421"/>
      <c r="AD64" s="422"/>
      <c r="AF64" s="53"/>
    </row>
    <row r="65" spans="1:32" ht="25.5" customHeight="1">
      <c r="A65" s="427">
        <v>3</v>
      </c>
      <c r="B65" s="428"/>
      <c r="C65" s="123"/>
      <c r="D65" s="367"/>
      <c r="E65" s="365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4</v>
      </c>
      <c r="B66" s="428"/>
      <c r="C66" s="123"/>
      <c r="D66" s="367"/>
      <c r="E66" s="365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5</v>
      </c>
      <c r="B67" s="428"/>
      <c r="C67" s="123"/>
      <c r="D67" s="367"/>
      <c r="E67" s="365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6</v>
      </c>
      <c r="B68" s="428"/>
      <c r="C68" s="123"/>
      <c r="D68" s="367"/>
      <c r="E68" s="365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7</v>
      </c>
      <c r="B69" s="428"/>
      <c r="C69" s="123"/>
      <c r="D69" s="367"/>
      <c r="E69" s="365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8</v>
      </c>
      <c r="B70" s="428"/>
      <c r="C70" s="123"/>
      <c r="D70" s="367"/>
      <c r="E70" s="365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6.25" customHeight="1" thickBot="1">
      <c r="A71" s="401" t="s">
        <v>919</v>
      </c>
      <c r="B71" s="401"/>
      <c r="C71" s="401"/>
      <c r="D71" s="401"/>
      <c r="E71" s="401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02" t="s">
        <v>113</v>
      </c>
      <c r="B72" s="403"/>
      <c r="C72" s="366" t="s">
        <v>2</v>
      </c>
      <c r="D72" s="366" t="s">
        <v>37</v>
      </c>
      <c r="E72" s="366" t="s">
        <v>3</v>
      </c>
      <c r="F72" s="403" t="s">
        <v>38</v>
      </c>
      <c r="G72" s="403"/>
      <c r="H72" s="403"/>
      <c r="I72" s="403"/>
      <c r="J72" s="403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03" t="s">
        <v>49</v>
      </c>
      <c r="U72" s="403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395">
        <v>1</v>
      </c>
      <c r="B73" s="396"/>
      <c r="C73" s="368" t="s">
        <v>114</v>
      </c>
      <c r="D73" s="368"/>
      <c r="E73" s="71" t="s">
        <v>119</v>
      </c>
      <c r="F73" s="410" t="s">
        <v>120</v>
      </c>
      <c r="G73" s="411"/>
      <c r="H73" s="411"/>
      <c r="I73" s="411"/>
      <c r="J73" s="412"/>
      <c r="K73" s="413" t="s">
        <v>115</v>
      </c>
      <c r="L73" s="414"/>
      <c r="M73" s="414"/>
      <c r="N73" s="414"/>
      <c r="O73" s="414"/>
      <c r="P73" s="414"/>
      <c r="Q73" s="414"/>
      <c r="R73" s="414"/>
      <c r="S73" s="415"/>
      <c r="T73" s="416">
        <v>42901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88">
        <f>A73+1</f>
        <v>2</v>
      </c>
      <c r="B74" s="389"/>
      <c r="C74" s="367" t="s">
        <v>114</v>
      </c>
      <c r="D74" s="367"/>
      <c r="E74" s="35" t="s">
        <v>116</v>
      </c>
      <c r="F74" s="389" t="s">
        <v>117</v>
      </c>
      <c r="G74" s="389"/>
      <c r="H74" s="389"/>
      <c r="I74" s="389"/>
      <c r="J74" s="389"/>
      <c r="K74" s="404" t="s">
        <v>118</v>
      </c>
      <c r="L74" s="405"/>
      <c r="M74" s="405"/>
      <c r="N74" s="405"/>
      <c r="O74" s="405"/>
      <c r="P74" s="405"/>
      <c r="Q74" s="405"/>
      <c r="R74" s="405"/>
      <c r="S74" s="406"/>
      <c r="T74" s="407">
        <v>42867</v>
      </c>
      <c r="U74" s="407"/>
      <c r="V74" s="407"/>
      <c r="W74" s="407"/>
      <c r="X74" s="408"/>
      <c r="Y74" s="408"/>
      <c r="Z74" s="408"/>
      <c r="AA74" s="408"/>
      <c r="AB74" s="408"/>
      <c r="AC74" s="408"/>
      <c r="AD74" s="409"/>
      <c r="AF74" s="53"/>
    </row>
    <row r="75" spans="1:32" ht="30" customHeight="1">
      <c r="A75" s="388">
        <f t="shared" ref="A75:A81" si="11">A74+1</f>
        <v>3</v>
      </c>
      <c r="B75" s="389"/>
      <c r="C75" s="367"/>
      <c r="D75" s="367"/>
      <c r="E75" s="35"/>
      <c r="F75" s="389"/>
      <c r="G75" s="389"/>
      <c r="H75" s="389"/>
      <c r="I75" s="389"/>
      <c r="J75" s="389"/>
      <c r="K75" s="404"/>
      <c r="L75" s="405"/>
      <c r="M75" s="405"/>
      <c r="N75" s="405"/>
      <c r="O75" s="405"/>
      <c r="P75" s="405"/>
      <c r="Q75" s="405"/>
      <c r="R75" s="405"/>
      <c r="S75" s="406"/>
      <c r="T75" s="407"/>
      <c r="U75" s="407"/>
      <c r="V75" s="407"/>
      <c r="W75" s="407"/>
      <c r="X75" s="408"/>
      <c r="Y75" s="408"/>
      <c r="Z75" s="408"/>
      <c r="AA75" s="408"/>
      <c r="AB75" s="408"/>
      <c r="AC75" s="408"/>
      <c r="AD75" s="409"/>
      <c r="AF75" s="53"/>
    </row>
    <row r="76" spans="1:32" ht="30" customHeight="1">
      <c r="A76" s="388">
        <f t="shared" si="11"/>
        <v>4</v>
      </c>
      <c r="B76" s="389"/>
      <c r="C76" s="367"/>
      <c r="D76" s="367"/>
      <c r="E76" s="35"/>
      <c r="F76" s="389"/>
      <c r="G76" s="389"/>
      <c r="H76" s="389"/>
      <c r="I76" s="389"/>
      <c r="J76" s="389"/>
      <c r="K76" s="404"/>
      <c r="L76" s="405"/>
      <c r="M76" s="405"/>
      <c r="N76" s="405"/>
      <c r="O76" s="405"/>
      <c r="P76" s="405"/>
      <c r="Q76" s="405"/>
      <c r="R76" s="405"/>
      <c r="S76" s="406"/>
      <c r="T76" s="407"/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si="11"/>
        <v>5</v>
      </c>
      <c r="B77" s="389"/>
      <c r="C77" s="367"/>
      <c r="D77" s="367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11"/>
        <v>6</v>
      </c>
      <c r="B78" s="389"/>
      <c r="C78" s="367"/>
      <c r="D78" s="367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11"/>
        <v>7</v>
      </c>
      <c r="B79" s="389"/>
      <c r="C79" s="367"/>
      <c r="D79" s="367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11"/>
        <v>8</v>
      </c>
      <c r="B80" s="389"/>
      <c r="C80" s="367"/>
      <c r="D80" s="367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11"/>
        <v>9</v>
      </c>
      <c r="B81" s="389"/>
      <c r="C81" s="367"/>
      <c r="D81" s="367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6" thickBot="1">
      <c r="A82" s="401" t="s">
        <v>920</v>
      </c>
      <c r="B82" s="401"/>
      <c r="C82" s="401"/>
      <c r="D82" s="401"/>
      <c r="E82" s="401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2" t="s">
        <v>113</v>
      </c>
      <c r="B83" s="403"/>
      <c r="C83" s="393" t="s">
        <v>52</v>
      </c>
      <c r="D83" s="393"/>
      <c r="E83" s="393" t="s">
        <v>53</v>
      </c>
      <c r="F83" s="393"/>
      <c r="G83" s="393"/>
      <c r="H83" s="393"/>
      <c r="I83" s="393"/>
      <c r="J83" s="393"/>
      <c r="K83" s="393" t="s">
        <v>54</v>
      </c>
      <c r="L83" s="393"/>
      <c r="M83" s="393"/>
      <c r="N83" s="393"/>
      <c r="O83" s="393"/>
      <c r="P83" s="393"/>
      <c r="Q83" s="393"/>
      <c r="R83" s="393"/>
      <c r="S83" s="393"/>
      <c r="T83" s="393" t="s">
        <v>55</v>
      </c>
      <c r="U83" s="393"/>
      <c r="V83" s="393" t="s">
        <v>56</v>
      </c>
      <c r="W83" s="393"/>
      <c r="X83" s="393"/>
      <c r="Y83" s="393" t="s">
        <v>51</v>
      </c>
      <c r="Z83" s="393"/>
      <c r="AA83" s="393"/>
      <c r="AB83" s="393"/>
      <c r="AC83" s="393"/>
      <c r="AD83" s="394"/>
      <c r="AF83" s="53"/>
    </row>
    <row r="84" spans="1:32" ht="30.75" customHeight="1">
      <c r="A84" s="395">
        <v>1</v>
      </c>
      <c r="B84" s="396"/>
      <c r="C84" s="397">
        <v>9</v>
      </c>
      <c r="D84" s="397"/>
      <c r="E84" s="397" t="s">
        <v>848</v>
      </c>
      <c r="F84" s="397"/>
      <c r="G84" s="397"/>
      <c r="H84" s="397"/>
      <c r="I84" s="397"/>
      <c r="J84" s="397"/>
      <c r="K84" s="397" t="s">
        <v>849</v>
      </c>
      <c r="L84" s="397"/>
      <c r="M84" s="397"/>
      <c r="N84" s="397"/>
      <c r="O84" s="397"/>
      <c r="P84" s="397"/>
      <c r="Q84" s="397"/>
      <c r="R84" s="397"/>
      <c r="S84" s="397"/>
      <c r="T84" s="397" t="s">
        <v>850</v>
      </c>
      <c r="U84" s="397"/>
      <c r="V84" s="398" t="s">
        <v>851</v>
      </c>
      <c r="W84" s="398"/>
      <c r="X84" s="398"/>
      <c r="Y84" s="399"/>
      <c r="Z84" s="399"/>
      <c r="AA84" s="399"/>
      <c r="AB84" s="399"/>
      <c r="AC84" s="399"/>
      <c r="AD84" s="400"/>
      <c r="AF84" s="53"/>
    </row>
    <row r="85" spans="1:32" ht="30.75" customHeight="1">
      <c r="A85" s="388">
        <v>2</v>
      </c>
      <c r="B85" s="389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1"/>
      <c r="U85" s="391"/>
      <c r="V85" s="392"/>
      <c r="W85" s="392"/>
      <c r="X85" s="392"/>
      <c r="Y85" s="381"/>
      <c r="Z85" s="381"/>
      <c r="AA85" s="381"/>
      <c r="AB85" s="381"/>
      <c r="AC85" s="381"/>
      <c r="AD85" s="382"/>
      <c r="AF85" s="53"/>
    </row>
    <row r="86" spans="1:32" ht="30.75" customHeight="1" thickBot="1">
      <c r="A86" s="383">
        <v>3</v>
      </c>
      <c r="B86" s="384"/>
      <c r="C86" s="385"/>
      <c r="D86" s="385"/>
      <c r="E86" s="385"/>
      <c r="F86" s="385"/>
      <c r="G86" s="385"/>
      <c r="H86" s="385"/>
      <c r="I86" s="385"/>
      <c r="J86" s="385"/>
      <c r="K86" s="385"/>
      <c r="L86" s="385"/>
      <c r="M86" s="385"/>
      <c r="N86" s="385"/>
      <c r="O86" s="385"/>
      <c r="P86" s="385"/>
      <c r="Q86" s="385"/>
      <c r="R86" s="385"/>
      <c r="S86" s="385"/>
      <c r="T86" s="385"/>
      <c r="U86" s="385"/>
      <c r="V86" s="385"/>
      <c r="W86" s="385"/>
      <c r="X86" s="385"/>
      <c r="Y86" s="386"/>
      <c r="Z86" s="386"/>
      <c r="AA86" s="386"/>
      <c r="AB86" s="386"/>
      <c r="AC86" s="386"/>
      <c r="AD86" s="38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2CFA-7B63-4B9C-9408-2919052B48A7}">
  <sheetPr>
    <pageSetUpPr fitToPage="1"/>
  </sheetPr>
  <dimension ref="A1:AF88"/>
  <sheetViews>
    <sheetView tabSelected="1" zoomScale="72" zoomScaleNormal="72" zoomScaleSheetLayoutView="70" workbookViewId="0">
      <selection activeCell="K78" sqref="K78:S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7" t="s">
        <v>921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8"/>
      <c r="B3" s="478"/>
      <c r="C3" s="478"/>
      <c r="D3" s="478"/>
      <c r="E3" s="478"/>
      <c r="F3" s="478"/>
      <c r="G3" s="478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9" t="s">
        <v>0</v>
      </c>
      <c r="B4" s="481" t="s">
        <v>1</v>
      </c>
      <c r="C4" s="481" t="s">
        <v>2</v>
      </c>
      <c r="D4" s="484" t="s">
        <v>3</v>
      </c>
      <c r="E4" s="486" t="s">
        <v>4</v>
      </c>
      <c r="F4" s="484" t="s">
        <v>5</v>
      </c>
      <c r="G4" s="481" t="s">
        <v>6</v>
      </c>
      <c r="H4" s="487" t="s">
        <v>7</v>
      </c>
      <c r="I4" s="467" t="s">
        <v>8</v>
      </c>
      <c r="J4" s="468"/>
      <c r="K4" s="468"/>
      <c r="L4" s="468"/>
      <c r="M4" s="468"/>
      <c r="N4" s="468"/>
      <c r="O4" s="469"/>
      <c r="P4" s="470" t="s">
        <v>9</v>
      </c>
      <c r="Q4" s="471"/>
      <c r="R4" s="472" t="s">
        <v>10</v>
      </c>
      <c r="S4" s="472"/>
      <c r="T4" s="472"/>
      <c r="U4" s="472"/>
      <c r="V4" s="472"/>
      <c r="W4" s="473" t="s">
        <v>11</v>
      </c>
      <c r="X4" s="472"/>
      <c r="Y4" s="472"/>
      <c r="Z4" s="472"/>
      <c r="AA4" s="474"/>
      <c r="AB4" s="475" t="s">
        <v>12</v>
      </c>
      <c r="AC4" s="448" t="s">
        <v>13</v>
      </c>
      <c r="AD4" s="448" t="s">
        <v>14</v>
      </c>
      <c r="AE4" s="58"/>
    </row>
    <row r="5" spans="1:32" ht="51" customHeight="1" thickBot="1">
      <c r="A5" s="480"/>
      <c r="B5" s="482"/>
      <c r="C5" s="483"/>
      <c r="D5" s="485"/>
      <c r="E5" s="485"/>
      <c r="F5" s="485"/>
      <c r="G5" s="482"/>
      <c r="H5" s="488"/>
      <c r="I5" s="59" t="s">
        <v>15</v>
      </c>
      <c r="J5" s="60" t="s">
        <v>16</v>
      </c>
      <c r="K5" s="369" t="s">
        <v>17</v>
      </c>
      <c r="L5" s="369" t="s">
        <v>18</v>
      </c>
      <c r="M5" s="369" t="s">
        <v>19</v>
      </c>
      <c r="N5" s="36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6"/>
      <c r="AC5" s="449"/>
      <c r="AD5" s="449"/>
      <c r="AE5" s="58"/>
    </row>
    <row r="6" spans="1:32" ht="27" customHeight="1">
      <c r="A6" s="107">
        <v>1</v>
      </c>
      <c r="B6" s="11" t="s">
        <v>57</v>
      </c>
      <c r="C6" s="37" t="s">
        <v>121</v>
      </c>
      <c r="D6" s="55"/>
      <c r="E6" s="57" t="s">
        <v>124</v>
      </c>
      <c r="F6" s="33" t="s">
        <v>122</v>
      </c>
      <c r="G6" s="12">
        <v>4</v>
      </c>
      <c r="H6" s="13">
        <v>25</v>
      </c>
      <c r="I6" s="34">
        <v>200000</v>
      </c>
      <c r="J6" s="5">
        <v>36840</v>
      </c>
      <c r="K6" s="15">
        <f>L6+22392+20736+26096+36780+36776+36836</f>
        <v>179616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>$AD$23</f>
        <v>0.4443046143146529</v>
      </c>
      <c r="AF6" s="93">
        <f t="shared" ref="AF6:AF22" si="7">A6</f>
        <v>1</v>
      </c>
    </row>
    <row r="7" spans="1:32" ht="27" customHeight="1">
      <c r="A7" s="107">
        <v>2</v>
      </c>
      <c r="B7" s="11" t="s">
        <v>57</v>
      </c>
      <c r="C7" s="37" t="s">
        <v>127</v>
      </c>
      <c r="D7" s="55"/>
      <c r="E7" s="57" t="s">
        <v>128</v>
      </c>
      <c r="F7" s="33" t="s">
        <v>122</v>
      </c>
      <c r="G7" s="12">
        <v>1</v>
      </c>
      <c r="H7" s="13">
        <v>32</v>
      </c>
      <c r="I7" s="34">
        <v>1000</v>
      </c>
      <c r="J7" s="5">
        <v>800</v>
      </c>
      <c r="K7" s="15">
        <f>L7+1050+1106+1627+1762+1317+800</f>
        <v>7662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>$AD$23</f>
        <v>0.4443046143146529</v>
      </c>
      <c r="AF7" s="93">
        <f t="shared" si="7"/>
        <v>2</v>
      </c>
    </row>
    <row r="8" spans="1:32" ht="27" customHeight="1">
      <c r="A8" s="108">
        <v>3</v>
      </c>
      <c r="B8" s="11" t="s">
        <v>57</v>
      </c>
      <c r="C8" s="37" t="s">
        <v>292</v>
      </c>
      <c r="D8" s="55" t="s">
        <v>152</v>
      </c>
      <c r="E8" s="57" t="s">
        <v>855</v>
      </c>
      <c r="F8" s="33" t="s">
        <v>134</v>
      </c>
      <c r="G8" s="36">
        <v>1</v>
      </c>
      <c r="H8" s="38">
        <v>25</v>
      </c>
      <c r="I8" s="7">
        <v>25000</v>
      </c>
      <c r="J8" s="5">
        <v>6004</v>
      </c>
      <c r="K8" s="15">
        <f>L8+4360+4180+3188+4010</f>
        <v>21742</v>
      </c>
      <c r="L8" s="15">
        <f>3196+2808</f>
        <v>6004</v>
      </c>
      <c r="M8" s="16">
        <f t="shared" si="0"/>
        <v>6004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>$AD$23</f>
        <v>0.4443046143146529</v>
      </c>
      <c r="AF8" s="93">
        <f t="shared" si="7"/>
        <v>3</v>
      </c>
    </row>
    <row r="9" spans="1:32" ht="27" customHeight="1">
      <c r="A9" s="109">
        <v>4</v>
      </c>
      <c r="B9" s="11" t="s">
        <v>57</v>
      </c>
      <c r="C9" s="11" t="s">
        <v>125</v>
      </c>
      <c r="D9" s="55" t="s">
        <v>159</v>
      </c>
      <c r="E9" s="57" t="s">
        <v>915</v>
      </c>
      <c r="F9" s="12" t="s">
        <v>214</v>
      </c>
      <c r="G9" s="12">
        <v>1</v>
      </c>
      <c r="H9" s="13">
        <v>25</v>
      </c>
      <c r="I9" s="7">
        <v>1000</v>
      </c>
      <c r="J9" s="14">
        <v>1142</v>
      </c>
      <c r="K9" s="15">
        <f>L9</f>
        <v>1142</v>
      </c>
      <c r="L9" s="15">
        <v>1142</v>
      </c>
      <c r="M9" s="16">
        <f t="shared" si="0"/>
        <v>1142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/>
      <c r="T9" s="17"/>
      <c r="U9" s="17"/>
      <c r="V9" s="18"/>
      <c r="W9" s="19">
        <v>16</v>
      </c>
      <c r="X9" s="17"/>
      <c r="Y9" s="20"/>
      <c r="Z9" s="20"/>
      <c r="AA9" s="21"/>
      <c r="AB9" s="8">
        <f t="shared" si="4"/>
        <v>1</v>
      </c>
      <c r="AC9" s="9">
        <f t="shared" si="5"/>
        <v>0.33333333333333331</v>
      </c>
      <c r="AD9" s="10">
        <f t="shared" si="6"/>
        <v>0.33333333333333331</v>
      </c>
      <c r="AE9" s="39">
        <f>$AD$23</f>
        <v>0.4443046143146529</v>
      </c>
      <c r="AF9" s="93">
        <f t="shared" si="7"/>
        <v>4</v>
      </c>
    </row>
    <row r="10" spans="1:32" ht="27" customHeight="1">
      <c r="A10" s="109">
        <v>4</v>
      </c>
      <c r="B10" s="11" t="s">
        <v>57</v>
      </c>
      <c r="C10" s="11" t="s">
        <v>125</v>
      </c>
      <c r="D10" s="55" t="s">
        <v>607</v>
      </c>
      <c r="E10" s="57" t="s">
        <v>829</v>
      </c>
      <c r="F10" s="12" t="s">
        <v>132</v>
      </c>
      <c r="G10" s="12">
        <v>1</v>
      </c>
      <c r="H10" s="13">
        <v>25</v>
      </c>
      <c r="I10" s="7">
        <v>500</v>
      </c>
      <c r="J10" s="14">
        <v>819</v>
      </c>
      <c r="K10" s="15">
        <f>L10</f>
        <v>819</v>
      </c>
      <c r="L10" s="15">
        <v>819</v>
      </c>
      <c r="M10" s="16">
        <f t="shared" ref="M10" si="8">L10-N10</f>
        <v>819</v>
      </c>
      <c r="N10" s="16">
        <v>0</v>
      </c>
      <c r="O10" s="62">
        <f t="shared" ref="O10" si="9">IF(L10=0,"0",N10/L10)</f>
        <v>0</v>
      </c>
      <c r="P10" s="42">
        <f t="shared" ref="P10" si="10">IF(L10=0,"0",(24-Q10))</f>
        <v>5</v>
      </c>
      <c r="Q10" s="43">
        <f t="shared" ref="Q10" si="11">SUM(R10:AA10)</f>
        <v>19</v>
      </c>
      <c r="R10" s="7"/>
      <c r="S10" s="6"/>
      <c r="T10" s="17"/>
      <c r="U10" s="17"/>
      <c r="V10" s="18"/>
      <c r="W10" s="19">
        <v>19</v>
      </c>
      <c r="X10" s="17"/>
      <c r="Y10" s="20"/>
      <c r="Z10" s="20"/>
      <c r="AA10" s="21"/>
      <c r="AB10" s="8">
        <f t="shared" ref="AB10" si="12">IF(J10=0,"0",(L10/J10))</f>
        <v>1</v>
      </c>
      <c r="AC10" s="9">
        <f t="shared" ref="AC10" si="13">IF(P10=0,"0",(P10/24))</f>
        <v>0.20833333333333334</v>
      </c>
      <c r="AD10" s="10">
        <f t="shared" ref="AD10" si="14">AC10*AB10*(1-O10)</f>
        <v>0.20833333333333334</v>
      </c>
      <c r="AE10" s="39">
        <f>$AD$23</f>
        <v>0.4443046143146529</v>
      </c>
      <c r="AF10" s="93">
        <f t="shared" ref="AF10" si="15">A10</f>
        <v>4</v>
      </c>
    </row>
    <row r="11" spans="1:32" ht="27" customHeight="1">
      <c r="A11" s="109">
        <v>5</v>
      </c>
      <c r="B11" s="11" t="s">
        <v>57</v>
      </c>
      <c r="C11" s="11" t="s">
        <v>362</v>
      </c>
      <c r="D11" s="55" t="s">
        <v>784</v>
      </c>
      <c r="E11" s="57" t="s">
        <v>757</v>
      </c>
      <c r="F11" s="12" t="s">
        <v>132</v>
      </c>
      <c r="G11" s="12">
        <v>2</v>
      </c>
      <c r="H11" s="13">
        <v>25</v>
      </c>
      <c r="I11" s="7">
        <v>60000</v>
      </c>
      <c r="J11" s="14">
        <v>4400</v>
      </c>
      <c r="K11" s="15">
        <f>L11+12622+7434+9660+7252+11746+1216+14818+20930</f>
        <v>90072</v>
      </c>
      <c r="L11" s="15">
        <f>2197*2</f>
        <v>4394</v>
      </c>
      <c r="M11" s="16">
        <f t="shared" si="0"/>
        <v>4394</v>
      </c>
      <c r="N11" s="16">
        <v>0</v>
      </c>
      <c r="O11" s="62">
        <f t="shared" si="1"/>
        <v>0</v>
      </c>
      <c r="P11" s="42">
        <f t="shared" si="2"/>
        <v>4</v>
      </c>
      <c r="Q11" s="43">
        <f t="shared" si="3"/>
        <v>20</v>
      </c>
      <c r="R11" s="7"/>
      <c r="S11" s="6"/>
      <c r="T11" s="17"/>
      <c r="U11" s="17"/>
      <c r="V11" s="18"/>
      <c r="W11" s="19">
        <v>20</v>
      </c>
      <c r="X11" s="17"/>
      <c r="Y11" s="20"/>
      <c r="Z11" s="20"/>
      <c r="AA11" s="21"/>
      <c r="AB11" s="8">
        <f t="shared" si="4"/>
        <v>0.99863636363636366</v>
      </c>
      <c r="AC11" s="9">
        <f t="shared" si="5"/>
        <v>0.16666666666666666</v>
      </c>
      <c r="AD11" s="10">
        <f t="shared" si="6"/>
        <v>0.16643939393939394</v>
      </c>
      <c r="AE11" s="39">
        <f>$AD$23</f>
        <v>0.4443046143146529</v>
      </c>
      <c r="AF11" s="93">
        <f t="shared" si="7"/>
        <v>5</v>
      </c>
    </row>
    <row r="12" spans="1:32" ht="27" customHeight="1">
      <c r="A12" s="109">
        <v>5</v>
      </c>
      <c r="B12" s="11" t="s">
        <v>57</v>
      </c>
      <c r="C12" s="11" t="s">
        <v>114</v>
      </c>
      <c r="D12" s="55" t="s">
        <v>245</v>
      </c>
      <c r="E12" s="57" t="s">
        <v>922</v>
      </c>
      <c r="F12" s="12" t="s">
        <v>170</v>
      </c>
      <c r="G12" s="12">
        <v>1</v>
      </c>
      <c r="H12" s="13">
        <v>25</v>
      </c>
      <c r="I12" s="7">
        <v>9000</v>
      </c>
      <c r="J12" s="14">
        <v>903</v>
      </c>
      <c r="K12" s="15">
        <f>L12</f>
        <v>903</v>
      </c>
      <c r="L12" s="15">
        <f>491+412</f>
        <v>903</v>
      </c>
      <c r="M12" s="16">
        <f t="shared" ref="M12" si="16">L12-N12</f>
        <v>903</v>
      </c>
      <c r="N12" s="16">
        <v>0</v>
      </c>
      <c r="O12" s="62">
        <f t="shared" ref="O12" si="17">IF(L12=0,"0",N12/L12)</f>
        <v>0</v>
      </c>
      <c r="P12" s="42">
        <f t="shared" ref="P12" si="18">IF(L12=0,"0",(24-Q12))</f>
        <v>5</v>
      </c>
      <c r="Q12" s="43">
        <f t="shared" ref="Q12" si="19">SUM(R12:AA12)</f>
        <v>19</v>
      </c>
      <c r="R12" s="7"/>
      <c r="S12" s="6">
        <v>19</v>
      </c>
      <c r="T12" s="17"/>
      <c r="U12" s="17"/>
      <c r="V12" s="18"/>
      <c r="W12" s="19"/>
      <c r="X12" s="17"/>
      <c r="Y12" s="20"/>
      <c r="Z12" s="20"/>
      <c r="AA12" s="21"/>
      <c r="AB12" s="8">
        <f t="shared" ref="AB12" si="20">IF(J12=0,"0",(L12/J12))</f>
        <v>1</v>
      </c>
      <c r="AC12" s="9">
        <f t="shared" ref="AC12" si="21">IF(P12=0,"0",(P12/24))</f>
        <v>0.20833333333333334</v>
      </c>
      <c r="AD12" s="10">
        <f t="shared" ref="AD12" si="22">AC12*AB12*(1-O12)</f>
        <v>0.20833333333333334</v>
      </c>
      <c r="AE12" s="39">
        <f>$AD$23</f>
        <v>0.4443046143146529</v>
      </c>
      <c r="AF12" s="93">
        <f t="shared" ref="AF12" si="23">A12</f>
        <v>5</v>
      </c>
    </row>
    <row r="13" spans="1:32" ht="27" customHeight="1">
      <c r="A13" s="109">
        <v>6</v>
      </c>
      <c r="B13" s="11" t="s">
        <v>57</v>
      </c>
      <c r="C13" s="37" t="s">
        <v>292</v>
      </c>
      <c r="D13" s="55" t="s">
        <v>159</v>
      </c>
      <c r="E13" s="57" t="s">
        <v>863</v>
      </c>
      <c r="F13" s="12" t="s">
        <v>864</v>
      </c>
      <c r="G13" s="12">
        <v>1</v>
      </c>
      <c r="H13" s="13">
        <v>25</v>
      </c>
      <c r="I13" s="34">
        <v>25000</v>
      </c>
      <c r="J13" s="5">
        <v>3840</v>
      </c>
      <c r="K13" s="15">
        <f>L13+2801+5801+2006</f>
        <v>14444</v>
      </c>
      <c r="L13" s="15">
        <f>692+3144</f>
        <v>3836</v>
      </c>
      <c r="M13" s="16">
        <f t="shared" si="0"/>
        <v>3836</v>
      </c>
      <c r="N13" s="16">
        <v>0</v>
      </c>
      <c r="O13" s="62">
        <f t="shared" si="1"/>
        <v>0</v>
      </c>
      <c r="P13" s="42">
        <f t="shared" si="2"/>
        <v>18</v>
      </c>
      <c r="Q13" s="43">
        <f t="shared" si="3"/>
        <v>6</v>
      </c>
      <c r="R13" s="7"/>
      <c r="S13" s="6">
        <v>6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0.99895833333333328</v>
      </c>
      <c r="AC13" s="9">
        <f t="shared" si="5"/>
        <v>0.75</v>
      </c>
      <c r="AD13" s="10">
        <f t="shared" si="6"/>
        <v>0.74921874999999993</v>
      </c>
      <c r="AE13" s="39">
        <f>$AD$23</f>
        <v>0.4443046143146529</v>
      </c>
      <c r="AF13" s="93">
        <f t="shared" si="7"/>
        <v>6</v>
      </c>
    </row>
    <row r="14" spans="1:32" ht="27" customHeight="1">
      <c r="A14" s="109">
        <v>7</v>
      </c>
      <c r="B14" s="11" t="s">
        <v>57</v>
      </c>
      <c r="C14" s="11" t="s">
        <v>889</v>
      </c>
      <c r="D14" s="55"/>
      <c r="E14" s="57" t="s">
        <v>899</v>
      </c>
      <c r="F14" s="12" t="s">
        <v>122</v>
      </c>
      <c r="G14" s="12">
        <v>3</v>
      </c>
      <c r="H14" s="13">
        <v>25</v>
      </c>
      <c r="I14" s="7">
        <v>30000</v>
      </c>
      <c r="J14" s="14">
        <v>28686</v>
      </c>
      <c r="K14" s="15">
        <f>L14+19125+30309</f>
        <v>78120</v>
      </c>
      <c r="L14" s="15">
        <f>4889*3+4673*3</f>
        <v>28686</v>
      </c>
      <c r="M14" s="16">
        <f t="shared" si="0"/>
        <v>28686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1</v>
      </c>
      <c r="AD14" s="10">
        <f t="shared" si="6"/>
        <v>1</v>
      </c>
      <c r="AE14" s="39">
        <f>$AD$23</f>
        <v>0.4443046143146529</v>
      </c>
      <c r="AF14" s="93">
        <f t="shared" si="7"/>
        <v>7</v>
      </c>
    </row>
    <row r="15" spans="1:32" ht="27" customHeight="1">
      <c r="A15" s="109">
        <v>8</v>
      </c>
      <c r="B15" s="11" t="s">
        <v>57</v>
      </c>
      <c r="C15" s="11" t="s">
        <v>292</v>
      </c>
      <c r="D15" s="55" t="s">
        <v>123</v>
      </c>
      <c r="E15" s="57" t="s">
        <v>890</v>
      </c>
      <c r="F15" s="12" t="s">
        <v>295</v>
      </c>
      <c r="G15" s="12">
        <v>1</v>
      </c>
      <c r="H15" s="13">
        <v>25</v>
      </c>
      <c r="I15" s="7">
        <v>20000</v>
      </c>
      <c r="J15" s="14">
        <v>1924</v>
      </c>
      <c r="K15" s="15">
        <f>L15+9828+10598</f>
        <v>22350</v>
      </c>
      <c r="L15" s="15">
        <f>962*2</f>
        <v>1924</v>
      </c>
      <c r="M15" s="16">
        <f t="shared" si="0"/>
        <v>1924</v>
      </c>
      <c r="N15" s="16">
        <v>0</v>
      </c>
      <c r="O15" s="62">
        <f t="shared" si="1"/>
        <v>0</v>
      </c>
      <c r="P15" s="42">
        <f t="shared" si="2"/>
        <v>6</v>
      </c>
      <c r="Q15" s="43">
        <f t="shared" si="3"/>
        <v>18</v>
      </c>
      <c r="R15" s="7"/>
      <c r="S15" s="6"/>
      <c r="T15" s="17"/>
      <c r="U15" s="17"/>
      <c r="V15" s="18"/>
      <c r="W15" s="19">
        <v>18</v>
      </c>
      <c r="X15" s="17"/>
      <c r="Y15" s="20"/>
      <c r="Z15" s="20"/>
      <c r="AA15" s="21"/>
      <c r="AB15" s="8">
        <f t="shared" si="4"/>
        <v>1</v>
      </c>
      <c r="AC15" s="9">
        <f t="shared" si="5"/>
        <v>0.25</v>
      </c>
      <c r="AD15" s="10">
        <f t="shared" si="6"/>
        <v>0.25</v>
      </c>
      <c r="AE15" s="39">
        <f>$AD$23</f>
        <v>0.4443046143146529</v>
      </c>
      <c r="AF15" s="93">
        <f t="shared" si="7"/>
        <v>8</v>
      </c>
    </row>
    <row r="16" spans="1:32" ht="27" customHeight="1">
      <c r="A16" s="108">
        <v>9</v>
      </c>
      <c r="B16" s="11" t="s">
        <v>57</v>
      </c>
      <c r="C16" s="37" t="s">
        <v>114</v>
      </c>
      <c r="D16" s="55" t="s">
        <v>123</v>
      </c>
      <c r="E16" s="57" t="s">
        <v>670</v>
      </c>
      <c r="F16" s="33" t="s">
        <v>447</v>
      </c>
      <c r="G16" s="36">
        <v>1</v>
      </c>
      <c r="H16" s="38">
        <v>25</v>
      </c>
      <c r="I16" s="7">
        <v>1000</v>
      </c>
      <c r="J16" s="5">
        <v>1068</v>
      </c>
      <c r="K16" s="15">
        <f>L16+1068</f>
        <v>1068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>
        <v>24</v>
      </c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>$AD$23</f>
        <v>0.4443046143146529</v>
      </c>
      <c r="AF16" s="93">
        <f t="shared" si="7"/>
        <v>9</v>
      </c>
    </row>
    <row r="17" spans="1:32" ht="27" customHeight="1">
      <c r="A17" s="108">
        <v>10</v>
      </c>
      <c r="B17" s="11" t="s">
        <v>57</v>
      </c>
      <c r="C17" s="11" t="s">
        <v>362</v>
      </c>
      <c r="D17" s="55" t="s">
        <v>126</v>
      </c>
      <c r="E17" s="57" t="s">
        <v>760</v>
      </c>
      <c r="F17" s="12" t="s">
        <v>736</v>
      </c>
      <c r="G17" s="12">
        <v>1</v>
      </c>
      <c r="H17" s="13">
        <v>24</v>
      </c>
      <c r="I17" s="34">
        <v>13000</v>
      </c>
      <c r="J17" s="14">
        <v>1275</v>
      </c>
      <c r="K17" s="15">
        <f>L17+2100+1275</f>
        <v>3375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>
        <v>24</v>
      </c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>$AD$23</f>
        <v>0.4443046143146529</v>
      </c>
      <c r="AF17" s="93">
        <f t="shared" si="7"/>
        <v>10</v>
      </c>
    </row>
    <row r="18" spans="1:32" ht="27" customHeight="1">
      <c r="A18" s="108">
        <v>11</v>
      </c>
      <c r="B18" s="11" t="s">
        <v>57</v>
      </c>
      <c r="C18" s="37" t="s">
        <v>292</v>
      </c>
      <c r="D18" s="55" t="s">
        <v>171</v>
      </c>
      <c r="E18" s="57" t="s">
        <v>856</v>
      </c>
      <c r="F18" s="33" t="s">
        <v>134</v>
      </c>
      <c r="G18" s="36">
        <v>1</v>
      </c>
      <c r="H18" s="38">
        <v>25</v>
      </c>
      <c r="I18" s="7">
        <v>25000</v>
      </c>
      <c r="J18" s="5">
        <v>6243</v>
      </c>
      <c r="K18" s="15">
        <f>L18+4499+5214+3718</f>
        <v>19674</v>
      </c>
      <c r="L18" s="15">
        <f>2887+3356</f>
        <v>6243</v>
      </c>
      <c r="M18" s="16">
        <f t="shared" si="0"/>
        <v>6243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>$AD$23</f>
        <v>0.4443046143146529</v>
      </c>
      <c r="AF18" s="93">
        <f t="shared" si="7"/>
        <v>11</v>
      </c>
    </row>
    <row r="19" spans="1:32" ht="27" customHeight="1">
      <c r="A19" s="108">
        <v>12</v>
      </c>
      <c r="B19" s="11" t="s">
        <v>57</v>
      </c>
      <c r="C19" s="11" t="s">
        <v>880</v>
      </c>
      <c r="D19" s="55" t="s">
        <v>881</v>
      </c>
      <c r="E19" s="57" t="s">
        <v>882</v>
      </c>
      <c r="F19" s="12">
        <v>8301</v>
      </c>
      <c r="G19" s="12">
        <v>1</v>
      </c>
      <c r="H19" s="13">
        <v>24</v>
      </c>
      <c r="I19" s="34">
        <v>500</v>
      </c>
      <c r="J19" s="14">
        <v>1238</v>
      </c>
      <c r="K19" s="15">
        <f>L19+1238</f>
        <v>1238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>$AD$23</f>
        <v>0.4443046143146529</v>
      </c>
      <c r="AF19" s="93">
        <f t="shared" si="7"/>
        <v>12</v>
      </c>
    </row>
    <row r="20" spans="1:32" ht="27" customHeight="1">
      <c r="A20" s="109">
        <v>13</v>
      </c>
      <c r="B20" s="11" t="s">
        <v>57</v>
      </c>
      <c r="C20" s="37" t="s">
        <v>292</v>
      </c>
      <c r="D20" s="55" t="s">
        <v>123</v>
      </c>
      <c r="E20" s="57" t="s">
        <v>857</v>
      </c>
      <c r="F20" s="12" t="s">
        <v>295</v>
      </c>
      <c r="G20" s="36">
        <v>1</v>
      </c>
      <c r="H20" s="38">
        <v>30</v>
      </c>
      <c r="I20" s="7">
        <v>25000</v>
      </c>
      <c r="J20" s="5">
        <v>5510</v>
      </c>
      <c r="K20" s="15">
        <f>L20+4599+5522+2773+4743</f>
        <v>23141</v>
      </c>
      <c r="L20" s="15">
        <f>2572+2932</f>
        <v>5504</v>
      </c>
      <c r="M20" s="16">
        <f t="shared" si="0"/>
        <v>5504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0.99891107078039931</v>
      </c>
      <c r="AC20" s="9">
        <f t="shared" si="5"/>
        <v>1</v>
      </c>
      <c r="AD20" s="10">
        <f t="shared" si="6"/>
        <v>0.99891107078039931</v>
      </c>
      <c r="AE20" s="39">
        <f>$AD$23</f>
        <v>0.4443046143146529</v>
      </c>
      <c r="AF20" s="93">
        <f t="shared" si="7"/>
        <v>13</v>
      </c>
    </row>
    <row r="21" spans="1:32" ht="27" customHeight="1">
      <c r="A21" s="109">
        <v>14</v>
      </c>
      <c r="B21" s="11" t="s">
        <v>57</v>
      </c>
      <c r="C21" s="37" t="s">
        <v>114</v>
      </c>
      <c r="D21" s="55" t="s">
        <v>123</v>
      </c>
      <c r="E21" s="57" t="s">
        <v>900</v>
      </c>
      <c r="F21" s="33" t="s">
        <v>129</v>
      </c>
      <c r="G21" s="12">
        <v>1</v>
      </c>
      <c r="H21" s="13">
        <v>25</v>
      </c>
      <c r="I21" s="34">
        <v>10000</v>
      </c>
      <c r="J21" s="5">
        <v>3035</v>
      </c>
      <c r="K21" s="15">
        <f>L21+2681+5181</f>
        <v>10897</v>
      </c>
      <c r="L21" s="15">
        <f>593+2442</f>
        <v>3035</v>
      </c>
      <c r="M21" s="16">
        <f t="shared" si="0"/>
        <v>3035</v>
      </c>
      <c r="N21" s="16">
        <v>0</v>
      </c>
      <c r="O21" s="62">
        <f t="shared" si="1"/>
        <v>0</v>
      </c>
      <c r="P21" s="42">
        <f t="shared" si="2"/>
        <v>18</v>
      </c>
      <c r="Q21" s="43">
        <f t="shared" si="3"/>
        <v>6</v>
      </c>
      <c r="R21" s="7"/>
      <c r="S21" s="6"/>
      <c r="T21" s="17"/>
      <c r="U21" s="17"/>
      <c r="V21" s="18"/>
      <c r="W21" s="19">
        <v>6</v>
      </c>
      <c r="X21" s="17"/>
      <c r="Y21" s="20"/>
      <c r="Z21" s="20"/>
      <c r="AA21" s="21"/>
      <c r="AB21" s="8">
        <f t="shared" si="4"/>
        <v>1</v>
      </c>
      <c r="AC21" s="9">
        <f t="shared" si="5"/>
        <v>0.75</v>
      </c>
      <c r="AD21" s="10">
        <f t="shared" si="6"/>
        <v>0.75</v>
      </c>
      <c r="AE21" s="39">
        <f>$AD$23</f>
        <v>0.4443046143146529</v>
      </c>
      <c r="AF21" s="93">
        <f t="shared" si="7"/>
        <v>14</v>
      </c>
    </row>
    <row r="22" spans="1:32" ht="27" customHeight="1" thickBot="1">
      <c r="A22" s="109">
        <v>15</v>
      </c>
      <c r="B22" s="11" t="s">
        <v>57</v>
      </c>
      <c r="C22" s="11" t="s">
        <v>121</v>
      </c>
      <c r="D22" s="55"/>
      <c r="E22" s="56" t="s">
        <v>124</v>
      </c>
      <c r="F22" s="12" t="s">
        <v>122</v>
      </c>
      <c r="G22" s="12">
        <v>4</v>
      </c>
      <c r="H22" s="38">
        <v>20</v>
      </c>
      <c r="I22" s="7">
        <v>300000</v>
      </c>
      <c r="J22" s="14">
        <v>21344</v>
      </c>
      <c r="K22" s="15">
        <f>L22+44148+50632+51280+53100+49924+22424+45520+51608+29260+21344</f>
        <v>419240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12</v>
      </c>
      <c r="R22" s="7"/>
      <c r="S22" s="6"/>
      <c r="T22" s="17"/>
      <c r="U22" s="17"/>
      <c r="V22" s="18">
        <v>12</v>
      </c>
      <c r="W22" s="19"/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>$AD$23</f>
        <v>0.4443046143146529</v>
      </c>
      <c r="AF22" s="93">
        <f t="shared" si="7"/>
        <v>15</v>
      </c>
    </row>
    <row r="23" spans="1:32" ht="31.5" customHeight="1" thickBot="1">
      <c r="A23" s="450" t="s">
        <v>34</v>
      </c>
      <c r="B23" s="451"/>
      <c r="C23" s="451"/>
      <c r="D23" s="451"/>
      <c r="E23" s="451"/>
      <c r="F23" s="451"/>
      <c r="G23" s="451"/>
      <c r="H23" s="452"/>
      <c r="I23" s="25">
        <f t="shared" ref="I23:N23" si="24">SUM(I6:I22)</f>
        <v>746000</v>
      </c>
      <c r="J23" s="22">
        <f t="shared" si="24"/>
        <v>125071</v>
      </c>
      <c r="K23" s="23">
        <f t="shared" si="24"/>
        <v>895503</v>
      </c>
      <c r="L23" s="24">
        <f t="shared" si="24"/>
        <v>62490</v>
      </c>
      <c r="M23" s="23">
        <f t="shared" si="24"/>
        <v>62490</v>
      </c>
      <c r="N23" s="24">
        <f t="shared" si="24"/>
        <v>0</v>
      </c>
      <c r="O23" s="44">
        <f t="shared" si="1"/>
        <v>0</v>
      </c>
      <c r="P23" s="45">
        <f t="shared" ref="P23:AA23" si="25">SUM(P6:P22)</f>
        <v>160</v>
      </c>
      <c r="Q23" s="46">
        <f t="shared" si="25"/>
        <v>236</v>
      </c>
      <c r="R23" s="26">
        <f t="shared" si="25"/>
        <v>48</v>
      </c>
      <c r="S23" s="27">
        <f t="shared" si="25"/>
        <v>25</v>
      </c>
      <c r="T23" s="27">
        <f t="shared" si="25"/>
        <v>0</v>
      </c>
      <c r="U23" s="27">
        <f t="shared" si="25"/>
        <v>0</v>
      </c>
      <c r="V23" s="28">
        <f t="shared" si="25"/>
        <v>36</v>
      </c>
      <c r="W23" s="29">
        <f t="shared" si="25"/>
        <v>127</v>
      </c>
      <c r="X23" s="30">
        <f t="shared" si="25"/>
        <v>0</v>
      </c>
      <c r="Y23" s="30">
        <f t="shared" si="25"/>
        <v>0</v>
      </c>
      <c r="Z23" s="30">
        <f t="shared" si="25"/>
        <v>0</v>
      </c>
      <c r="AA23" s="30">
        <f t="shared" si="25"/>
        <v>0</v>
      </c>
      <c r="AB23" s="31">
        <f>SUM(AB6:AB22)/15</f>
        <v>0.73310038451667303</v>
      </c>
      <c r="AC23" s="4">
        <f>SUM(AC6:AC22)/15</f>
        <v>0.44444444444444442</v>
      </c>
      <c r="AD23" s="4">
        <f>SUM(AD6:AD22)/15</f>
        <v>0.4443046143146529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4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453" t="s">
        <v>45</v>
      </c>
      <c r="B50" s="453"/>
      <c r="C50" s="453"/>
      <c r="D50" s="453"/>
      <c r="E50" s="453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454" t="s">
        <v>923</v>
      </c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6"/>
      <c r="N51" s="457" t="s">
        <v>927</v>
      </c>
      <c r="O51" s="458"/>
      <c r="P51" s="458"/>
      <c r="Q51" s="458"/>
      <c r="R51" s="458"/>
      <c r="S51" s="458"/>
      <c r="T51" s="458"/>
      <c r="U51" s="458"/>
      <c r="V51" s="458"/>
      <c r="W51" s="458"/>
      <c r="X51" s="458"/>
      <c r="Y51" s="458"/>
      <c r="Z51" s="458"/>
      <c r="AA51" s="458"/>
      <c r="AB51" s="458"/>
      <c r="AC51" s="458"/>
      <c r="AD51" s="459"/>
    </row>
    <row r="52" spans="1:32" ht="27" customHeight="1">
      <c r="A52" s="460" t="s">
        <v>2</v>
      </c>
      <c r="B52" s="461"/>
      <c r="C52" s="370" t="s">
        <v>46</v>
      </c>
      <c r="D52" s="370" t="s">
        <v>47</v>
      </c>
      <c r="E52" s="370" t="s">
        <v>108</v>
      </c>
      <c r="F52" s="461" t="s">
        <v>107</v>
      </c>
      <c r="G52" s="461"/>
      <c r="H52" s="461"/>
      <c r="I52" s="461"/>
      <c r="J52" s="461"/>
      <c r="K52" s="461"/>
      <c r="L52" s="461"/>
      <c r="M52" s="462"/>
      <c r="N52" s="73" t="s">
        <v>112</v>
      </c>
      <c r="O52" s="370" t="s">
        <v>46</v>
      </c>
      <c r="P52" s="463" t="s">
        <v>47</v>
      </c>
      <c r="Q52" s="464"/>
      <c r="R52" s="463" t="s">
        <v>38</v>
      </c>
      <c r="S52" s="465"/>
      <c r="T52" s="465"/>
      <c r="U52" s="464"/>
      <c r="V52" s="463" t="s">
        <v>48</v>
      </c>
      <c r="W52" s="465"/>
      <c r="X52" s="465"/>
      <c r="Y52" s="465"/>
      <c r="Z52" s="465"/>
      <c r="AA52" s="465"/>
      <c r="AB52" s="465"/>
      <c r="AC52" s="465"/>
      <c r="AD52" s="466"/>
    </row>
    <row r="53" spans="1:32" ht="27" customHeight="1">
      <c r="A53" s="439" t="s">
        <v>292</v>
      </c>
      <c r="B53" s="440"/>
      <c r="C53" s="372" t="s">
        <v>181</v>
      </c>
      <c r="D53" s="372" t="s">
        <v>152</v>
      </c>
      <c r="E53" s="372" t="s">
        <v>867</v>
      </c>
      <c r="F53" s="431" t="s">
        <v>924</v>
      </c>
      <c r="G53" s="431"/>
      <c r="H53" s="431"/>
      <c r="I53" s="431"/>
      <c r="J53" s="431"/>
      <c r="K53" s="431"/>
      <c r="L53" s="431"/>
      <c r="M53" s="441"/>
      <c r="N53" s="371" t="s">
        <v>125</v>
      </c>
      <c r="O53" s="124" t="s">
        <v>306</v>
      </c>
      <c r="P53" s="440" t="s">
        <v>152</v>
      </c>
      <c r="Q53" s="440"/>
      <c r="R53" s="440" t="s">
        <v>153</v>
      </c>
      <c r="S53" s="440"/>
      <c r="T53" s="440"/>
      <c r="U53" s="440"/>
      <c r="V53" s="431" t="s">
        <v>130</v>
      </c>
      <c r="W53" s="431"/>
      <c r="X53" s="431"/>
      <c r="Y53" s="431"/>
      <c r="Z53" s="431"/>
      <c r="AA53" s="431"/>
      <c r="AB53" s="431"/>
      <c r="AC53" s="431"/>
      <c r="AD53" s="441"/>
    </row>
    <row r="54" spans="1:32" ht="27" customHeight="1">
      <c r="A54" s="439" t="s">
        <v>125</v>
      </c>
      <c r="B54" s="440"/>
      <c r="C54" s="372" t="s">
        <v>182</v>
      </c>
      <c r="D54" s="372" t="s">
        <v>607</v>
      </c>
      <c r="E54" s="372" t="s">
        <v>829</v>
      </c>
      <c r="F54" s="431" t="s">
        <v>925</v>
      </c>
      <c r="G54" s="431"/>
      <c r="H54" s="431"/>
      <c r="I54" s="431"/>
      <c r="J54" s="431"/>
      <c r="K54" s="431"/>
      <c r="L54" s="431"/>
      <c r="M54" s="441"/>
      <c r="N54" s="371" t="s">
        <v>125</v>
      </c>
      <c r="O54" s="124" t="s">
        <v>182</v>
      </c>
      <c r="P54" s="440" t="s">
        <v>159</v>
      </c>
      <c r="Q54" s="440"/>
      <c r="R54" s="440" t="s">
        <v>892</v>
      </c>
      <c r="S54" s="440"/>
      <c r="T54" s="440"/>
      <c r="U54" s="440"/>
      <c r="V54" s="431" t="s">
        <v>130</v>
      </c>
      <c r="W54" s="431"/>
      <c r="X54" s="431"/>
      <c r="Y54" s="431"/>
      <c r="Z54" s="431"/>
      <c r="AA54" s="431"/>
      <c r="AB54" s="431"/>
      <c r="AC54" s="431"/>
      <c r="AD54" s="441"/>
    </row>
    <row r="55" spans="1:32" ht="27" customHeight="1">
      <c r="A55" s="439" t="s">
        <v>125</v>
      </c>
      <c r="B55" s="440"/>
      <c r="C55" s="372" t="s">
        <v>182</v>
      </c>
      <c r="D55" s="372" t="s">
        <v>159</v>
      </c>
      <c r="E55" s="372" t="s">
        <v>915</v>
      </c>
      <c r="F55" s="431" t="s">
        <v>130</v>
      </c>
      <c r="G55" s="431"/>
      <c r="H55" s="431"/>
      <c r="I55" s="431"/>
      <c r="J55" s="431"/>
      <c r="K55" s="431"/>
      <c r="L55" s="431"/>
      <c r="M55" s="441"/>
      <c r="N55" s="371" t="s">
        <v>125</v>
      </c>
      <c r="O55" s="124" t="s">
        <v>271</v>
      </c>
      <c r="P55" s="440" t="s">
        <v>126</v>
      </c>
      <c r="Q55" s="440"/>
      <c r="R55" s="440" t="s">
        <v>659</v>
      </c>
      <c r="S55" s="440"/>
      <c r="T55" s="440"/>
      <c r="U55" s="440"/>
      <c r="V55" s="431" t="s">
        <v>130</v>
      </c>
      <c r="W55" s="431"/>
      <c r="X55" s="431"/>
      <c r="Y55" s="431"/>
      <c r="Z55" s="431"/>
      <c r="AA55" s="431"/>
      <c r="AB55" s="431"/>
      <c r="AC55" s="431"/>
      <c r="AD55" s="441"/>
    </row>
    <row r="56" spans="1:32" ht="27" customHeight="1">
      <c r="A56" s="439" t="s">
        <v>362</v>
      </c>
      <c r="B56" s="440"/>
      <c r="C56" s="372" t="s">
        <v>188</v>
      </c>
      <c r="D56" s="372"/>
      <c r="E56" s="372" t="s">
        <v>757</v>
      </c>
      <c r="F56" s="431" t="s">
        <v>206</v>
      </c>
      <c r="G56" s="431"/>
      <c r="H56" s="431"/>
      <c r="I56" s="431"/>
      <c r="J56" s="431"/>
      <c r="K56" s="431"/>
      <c r="L56" s="431"/>
      <c r="M56" s="441"/>
      <c r="N56" s="371" t="s">
        <v>362</v>
      </c>
      <c r="O56" s="124" t="s">
        <v>276</v>
      </c>
      <c r="P56" s="440" t="s">
        <v>126</v>
      </c>
      <c r="Q56" s="440"/>
      <c r="R56" s="440" t="s">
        <v>893</v>
      </c>
      <c r="S56" s="440"/>
      <c r="T56" s="440"/>
      <c r="U56" s="440"/>
      <c r="V56" s="431" t="s">
        <v>388</v>
      </c>
      <c r="W56" s="431"/>
      <c r="X56" s="431"/>
      <c r="Y56" s="431"/>
      <c r="Z56" s="431"/>
      <c r="AA56" s="431"/>
      <c r="AB56" s="431"/>
      <c r="AC56" s="431"/>
      <c r="AD56" s="441"/>
    </row>
    <row r="57" spans="1:32" ht="27" customHeight="1">
      <c r="A57" s="439" t="s">
        <v>292</v>
      </c>
      <c r="B57" s="440"/>
      <c r="C57" s="372" t="s">
        <v>191</v>
      </c>
      <c r="D57" s="372" t="s">
        <v>159</v>
      </c>
      <c r="E57" s="372" t="s">
        <v>858</v>
      </c>
      <c r="F57" s="431" t="s">
        <v>196</v>
      </c>
      <c r="G57" s="431"/>
      <c r="H57" s="431"/>
      <c r="I57" s="431"/>
      <c r="J57" s="431"/>
      <c r="K57" s="431"/>
      <c r="L57" s="431"/>
      <c r="M57" s="441"/>
      <c r="N57" s="371" t="s">
        <v>114</v>
      </c>
      <c r="O57" s="124" t="s">
        <v>209</v>
      </c>
      <c r="P57" s="440" t="s">
        <v>245</v>
      </c>
      <c r="Q57" s="440"/>
      <c r="R57" s="440" t="s">
        <v>922</v>
      </c>
      <c r="S57" s="440"/>
      <c r="T57" s="440"/>
      <c r="U57" s="440"/>
      <c r="V57" s="431" t="s">
        <v>196</v>
      </c>
      <c r="W57" s="431"/>
      <c r="X57" s="431"/>
      <c r="Y57" s="431"/>
      <c r="Z57" s="431"/>
      <c r="AA57" s="431"/>
      <c r="AB57" s="431"/>
      <c r="AC57" s="431"/>
      <c r="AD57" s="441"/>
    </row>
    <row r="58" spans="1:32" ht="27" customHeight="1">
      <c r="A58" s="439" t="s">
        <v>114</v>
      </c>
      <c r="B58" s="440"/>
      <c r="C58" s="372" t="s">
        <v>188</v>
      </c>
      <c r="D58" s="372" t="s">
        <v>245</v>
      </c>
      <c r="E58" s="372" t="s">
        <v>922</v>
      </c>
      <c r="F58" s="431" t="s">
        <v>926</v>
      </c>
      <c r="G58" s="431"/>
      <c r="H58" s="431"/>
      <c r="I58" s="431"/>
      <c r="J58" s="431"/>
      <c r="K58" s="431"/>
      <c r="L58" s="431"/>
      <c r="M58" s="441"/>
      <c r="N58" s="371"/>
      <c r="O58" s="124"/>
      <c r="P58" s="446"/>
      <c r="Q58" s="447"/>
      <c r="R58" s="440"/>
      <c r="S58" s="440"/>
      <c r="T58" s="440"/>
      <c r="U58" s="440"/>
      <c r="V58" s="431"/>
      <c r="W58" s="431"/>
      <c r="X58" s="431"/>
      <c r="Y58" s="431"/>
      <c r="Z58" s="431"/>
      <c r="AA58" s="431"/>
      <c r="AB58" s="431"/>
      <c r="AC58" s="431"/>
      <c r="AD58" s="441"/>
    </row>
    <row r="59" spans="1:32" ht="27" customHeight="1">
      <c r="A59" s="439"/>
      <c r="B59" s="440"/>
      <c r="C59" s="372"/>
      <c r="D59" s="372"/>
      <c r="E59" s="372"/>
      <c r="F59" s="431"/>
      <c r="G59" s="431"/>
      <c r="H59" s="431"/>
      <c r="I59" s="431"/>
      <c r="J59" s="431"/>
      <c r="K59" s="431"/>
      <c r="L59" s="431"/>
      <c r="M59" s="441"/>
      <c r="N59" s="371"/>
      <c r="O59" s="124"/>
      <c r="P59" s="446"/>
      <c r="Q59" s="447"/>
      <c r="R59" s="440"/>
      <c r="S59" s="440"/>
      <c r="T59" s="440"/>
      <c r="U59" s="440"/>
      <c r="V59" s="431"/>
      <c r="W59" s="431"/>
      <c r="X59" s="431"/>
      <c r="Y59" s="431"/>
      <c r="Z59" s="431"/>
      <c r="AA59" s="431"/>
      <c r="AB59" s="431"/>
      <c r="AC59" s="431"/>
      <c r="AD59" s="441"/>
    </row>
    <row r="60" spans="1:32" ht="27" customHeight="1">
      <c r="A60" s="439"/>
      <c r="B60" s="440"/>
      <c r="C60" s="372"/>
      <c r="D60" s="372"/>
      <c r="E60" s="372"/>
      <c r="F60" s="431"/>
      <c r="G60" s="431"/>
      <c r="H60" s="431"/>
      <c r="I60" s="431"/>
      <c r="J60" s="431"/>
      <c r="K60" s="431"/>
      <c r="L60" s="431"/>
      <c r="M60" s="441"/>
      <c r="N60" s="371"/>
      <c r="O60" s="124"/>
      <c r="P60" s="446"/>
      <c r="Q60" s="447"/>
      <c r="R60" s="440"/>
      <c r="S60" s="440"/>
      <c r="T60" s="440"/>
      <c r="U60" s="440"/>
      <c r="V60" s="431"/>
      <c r="W60" s="431"/>
      <c r="X60" s="431"/>
      <c r="Y60" s="431"/>
      <c r="Z60" s="431"/>
      <c r="AA60" s="431"/>
      <c r="AB60" s="431"/>
      <c r="AC60" s="431"/>
      <c r="AD60" s="441"/>
    </row>
    <row r="61" spans="1:32" ht="27" customHeight="1">
      <c r="A61" s="439"/>
      <c r="B61" s="440"/>
      <c r="C61" s="372"/>
      <c r="D61" s="372"/>
      <c r="E61" s="372"/>
      <c r="F61" s="431"/>
      <c r="G61" s="431"/>
      <c r="H61" s="431"/>
      <c r="I61" s="431"/>
      <c r="J61" s="431"/>
      <c r="K61" s="431"/>
      <c r="L61" s="431"/>
      <c r="M61" s="441"/>
      <c r="N61" s="371"/>
      <c r="O61" s="124"/>
      <c r="P61" s="440"/>
      <c r="Q61" s="440"/>
      <c r="R61" s="440"/>
      <c r="S61" s="440"/>
      <c r="T61" s="440"/>
      <c r="U61" s="440"/>
      <c r="V61" s="431"/>
      <c r="W61" s="431"/>
      <c r="X61" s="431"/>
      <c r="Y61" s="431"/>
      <c r="Z61" s="431"/>
      <c r="AA61" s="431"/>
      <c r="AB61" s="431"/>
      <c r="AC61" s="431"/>
      <c r="AD61" s="441"/>
      <c r="AF61" s="93">
        <f>8*3000</f>
        <v>24000</v>
      </c>
    </row>
    <row r="62" spans="1:32" ht="27" customHeight="1" thickBot="1">
      <c r="A62" s="442"/>
      <c r="B62" s="443"/>
      <c r="C62" s="374"/>
      <c r="D62" s="374"/>
      <c r="E62" s="374"/>
      <c r="F62" s="489"/>
      <c r="G62" s="489"/>
      <c r="H62" s="489"/>
      <c r="I62" s="489"/>
      <c r="J62" s="489"/>
      <c r="K62" s="489"/>
      <c r="L62" s="489"/>
      <c r="M62" s="490"/>
      <c r="N62" s="373"/>
      <c r="O62" s="120"/>
      <c r="P62" s="443"/>
      <c r="Q62" s="443"/>
      <c r="R62" s="443"/>
      <c r="S62" s="443"/>
      <c r="T62" s="443"/>
      <c r="U62" s="443"/>
      <c r="V62" s="444"/>
      <c r="W62" s="444"/>
      <c r="X62" s="444"/>
      <c r="Y62" s="444"/>
      <c r="Z62" s="444"/>
      <c r="AA62" s="444"/>
      <c r="AB62" s="444"/>
      <c r="AC62" s="444"/>
      <c r="AD62" s="445"/>
      <c r="AF62" s="93">
        <f>16*3000</f>
        <v>48000</v>
      </c>
    </row>
    <row r="63" spans="1:32" ht="27.75" thickBot="1">
      <c r="A63" s="437" t="s">
        <v>928</v>
      </c>
      <c r="B63" s="437"/>
      <c r="C63" s="437"/>
      <c r="D63" s="437"/>
      <c r="E63" s="437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3">
        <v>24000</v>
      </c>
    </row>
    <row r="64" spans="1:32" ht="29.25" customHeight="1" thickBot="1">
      <c r="A64" s="438" t="s">
        <v>113</v>
      </c>
      <c r="B64" s="435"/>
      <c r="C64" s="375" t="s">
        <v>2</v>
      </c>
      <c r="D64" s="375" t="s">
        <v>37</v>
      </c>
      <c r="E64" s="375" t="s">
        <v>3</v>
      </c>
      <c r="F64" s="435" t="s">
        <v>110</v>
      </c>
      <c r="G64" s="435"/>
      <c r="H64" s="435"/>
      <c r="I64" s="435"/>
      <c r="J64" s="435"/>
      <c r="K64" s="435" t="s">
        <v>39</v>
      </c>
      <c r="L64" s="435"/>
      <c r="M64" s="375" t="s">
        <v>40</v>
      </c>
      <c r="N64" s="435" t="s">
        <v>41</v>
      </c>
      <c r="O64" s="435"/>
      <c r="P64" s="432" t="s">
        <v>42</v>
      </c>
      <c r="Q64" s="434"/>
      <c r="R64" s="432" t="s">
        <v>43</v>
      </c>
      <c r="S64" s="433"/>
      <c r="T64" s="433"/>
      <c r="U64" s="433"/>
      <c r="V64" s="433"/>
      <c r="W64" s="433"/>
      <c r="X64" s="433"/>
      <c r="Y64" s="433"/>
      <c r="Z64" s="433"/>
      <c r="AA64" s="434"/>
      <c r="AB64" s="435" t="s">
        <v>44</v>
      </c>
      <c r="AC64" s="435"/>
      <c r="AD64" s="436"/>
      <c r="AF64" s="93">
        <f>SUM(AF61:AF63)</f>
        <v>96000</v>
      </c>
    </row>
    <row r="65" spans="1:32" ht="25.5" customHeight="1">
      <c r="A65" s="427">
        <v>1</v>
      </c>
      <c r="B65" s="428"/>
      <c r="C65" s="123"/>
      <c r="D65" s="378"/>
      <c r="E65" s="376"/>
      <c r="F65" s="429"/>
      <c r="G65" s="421"/>
      <c r="H65" s="421"/>
      <c r="I65" s="421"/>
      <c r="J65" s="421"/>
      <c r="K65" s="421"/>
      <c r="L65" s="421"/>
      <c r="M65" s="54"/>
      <c r="N65" s="421"/>
      <c r="O65" s="421"/>
      <c r="P65" s="430"/>
      <c r="Q65" s="430"/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21"/>
      <c r="AC65" s="421"/>
      <c r="AD65" s="422"/>
      <c r="AF65" s="53"/>
    </row>
    <row r="66" spans="1:32" ht="25.5" customHeight="1">
      <c r="A66" s="427">
        <v>2</v>
      </c>
      <c r="B66" s="428"/>
      <c r="C66" s="123"/>
      <c r="D66" s="378"/>
      <c r="E66" s="376"/>
      <c r="F66" s="429"/>
      <c r="G66" s="421"/>
      <c r="H66" s="421"/>
      <c r="I66" s="421"/>
      <c r="J66" s="421"/>
      <c r="K66" s="421"/>
      <c r="L66" s="421"/>
      <c r="M66" s="54"/>
      <c r="N66" s="421"/>
      <c r="O66" s="421"/>
      <c r="P66" s="430"/>
      <c r="Q66" s="430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21"/>
      <c r="AC66" s="421"/>
      <c r="AD66" s="422"/>
      <c r="AF66" s="53"/>
    </row>
    <row r="67" spans="1:32" ht="25.5" customHeight="1">
      <c r="A67" s="427">
        <v>3</v>
      </c>
      <c r="B67" s="428"/>
      <c r="C67" s="123"/>
      <c r="D67" s="378"/>
      <c r="E67" s="376"/>
      <c r="F67" s="429"/>
      <c r="G67" s="421"/>
      <c r="H67" s="421"/>
      <c r="I67" s="421"/>
      <c r="J67" s="421"/>
      <c r="K67" s="421"/>
      <c r="L67" s="421"/>
      <c r="M67" s="54"/>
      <c r="N67" s="421"/>
      <c r="O67" s="421"/>
      <c r="P67" s="430"/>
      <c r="Q67" s="430"/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21"/>
      <c r="AC67" s="421"/>
      <c r="AD67" s="422"/>
      <c r="AF67" s="53"/>
    </row>
    <row r="68" spans="1:32" ht="25.5" customHeight="1">
      <c r="A68" s="427">
        <v>4</v>
      </c>
      <c r="B68" s="428"/>
      <c r="C68" s="123"/>
      <c r="D68" s="378"/>
      <c r="E68" s="376"/>
      <c r="F68" s="429"/>
      <c r="G68" s="421"/>
      <c r="H68" s="421"/>
      <c r="I68" s="421"/>
      <c r="J68" s="421"/>
      <c r="K68" s="421"/>
      <c r="L68" s="421"/>
      <c r="M68" s="54"/>
      <c r="N68" s="421"/>
      <c r="O68" s="421"/>
      <c r="P68" s="430"/>
      <c r="Q68" s="430"/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21"/>
      <c r="AC68" s="421"/>
      <c r="AD68" s="422"/>
      <c r="AF68" s="53"/>
    </row>
    <row r="69" spans="1:32" ht="25.5" customHeight="1">
      <c r="A69" s="427">
        <v>5</v>
      </c>
      <c r="B69" s="428"/>
      <c r="C69" s="123"/>
      <c r="D69" s="378"/>
      <c r="E69" s="376"/>
      <c r="F69" s="429"/>
      <c r="G69" s="421"/>
      <c r="H69" s="421"/>
      <c r="I69" s="421"/>
      <c r="J69" s="421"/>
      <c r="K69" s="421"/>
      <c r="L69" s="421"/>
      <c r="M69" s="54"/>
      <c r="N69" s="421"/>
      <c r="O69" s="421"/>
      <c r="P69" s="430"/>
      <c r="Q69" s="430"/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21"/>
      <c r="AC69" s="421"/>
      <c r="AD69" s="422"/>
      <c r="AF69" s="53"/>
    </row>
    <row r="70" spans="1:32" ht="25.5" customHeight="1">
      <c r="A70" s="427">
        <v>6</v>
      </c>
      <c r="B70" s="428"/>
      <c r="C70" s="123"/>
      <c r="D70" s="378"/>
      <c r="E70" s="376"/>
      <c r="F70" s="429"/>
      <c r="G70" s="421"/>
      <c r="H70" s="421"/>
      <c r="I70" s="421"/>
      <c r="J70" s="421"/>
      <c r="K70" s="421"/>
      <c r="L70" s="421"/>
      <c r="M70" s="54"/>
      <c r="N70" s="421"/>
      <c r="O70" s="421"/>
      <c r="P70" s="430"/>
      <c r="Q70" s="430"/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21"/>
      <c r="AC70" s="421"/>
      <c r="AD70" s="422"/>
      <c r="AF70" s="53"/>
    </row>
    <row r="71" spans="1:32" ht="25.5" customHeight="1">
      <c r="A71" s="427">
        <v>7</v>
      </c>
      <c r="B71" s="428"/>
      <c r="C71" s="123"/>
      <c r="D71" s="378"/>
      <c r="E71" s="376"/>
      <c r="F71" s="429"/>
      <c r="G71" s="421"/>
      <c r="H71" s="421"/>
      <c r="I71" s="421"/>
      <c r="J71" s="421"/>
      <c r="K71" s="421"/>
      <c r="L71" s="421"/>
      <c r="M71" s="54"/>
      <c r="N71" s="421"/>
      <c r="O71" s="421"/>
      <c r="P71" s="430"/>
      <c r="Q71" s="430"/>
      <c r="R71" s="431"/>
      <c r="S71" s="431"/>
      <c r="T71" s="431"/>
      <c r="U71" s="431"/>
      <c r="V71" s="431"/>
      <c r="W71" s="431"/>
      <c r="X71" s="431"/>
      <c r="Y71" s="431"/>
      <c r="Z71" s="431"/>
      <c r="AA71" s="431"/>
      <c r="AB71" s="421"/>
      <c r="AC71" s="421"/>
      <c r="AD71" s="422"/>
      <c r="AF71" s="53"/>
    </row>
    <row r="72" spans="1:32" ht="25.5" customHeight="1">
      <c r="A72" s="427">
        <v>8</v>
      </c>
      <c r="B72" s="428"/>
      <c r="C72" s="123"/>
      <c r="D72" s="378"/>
      <c r="E72" s="376"/>
      <c r="F72" s="429"/>
      <c r="G72" s="421"/>
      <c r="H72" s="421"/>
      <c r="I72" s="421"/>
      <c r="J72" s="421"/>
      <c r="K72" s="421"/>
      <c r="L72" s="421"/>
      <c r="M72" s="54"/>
      <c r="N72" s="421"/>
      <c r="O72" s="421"/>
      <c r="P72" s="430"/>
      <c r="Q72" s="430"/>
      <c r="R72" s="431"/>
      <c r="S72" s="431"/>
      <c r="T72" s="431"/>
      <c r="U72" s="431"/>
      <c r="V72" s="431"/>
      <c r="W72" s="431"/>
      <c r="X72" s="431"/>
      <c r="Y72" s="431"/>
      <c r="Z72" s="431"/>
      <c r="AA72" s="431"/>
      <c r="AB72" s="421"/>
      <c r="AC72" s="421"/>
      <c r="AD72" s="422"/>
      <c r="AF72" s="53"/>
    </row>
    <row r="73" spans="1:32" ht="26.25" customHeight="1" thickBot="1">
      <c r="A73" s="401" t="s">
        <v>929</v>
      </c>
      <c r="B73" s="401"/>
      <c r="C73" s="401"/>
      <c r="D73" s="401"/>
      <c r="E73" s="401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02" t="s">
        <v>113</v>
      </c>
      <c r="B74" s="403"/>
      <c r="C74" s="377" t="s">
        <v>2</v>
      </c>
      <c r="D74" s="377" t="s">
        <v>37</v>
      </c>
      <c r="E74" s="377" t="s">
        <v>3</v>
      </c>
      <c r="F74" s="403" t="s">
        <v>38</v>
      </c>
      <c r="G74" s="403"/>
      <c r="H74" s="403"/>
      <c r="I74" s="403"/>
      <c r="J74" s="403"/>
      <c r="K74" s="423" t="s">
        <v>58</v>
      </c>
      <c r="L74" s="424"/>
      <c r="M74" s="424"/>
      <c r="N74" s="424"/>
      <c r="O74" s="424"/>
      <c r="P74" s="424"/>
      <c r="Q74" s="424"/>
      <c r="R74" s="424"/>
      <c r="S74" s="425"/>
      <c r="T74" s="403" t="s">
        <v>49</v>
      </c>
      <c r="U74" s="403"/>
      <c r="V74" s="423" t="s">
        <v>50</v>
      </c>
      <c r="W74" s="425"/>
      <c r="X74" s="424" t="s">
        <v>51</v>
      </c>
      <c r="Y74" s="424"/>
      <c r="Z74" s="424"/>
      <c r="AA74" s="424"/>
      <c r="AB74" s="424"/>
      <c r="AC74" s="424"/>
      <c r="AD74" s="426"/>
      <c r="AF74" s="53"/>
    </row>
    <row r="75" spans="1:32" ht="33.75" customHeight="1">
      <c r="A75" s="395">
        <v>1</v>
      </c>
      <c r="B75" s="396"/>
      <c r="C75" s="379" t="s">
        <v>114</v>
      </c>
      <c r="D75" s="379"/>
      <c r="E75" s="71" t="s">
        <v>119</v>
      </c>
      <c r="F75" s="410" t="s">
        <v>120</v>
      </c>
      <c r="G75" s="411"/>
      <c r="H75" s="411"/>
      <c r="I75" s="411"/>
      <c r="J75" s="412"/>
      <c r="K75" s="413" t="s">
        <v>115</v>
      </c>
      <c r="L75" s="414"/>
      <c r="M75" s="414"/>
      <c r="N75" s="414"/>
      <c r="O75" s="414"/>
      <c r="P75" s="414"/>
      <c r="Q75" s="414"/>
      <c r="R75" s="414"/>
      <c r="S75" s="415"/>
      <c r="T75" s="416">
        <v>42901</v>
      </c>
      <c r="U75" s="417"/>
      <c r="V75" s="418"/>
      <c r="W75" s="418"/>
      <c r="X75" s="419"/>
      <c r="Y75" s="419"/>
      <c r="Z75" s="419"/>
      <c r="AA75" s="419"/>
      <c r="AB75" s="419"/>
      <c r="AC75" s="419"/>
      <c r="AD75" s="420"/>
      <c r="AF75" s="53"/>
    </row>
    <row r="76" spans="1:32" ht="30" customHeight="1">
      <c r="A76" s="388">
        <f>A75+1</f>
        <v>2</v>
      </c>
      <c r="B76" s="389"/>
      <c r="C76" s="378" t="s">
        <v>114</v>
      </c>
      <c r="D76" s="378"/>
      <c r="E76" s="35" t="s">
        <v>116</v>
      </c>
      <c r="F76" s="389" t="s">
        <v>117</v>
      </c>
      <c r="G76" s="389"/>
      <c r="H76" s="389"/>
      <c r="I76" s="389"/>
      <c r="J76" s="389"/>
      <c r="K76" s="404" t="s">
        <v>118</v>
      </c>
      <c r="L76" s="405"/>
      <c r="M76" s="405"/>
      <c r="N76" s="405"/>
      <c r="O76" s="405"/>
      <c r="P76" s="405"/>
      <c r="Q76" s="405"/>
      <c r="R76" s="405"/>
      <c r="S76" s="406"/>
      <c r="T76" s="407">
        <v>42867</v>
      </c>
      <c r="U76" s="407"/>
      <c r="V76" s="407"/>
      <c r="W76" s="407"/>
      <c r="X76" s="408"/>
      <c r="Y76" s="408"/>
      <c r="Z76" s="408"/>
      <c r="AA76" s="408"/>
      <c r="AB76" s="408"/>
      <c r="AC76" s="408"/>
      <c r="AD76" s="409"/>
      <c r="AF76" s="53"/>
    </row>
    <row r="77" spans="1:32" ht="30" customHeight="1">
      <c r="A77" s="388">
        <f t="shared" ref="A77:A83" si="26">A76+1</f>
        <v>3</v>
      </c>
      <c r="B77" s="389"/>
      <c r="C77" s="378"/>
      <c r="D77" s="378"/>
      <c r="E77" s="35"/>
      <c r="F77" s="389"/>
      <c r="G77" s="389"/>
      <c r="H77" s="389"/>
      <c r="I77" s="389"/>
      <c r="J77" s="389"/>
      <c r="K77" s="404"/>
      <c r="L77" s="405"/>
      <c r="M77" s="405"/>
      <c r="N77" s="405"/>
      <c r="O77" s="405"/>
      <c r="P77" s="405"/>
      <c r="Q77" s="405"/>
      <c r="R77" s="405"/>
      <c r="S77" s="406"/>
      <c r="T77" s="407"/>
      <c r="U77" s="407"/>
      <c r="V77" s="407"/>
      <c r="W77" s="407"/>
      <c r="X77" s="408"/>
      <c r="Y77" s="408"/>
      <c r="Z77" s="408"/>
      <c r="AA77" s="408"/>
      <c r="AB77" s="408"/>
      <c r="AC77" s="408"/>
      <c r="AD77" s="409"/>
      <c r="AF77" s="53"/>
    </row>
    <row r="78" spans="1:32" ht="30" customHeight="1">
      <c r="A78" s="388">
        <f t="shared" si="26"/>
        <v>4</v>
      </c>
      <c r="B78" s="389"/>
      <c r="C78" s="378"/>
      <c r="D78" s="378"/>
      <c r="E78" s="35"/>
      <c r="F78" s="389"/>
      <c r="G78" s="389"/>
      <c r="H78" s="389"/>
      <c r="I78" s="389"/>
      <c r="J78" s="389"/>
      <c r="K78" s="404"/>
      <c r="L78" s="405"/>
      <c r="M78" s="405"/>
      <c r="N78" s="405"/>
      <c r="O78" s="405"/>
      <c r="P78" s="405"/>
      <c r="Q78" s="405"/>
      <c r="R78" s="405"/>
      <c r="S78" s="406"/>
      <c r="T78" s="407"/>
      <c r="U78" s="407"/>
      <c r="V78" s="407"/>
      <c r="W78" s="407"/>
      <c r="X78" s="408"/>
      <c r="Y78" s="408"/>
      <c r="Z78" s="408"/>
      <c r="AA78" s="408"/>
      <c r="AB78" s="408"/>
      <c r="AC78" s="408"/>
      <c r="AD78" s="409"/>
      <c r="AF78" s="53"/>
    </row>
    <row r="79" spans="1:32" ht="30" customHeight="1">
      <c r="A79" s="388">
        <f t="shared" si="26"/>
        <v>5</v>
      </c>
      <c r="B79" s="389"/>
      <c r="C79" s="378"/>
      <c r="D79" s="378"/>
      <c r="E79" s="35"/>
      <c r="F79" s="389"/>
      <c r="G79" s="389"/>
      <c r="H79" s="389"/>
      <c r="I79" s="389"/>
      <c r="J79" s="389"/>
      <c r="K79" s="404"/>
      <c r="L79" s="405"/>
      <c r="M79" s="405"/>
      <c r="N79" s="405"/>
      <c r="O79" s="405"/>
      <c r="P79" s="405"/>
      <c r="Q79" s="405"/>
      <c r="R79" s="405"/>
      <c r="S79" s="406"/>
      <c r="T79" s="407"/>
      <c r="U79" s="407"/>
      <c r="V79" s="407"/>
      <c r="W79" s="407"/>
      <c r="X79" s="408"/>
      <c r="Y79" s="408"/>
      <c r="Z79" s="408"/>
      <c r="AA79" s="408"/>
      <c r="AB79" s="408"/>
      <c r="AC79" s="408"/>
      <c r="AD79" s="409"/>
      <c r="AF79" s="53"/>
    </row>
    <row r="80" spans="1:32" ht="30" customHeight="1">
      <c r="A80" s="388">
        <f t="shared" si="26"/>
        <v>6</v>
      </c>
      <c r="B80" s="389"/>
      <c r="C80" s="378"/>
      <c r="D80" s="378"/>
      <c r="E80" s="35"/>
      <c r="F80" s="389"/>
      <c r="G80" s="389"/>
      <c r="H80" s="389"/>
      <c r="I80" s="389"/>
      <c r="J80" s="389"/>
      <c r="K80" s="404"/>
      <c r="L80" s="405"/>
      <c r="M80" s="405"/>
      <c r="N80" s="405"/>
      <c r="O80" s="405"/>
      <c r="P80" s="405"/>
      <c r="Q80" s="405"/>
      <c r="R80" s="405"/>
      <c r="S80" s="406"/>
      <c r="T80" s="407"/>
      <c r="U80" s="407"/>
      <c r="V80" s="407"/>
      <c r="W80" s="407"/>
      <c r="X80" s="408"/>
      <c r="Y80" s="408"/>
      <c r="Z80" s="408"/>
      <c r="AA80" s="408"/>
      <c r="AB80" s="408"/>
      <c r="AC80" s="408"/>
      <c r="AD80" s="409"/>
      <c r="AF80" s="53"/>
    </row>
    <row r="81" spans="1:32" ht="30" customHeight="1">
      <c r="A81" s="388">
        <f t="shared" si="26"/>
        <v>7</v>
      </c>
      <c r="B81" s="389"/>
      <c r="C81" s="378"/>
      <c r="D81" s="378"/>
      <c r="E81" s="35"/>
      <c r="F81" s="389"/>
      <c r="G81" s="389"/>
      <c r="H81" s="389"/>
      <c r="I81" s="389"/>
      <c r="J81" s="389"/>
      <c r="K81" s="404"/>
      <c r="L81" s="405"/>
      <c r="M81" s="405"/>
      <c r="N81" s="405"/>
      <c r="O81" s="405"/>
      <c r="P81" s="405"/>
      <c r="Q81" s="405"/>
      <c r="R81" s="405"/>
      <c r="S81" s="406"/>
      <c r="T81" s="407"/>
      <c r="U81" s="407"/>
      <c r="V81" s="407"/>
      <c r="W81" s="407"/>
      <c r="X81" s="408"/>
      <c r="Y81" s="408"/>
      <c r="Z81" s="408"/>
      <c r="AA81" s="408"/>
      <c r="AB81" s="408"/>
      <c r="AC81" s="408"/>
      <c r="AD81" s="409"/>
      <c r="AF81" s="53"/>
    </row>
    <row r="82" spans="1:32" ht="30" customHeight="1">
      <c r="A82" s="388">
        <f t="shared" si="26"/>
        <v>8</v>
      </c>
      <c r="B82" s="389"/>
      <c r="C82" s="378"/>
      <c r="D82" s="378"/>
      <c r="E82" s="35"/>
      <c r="F82" s="389"/>
      <c r="G82" s="389"/>
      <c r="H82" s="389"/>
      <c r="I82" s="389"/>
      <c r="J82" s="389"/>
      <c r="K82" s="404"/>
      <c r="L82" s="405"/>
      <c r="M82" s="405"/>
      <c r="N82" s="405"/>
      <c r="O82" s="405"/>
      <c r="P82" s="405"/>
      <c r="Q82" s="405"/>
      <c r="R82" s="405"/>
      <c r="S82" s="406"/>
      <c r="T82" s="407"/>
      <c r="U82" s="407"/>
      <c r="V82" s="407"/>
      <c r="W82" s="407"/>
      <c r="X82" s="408"/>
      <c r="Y82" s="408"/>
      <c r="Z82" s="408"/>
      <c r="AA82" s="408"/>
      <c r="AB82" s="408"/>
      <c r="AC82" s="408"/>
      <c r="AD82" s="409"/>
      <c r="AF82" s="53"/>
    </row>
    <row r="83" spans="1:32" ht="30" customHeight="1">
      <c r="A83" s="388">
        <f t="shared" si="26"/>
        <v>9</v>
      </c>
      <c r="B83" s="389"/>
      <c r="C83" s="378"/>
      <c r="D83" s="378"/>
      <c r="E83" s="35"/>
      <c r="F83" s="389"/>
      <c r="G83" s="389"/>
      <c r="H83" s="389"/>
      <c r="I83" s="389"/>
      <c r="J83" s="389"/>
      <c r="K83" s="404"/>
      <c r="L83" s="405"/>
      <c r="M83" s="405"/>
      <c r="N83" s="405"/>
      <c r="O83" s="405"/>
      <c r="P83" s="405"/>
      <c r="Q83" s="405"/>
      <c r="R83" s="405"/>
      <c r="S83" s="406"/>
      <c r="T83" s="407"/>
      <c r="U83" s="407"/>
      <c r="V83" s="407"/>
      <c r="W83" s="407"/>
      <c r="X83" s="408"/>
      <c r="Y83" s="408"/>
      <c r="Z83" s="408"/>
      <c r="AA83" s="408"/>
      <c r="AB83" s="408"/>
      <c r="AC83" s="408"/>
      <c r="AD83" s="409"/>
      <c r="AF83" s="53"/>
    </row>
    <row r="84" spans="1:32" ht="36" thickBot="1">
      <c r="A84" s="401" t="s">
        <v>930</v>
      </c>
      <c r="B84" s="401"/>
      <c r="C84" s="401"/>
      <c r="D84" s="401"/>
      <c r="E84" s="401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02" t="s">
        <v>113</v>
      </c>
      <c r="B85" s="403"/>
      <c r="C85" s="393" t="s">
        <v>52</v>
      </c>
      <c r="D85" s="393"/>
      <c r="E85" s="393" t="s">
        <v>53</v>
      </c>
      <c r="F85" s="393"/>
      <c r="G85" s="393"/>
      <c r="H85" s="393"/>
      <c r="I85" s="393"/>
      <c r="J85" s="393"/>
      <c r="K85" s="393" t="s">
        <v>54</v>
      </c>
      <c r="L85" s="393"/>
      <c r="M85" s="393"/>
      <c r="N85" s="393"/>
      <c r="O85" s="393"/>
      <c r="P85" s="393"/>
      <c r="Q85" s="393"/>
      <c r="R85" s="393"/>
      <c r="S85" s="393"/>
      <c r="T85" s="393" t="s">
        <v>55</v>
      </c>
      <c r="U85" s="393"/>
      <c r="V85" s="393" t="s">
        <v>56</v>
      </c>
      <c r="W85" s="393"/>
      <c r="X85" s="393"/>
      <c r="Y85" s="393" t="s">
        <v>51</v>
      </c>
      <c r="Z85" s="393"/>
      <c r="AA85" s="393"/>
      <c r="AB85" s="393"/>
      <c r="AC85" s="393"/>
      <c r="AD85" s="394"/>
      <c r="AF85" s="53"/>
    </row>
    <row r="86" spans="1:32" ht="30.75" customHeight="1">
      <c r="A86" s="395">
        <v>1</v>
      </c>
      <c r="B86" s="396"/>
      <c r="C86" s="397">
        <v>9</v>
      </c>
      <c r="D86" s="397"/>
      <c r="E86" s="397" t="s">
        <v>848</v>
      </c>
      <c r="F86" s="397"/>
      <c r="G86" s="397"/>
      <c r="H86" s="397"/>
      <c r="I86" s="397"/>
      <c r="J86" s="397"/>
      <c r="K86" s="397" t="s">
        <v>849</v>
      </c>
      <c r="L86" s="397"/>
      <c r="M86" s="397"/>
      <c r="N86" s="397"/>
      <c r="O86" s="397"/>
      <c r="P86" s="397"/>
      <c r="Q86" s="397"/>
      <c r="R86" s="397"/>
      <c r="S86" s="397"/>
      <c r="T86" s="397" t="s">
        <v>850</v>
      </c>
      <c r="U86" s="397"/>
      <c r="V86" s="398" t="s">
        <v>851</v>
      </c>
      <c r="W86" s="398"/>
      <c r="X86" s="398"/>
      <c r="Y86" s="399"/>
      <c r="Z86" s="399"/>
      <c r="AA86" s="399"/>
      <c r="AB86" s="399"/>
      <c r="AC86" s="399"/>
      <c r="AD86" s="400"/>
      <c r="AF86" s="53"/>
    </row>
    <row r="87" spans="1:32" ht="30.75" customHeight="1">
      <c r="A87" s="388">
        <v>2</v>
      </c>
      <c r="B87" s="389"/>
      <c r="C87" s="390"/>
      <c r="D87" s="390"/>
      <c r="E87" s="390"/>
      <c r="F87" s="390"/>
      <c r="G87" s="390"/>
      <c r="H87" s="390"/>
      <c r="I87" s="390"/>
      <c r="J87" s="390"/>
      <c r="K87" s="390"/>
      <c r="L87" s="390"/>
      <c r="M87" s="390"/>
      <c r="N87" s="390"/>
      <c r="O87" s="390"/>
      <c r="P87" s="390"/>
      <c r="Q87" s="390"/>
      <c r="R87" s="390"/>
      <c r="S87" s="390"/>
      <c r="T87" s="391"/>
      <c r="U87" s="391"/>
      <c r="V87" s="392"/>
      <c r="W87" s="392"/>
      <c r="X87" s="392"/>
      <c r="Y87" s="381"/>
      <c r="Z87" s="381"/>
      <c r="AA87" s="381"/>
      <c r="AB87" s="381"/>
      <c r="AC87" s="381"/>
      <c r="AD87" s="382"/>
      <c r="AF87" s="53"/>
    </row>
    <row r="88" spans="1:32" ht="30.75" customHeight="1" thickBot="1">
      <c r="A88" s="383">
        <v>3</v>
      </c>
      <c r="B88" s="384"/>
      <c r="C88" s="385"/>
      <c r="D88" s="385"/>
      <c r="E88" s="385"/>
      <c r="F88" s="385"/>
      <c r="G88" s="385"/>
      <c r="H88" s="385"/>
      <c r="I88" s="385"/>
      <c r="J88" s="385"/>
      <c r="K88" s="385"/>
      <c r="L88" s="385"/>
      <c r="M88" s="385"/>
      <c r="N88" s="385"/>
      <c r="O88" s="385"/>
      <c r="P88" s="385"/>
      <c r="Q88" s="385"/>
      <c r="R88" s="385"/>
      <c r="S88" s="385"/>
      <c r="T88" s="385"/>
      <c r="U88" s="385"/>
      <c r="V88" s="385"/>
      <c r="W88" s="385"/>
      <c r="X88" s="385"/>
      <c r="Y88" s="386"/>
      <c r="Z88" s="386"/>
      <c r="AA88" s="386"/>
      <c r="AB88" s="386"/>
      <c r="AC88" s="386"/>
      <c r="AD88" s="387"/>
      <c r="AF88" s="53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25</vt:i4>
      </vt:variant>
      <vt:variant>
        <vt:lpstr>이름 지정된 범위</vt:lpstr>
      </vt:variant>
      <vt:variant>
        <vt:i4>24</vt:i4>
      </vt:variant>
    </vt:vector>
  </HeadingPairs>
  <TitlesOfParts>
    <vt:vector size="49" baseType="lpstr">
      <vt:lpstr>총괄</vt:lpstr>
      <vt:lpstr>01</vt:lpstr>
      <vt:lpstr>02</vt:lpstr>
      <vt:lpstr>03</vt:lpstr>
      <vt:lpstr>06</vt:lpstr>
      <vt:lpstr>07</vt:lpstr>
      <vt:lpstr>08</vt:lpstr>
      <vt:lpstr>09</vt:lpstr>
      <vt:lpstr>10</vt:lpstr>
      <vt:lpstr>13</vt:lpstr>
      <vt:lpstr>14</vt:lpstr>
      <vt:lpstr>15</vt:lpstr>
      <vt:lpstr>16</vt:lpstr>
      <vt:lpstr>17</vt:lpstr>
      <vt:lpstr>20</vt:lpstr>
      <vt:lpstr>21</vt:lpstr>
      <vt:lpstr>22</vt:lpstr>
      <vt:lpstr>23</vt:lpstr>
      <vt:lpstr>24</vt:lpstr>
      <vt:lpstr>25</vt:lpstr>
      <vt:lpstr>27</vt:lpstr>
      <vt:lpstr>28</vt:lpstr>
      <vt:lpstr>29</vt:lpstr>
      <vt:lpstr>30</vt:lpstr>
      <vt:lpstr>31</vt:lpstr>
      <vt:lpstr>'01'!Print_Area</vt:lpstr>
      <vt:lpstr>'02'!Print_Area</vt:lpstr>
      <vt:lpstr>'03'!Print_Area</vt:lpstr>
      <vt:lpstr>'06'!Print_Area</vt:lpstr>
      <vt:lpstr>'07'!Print_Area</vt:lpstr>
      <vt:lpstr>'08'!Print_Area</vt:lpstr>
      <vt:lpstr>'09'!Print_Area</vt:lpstr>
      <vt:lpstr>'10'!Print_Area</vt:lpstr>
      <vt:lpstr>'13'!Print_Area</vt:lpstr>
      <vt:lpstr>'14'!Print_Area</vt:lpstr>
      <vt:lpstr>'15'!Print_Area</vt:lpstr>
      <vt:lpstr>'16'!Print_Area</vt:lpstr>
      <vt:lpstr>'17'!Print_Area</vt:lpstr>
      <vt:lpstr>'20'!Print_Area</vt:lpstr>
      <vt:lpstr>'21'!Print_Area</vt:lpstr>
      <vt:lpstr>'22'!Print_Area</vt:lpstr>
      <vt:lpstr>'23'!Print_Area</vt:lpstr>
      <vt:lpstr>'24'!Print_Area</vt:lpstr>
      <vt:lpstr>'25'!Print_Area</vt:lpstr>
      <vt:lpstr>'27'!Print_Area</vt:lpstr>
      <vt:lpstr>'28'!Print_Area</vt:lpstr>
      <vt:lpstr>'29'!Print_Area</vt:lpstr>
      <vt:lpstr>'30'!Print_Area</vt:lpstr>
      <vt:lpstr>'31'!Print_Area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2017-05-09T00:48:16Z</cp:lastPrinted>
  <dcterms:created xsi:type="dcterms:W3CDTF">2014-05-16T00:06:55Z</dcterms:created>
  <dcterms:modified xsi:type="dcterms:W3CDTF">2018-09-01T06:32:57Z</dcterms:modified>
</cp:coreProperties>
</file>