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18년도\일일업무\생산일보\"/>
    </mc:Choice>
  </mc:AlternateContent>
  <xr:revisionPtr revIDLastSave="0" documentId="13_ncr:1_{AE3C53FD-FCF3-4E80-9D97-8FC25AEFA1FC}" xr6:coauthVersionLast="36" xr6:coauthVersionMax="36" xr10:uidLastSave="{00000000-0000-0000-0000-000000000000}"/>
  <bookViews>
    <workbookView xWindow="480" yWindow="1470" windowWidth="14880" windowHeight="7125" activeTab="19" xr2:uid="{00000000-000D-0000-FFFF-FFFF00000000}"/>
  </bookViews>
  <sheets>
    <sheet name="총괄" sheetId="16" r:id="rId1"/>
    <sheet name="01" sheetId="1272" r:id="rId2"/>
    <sheet name="03" sheetId="1273" r:id="rId3"/>
    <sheet name="04" sheetId="1274" r:id="rId4"/>
    <sheet name="05" sheetId="1275" r:id="rId5"/>
    <sheet name="06" sheetId="1276" r:id="rId6"/>
    <sheet name="07" sheetId="1277" r:id="rId7"/>
    <sheet name="10" sheetId="1278" r:id="rId8"/>
    <sheet name="11" sheetId="1279" r:id="rId9"/>
    <sheet name="12" sheetId="1280" r:id="rId10"/>
    <sheet name="13" sheetId="1281" r:id="rId11"/>
    <sheet name="14" sheetId="1282" r:id="rId12"/>
    <sheet name="15" sheetId="1283" r:id="rId13"/>
    <sheet name="17" sheetId="1284" r:id="rId14"/>
    <sheet name="18" sheetId="1285" r:id="rId15"/>
    <sheet name="19" sheetId="1286" r:id="rId16"/>
    <sheet name="20" sheetId="1287" r:id="rId17"/>
    <sheet name="21" sheetId="1288" r:id="rId18"/>
    <sheet name="27" sheetId="1289" r:id="rId19"/>
    <sheet name="28" sheetId="1290" r:id="rId20"/>
  </sheets>
  <definedNames>
    <definedName name="_xlnm.Print_Area" localSheetId="1">'01'!$A$1:$AD$86</definedName>
    <definedName name="_xlnm.Print_Area" localSheetId="2">'03'!$A$1:$AD$86</definedName>
    <definedName name="_xlnm.Print_Area" localSheetId="3">'04'!$A$1:$AD$86</definedName>
    <definedName name="_xlnm.Print_Area" localSheetId="4">'05'!$A$1:$AD$86</definedName>
    <definedName name="_xlnm.Print_Area" localSheetId="5">'06'!$A$1:$AD$87</definedName>
    <definedName name="_xlnm.Print_Area" localSheetId="6">'07'!$A$1:$AD$89</definedName>
    <definedName name="_xlnm.Print_Area" localSheetId="7">'10'!$A$1:$AD$87</definedName>
    <definedName name="_xlnm.Print_Area" localSheetId="8">'11'!$A$1:$AD$87</definedName>
    <definedName name="_xlnm.Print_Area" localSheetId="9">'12'!$A$1:$AD$87</definedName>
    <definedName name="_xlnm.Print_Area" localSheetId="10">'13'!$A$1:$AD$88</definedName>
    <definedName name="_xlnm.Print_Area" localSheetId="11">'14'!$A$1:$AD$86</definedName>
    <definedName name="_xlnm.Print_Area" localSheetId="12">'15'!$A$1:$AD$86</definedName>
    <definedName name="_xlnm.Print_Area" localSheetId="13">'17'!$A$1:$AD$86</definedName>
    <definedName name="_xlnm.Print_Area" localSheetId="14">'18'!$A$1:$AD$86</definedName>
    <definedName name="_xlnm.Print_Area" localSheetId="15">'19'!$A$1:$AD$87</definedName>
    <definedName name="_xlnm.Print_Area" localSheetId="16">'20'!$A$1:$AD$86</definedName>
    <definedName name="_xlnm.Print_Area" localSheetId="17">'21'!$A$1:$AD$86</definedName>
    <definedName name="_xlnm.Print_Area" localSheetId="18">'27'!$A$1:$AD$88</definedName>
    <definedName name="_xlnm.Print_Area" localSheetId="19">'28'!$A$1:$AD$86</definedName>
  </definedNames>
  <calcPr calcId="162913"/>
</workbook>
</file>

<file path=xl/calcChain.xml><?xml version="1.0" encoding="utf-8"?>
<calcChain xmlns="http://schemas.openxmlformats.org/spreadsheetml/2006/main">
  <c r="AC18" i="16" l="1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18" i="1290"/>
  <c r="L16" i="1290"/>
  <c r="O16" i="1290" s="1"/>
  <c r="L13" i="1290"/>
  <c r="K13" i="1290" s="1"/>
  <c r="L12" i="1290"/>
  <c r="O12" i="1290" s="1"/>
  <c r="L11" i="1290"/>
  <c r="AB11" i="1290" s="1"/>
  <c r="L8" i="1290"/>
  <c r="K8" i="1290" s="1"/>
  <c r="K19" i="1290"/>
  <c r="K18" i="1290"/>
  <c r="K17" i="1290"/>
  <c r="K16" i="1290"/>
  <c r="K9" i="1290"/>
  <c r="A74" i="1290"/>
  <c r="A75" i="1290" s="1"/>
  <c r="A76" i="1290" s="1"/>
  <c r="A77" i="1290" s="1"/>
  <c r="A78" i="1290" s="1"/>
  <c r="A79" i="1290" s="1"/>
  <c r="A80" i="1290" s="1"/>
  <c r="A81" i="1290" s="1"/>
  <c r="AF60" i="1290"/>
  <c r="AF59" i="1290"/>
  <c r="AA21" i="1290"/>
  <c r="Z21" i="1290"/>
  <c r="Y21" i="1290"/>
  <c r="X21" i="1290"/>
  <c r="W21" i="1290"/>
  <c r="V21" i="1290"/>
  <c r="U21" i="1290"/>
  <c r="T21" i="1290"/>
  <c r="S21" i="1290"/>
  <c r="R21" i="1290"/>
  <c r="N21" i="1290"/>
  <c r="J21" i="1290"/>
  <c r="I21" i="1290"/>
  <c r="AF20" i="1290"/>
  <c r="AB20" i="1290"/>
  <c r="Q20" i="1290"/>
  <c r="P20" i="1290"/>
  <c r="AC20" i="1290" s="1"/>
  <c r="O20" i="1290"/>
  <c r="M20" i="1290"/>
  <c r="K20" i="1290"/>
  <c r="AF19" i="1290"/>
  <c r="Q19" i="1290"/>
  <c r="P19" i="1290"/>
  <c r="AC19" i="1290" s="1"/>
  <c r="O19" i="1290"/>
  <c r="M19" i="1290"/>
  <c r="AB19" i="1290"/>
  <c r="AF18" i="1290"/>
  <c r="Q18" i="1290"/>
  <c r="O18" i="1290"/>
  <c r="AF17" i="1290"/>
  <c r="Q17" i="1290"/>
  <c r="P17" i="1290" s="1"/>
  <c r="AC17" i="1290" s="1"/>
  <c r="AB17" i="1290"/>
  <c r="AF16" i="1290"/>
  <c r="AB16" i="1290"/>
  <c r="Q16" i="1290"/>
  <c r="P16" i="1290"/>
  <c r="AC16" i="1290" s="1"/>
  <c r="M16" i="1290"/>
  <c r="AF15" i="1290"/>
  <c r="AB15" i="1290"/>
  <c r="Q15" i="1290"/>
  <c r="P15" i="1290"/>
  <c r="AC15" i="1290" s="1"/>
  <c r="O15" i="1290"/>
  <c r="M15" i="1290"/>
  <c r="K15" i="1290"/>
  <c r="AF14" i="1290"/>
  <c r="AB14" i="1290"/>
  <c r="Q14" i="1290"/>
  <c r="P14" i="1290"/>
  <c r="AC14" i="1290" s="1"/>
  <c r="O14" i="1290"/>
  <c r="M14" i="1290"/>
  <c r="K14" i="1290"/>
  <c r="AF13" i="1290"/>
  <c r="Q13" i="1290"/>
  <c r="AB13" i="1290"/>
  <c r="AF12" i="1290"/>
  <c r="Q12" i="1290"/>
  <c r="P12" i="1290" s="1"/>
  <c r="AC12" i="1290" s="1"/>
  <c r="AF11" i="1290"/>
  <c r="Q11" i="1290"/>
  <c r="O11" i="1290"/>
  <c r="M11" i="1290"/>
  <c r="AF10" i="1290"/>
  <c r="AB10" i="1290"/>
  <c r="Q10" i="1290"/>
  <c r="P10" i="1290"/>
  <c r="AC10" i="1290" s="1"/>
  <c r="O10" i="1290"/>
  <c r="M10" i="1290"/>
  <c r="K10" i="1290"/>
  <c r="AF9" i="1290"/>
  <c r="Q9" i="1290"/>
  <c r="P9" i="1290"/>
  <c r="AC9" i="1290" s="1"/>
  <c r="O9" i="1290"/>
  <c r="AB9" i="1290"/>
  <c r="AF8" i="1290"/>
  <c r="AB8" i="1290"/>
  <c r="Q8" i="1290"/>
  <c r="P8" i="1290" s="1"/>
  <c r="AC8" i="1290" s="1"/>
  <c r="O8" i="1290"/>
  <c r="M8" i="1290"/>
  <c r="AF7" i="1290"/>
  <c r="AB7" i="1290"/>
  <c r="Q7" i="1290"/>
  <c r="P7" i="1290"/>
  <c r="AC7" i="1290" s="1"/>
  <c r="O7" i="1290"/>
  <c r="M7" i="1290"/>
  <c r="K7" i="1290"/>
  <c r="AF6" i="1290"/>
  <c r="AC6" i="1290"/>
  <c r="AB6" i="1290"/>
  <c r="Q6" i="1290"/>
  <c r="P6" i="1290"/>
  <c r="O6" i="1290"/>
  <c r="M6" i="1290"/>
  <c r="K6" i="1290"/>
  <c r="AF62" i="1290" l="1"/>
  <c r="K12" i="1290"/>
  <c r="AB12" i="1290"/>
  <c r="AD12" i="1290" s="1"/>
  <c r="AD15" i="1290"/>
  <c r="AD7" i="1290"/>
  <c r="P13" i="1290"/>
  <c r="AC13" i="1290" s="1"/>
  <c r="AD20" i="1290"/>
  <c r="AD14" i="1290"/>
  <c r="K11" i="1290"/>
  <c r="Q21" i="1290"/>
  <c r="P11" i="1290"/>
  <c r="AC11" i="1290" s="1"/>
  <c r="AD11" i="1290" s="1"/>
  <c r="AD8" i="1290"/>
  <c r="AD10" i="1290"/>
  <c r="AD16" i="1290"/>
  <c r="AD9" i="1290"/>
  <c r="AD19" i="1290"/>
  <c r="AB18" i="1290"/>
  <c r="L21" i="1290"/>
  <c r="O21" i="1290" s="1"/>
  <c r="M9" i="1290"/>
  <c r="M12" i="1290"/>
  <c r="O13" i="1290"/>
  <c r="O17" i="1290"/>
  <c r="AD17" i="1290" s="1"/>
  <c r="P18" i="1290"/>
  <c r="AC18" i="1290" s="1"/>
  <c r="AD6" i="1290"/>
  <c r="M18" i="1290"/>
  <c r="K21" i="1290"/>
  <c r="M13" i="1290"/>
  <c r="M17" i="1290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L21" i="1289"/>
  <c r="K21" i="1289"/>
  <c r="AF20" i="1289"/>
  <c r="Q20" i="1289"/>
  <c r="L20" i="1289"/>
  <c r="O20" i="1289" s="1"/>
  <c r="L19" i="1289"/>
  <c r="K19" i="1289"/>
  <c r="L18" i="1289"/>
  <c r="K18" i="1289"/>
  <c r="L17" i="1289"/>
  <c r="AF17" i="1289"/>
  <c r="AB17" i="1289"/>
  <c r="Q17" i="1289"/>
  <c r="O17" i="1289"/>
  <c r="M17" i="1289"/>
  <c r="K17" i="1289"/>
  <c r="K16" i="1289"/>
  <c r="L13" i="1289"/>
  <c r="K13" i="1289"/>
  <c r="L12" i="1289"/>
  <c r="K12" i="1289"/>
  <c r="AB21" i="1290" l="1"/>
  <c r="AD13" i="1290"/>
  <c r="AC21" i="1290"/>
  <c r="M21" i="1290"/>
  <c r="P21" i="1290"/>
  <c r="AD18" i="1290"/>
  <c r="AD21" i="1290" s="1"/>
  <c r="K20" i="1289"/>
  <c r="P20" i="1289"/>
  <c r="AC20" i="1289" s="1"/>
  <c r="AD20" i="1289" s="1"/>
  <c r="M20" i="1289"/>
  <c r="AB20" i="1289"/>
  <c r="P17" i="1289"/>
  <c r="AC17" i="1289" s="1"/>
  <c r="AD17" i="1289" s="1"/>
  <c r="AE19" i="1290" l="1"/>
  <c r="AE16" i="1290"/>
  <c r="AE12" i="1290"/>
  <c r="AE9" i="1290"/>
  <c r="AE6" i="1290"/>
  <c r="AE13" i="1290"/>
  <c r="AE20" i="1290"/>
  <c r="AE18" i="1290"/>
  <c r="AE10" i="1290"/>
  <c r="AE14" i="1290"/>
  <c r="AE11" i="1290"/>
  <c r="AE8" i="1290"/>
  <c r="AE17" i="1290"/>
  <c r="AE15" i="1290"/>
  <c r="AE7" i="1290"/>
  <c r="L11" i="1289"/>
  <c r="K11" i="1289"/>
  <c r="L9" i="1289"/>
  <c r="L8" i="1289"/>
  <c r="K10" i="1289"/>
  <c r="K9" i="1289"/>
  <c r="K8" i="1289"/>
  <c r="A77" i="1289"/>
  <c r="A78" i="1289" s="1"/>
  <c r="A79" i="1289" s="1"/>
  <c r="A80" i="1289" s="1"/>
  <c r="A81" i="1289" s="1"/>
  <c r="A82" i="1289" s="1"/>
  <c r="A83" i="1289" s="1"/>
  <c r="A76" i="1289"/>
  <c r="AF62" i="1289"/>
  <c r="AF61" i="1289"/>
  <c r="AF64" i="1289" s="1"/>
  <c r="AA23" i="1289"/>
  <c r="Z23" i="1289"/>
  <c r="Y23" i="1289"/>
  <c r="X23" i="1289"/>
  <c r="W23" i="1289"/>
  <c r="V23" i="1289"/>
  <c r="U23" i="1289"/>
  <c r="T23" i="1289"/>
  <c r="S23" i="1289"/>
  <c r="R23" i="1289"/>
  <c r="N23" i="1289"/>
  <c r="J23" i="1289"/>
  <c r="I23" i="1289"/>
  <c r="AF22" i="1289"/>
  <c r="AB22" i="1289"/>
  <c r="Q22" i="1289"/>
  <c r="P22" i="1289"/>
  <c r="AC22" i="1289" s="1"/>
  <c r="O22" i="1289"/>
  <c r="M22" i="1289"/>
  <c r="K22" i="1289"/>
  <c r="AF21" i="1289"/>
  <c r="Q21" i="1289"/>
  <c r="P21" i="1289" s="1"/>
  <c r="AC21" i="1289" s="1"/>
  <c r="O21" i="1289"/>
  <c r="AB21" i="1289"/>
  <c r="AF19" i="1289"/>
  <c r="AB19" i="1289"/>
  <c r="Q19" i="1289"/>
  <c r="P19" i="1289" s="1"/>
  <c r="AC19" i="1289" s="1"/>
  <c r="O19" i="1289"/>
  <c r="M19" i="1289"/>
  <c r="AF18" i="1289"/>
  <c r="Q18" i="1289"/>
  <c r="O18" i="1289"/>
  <c r="AF16" i="1289"/>
  <c r="Q16" i="1289"/>
  <c r="P16" i="1289" s="1"/>
  <c r="AC16" i="1289" s="1"/>
  <c r="AB16" i="1289"/>
  <c r="AF15" i="1289"/>
  <c r="AB15" i="1289"/>
  <c r="Q15" i="1289"/>
  <c r="P15" i="1289"/>
  <c r="AC15" i="1289" s="1"/>
  <c r="O15" i="1289"/>
  <c r="M15" i="1289"/>
  <c r="K15" i="1289"/>
  <c r="AF14" i="1289"/>
  <c r="AB14" i="1289"/>
  <c r="Q14" i="1289"/>
  <c r="P14" i="1289"/>
  <c r="AC14" i="1289" s="1"/>
  <c r="O14" i="1289"/>
  <c r="M14" i="1289"/>
  <c r="K14" i="1289"/>
  <c r="AF13" i="1289"/>
  <c r="AB13" i="1289"/>
  <c r="Q13" i="1289"/>
  <c r="P13" i="1289"/>
  <c r="AC13" i="1289" s="1"/>
  <c r="O13" i="1289"/>
  <c r="M13" i="1289"/>
  <c r="AF12" i="1289"/>
  <c r="Q12" i="1289"/>
  <c r="O12" i="1289"/>
  <c r="AF11" i="1289"/>
  <c r="AB11" i="1289"/>
  <c r="Q11" i="1289"/>
  <c r="O11" i="1289"/>
  <c r="M11" i="1289"/>
  <c r="AF10" i="1289"/>
  <c r="AB10" i="1289"/>
  <c r="Q10" i="1289"/>
  <c r="O10" i="1289"/>
  <c r="M10" i="1289"/>
  <c r="P10" i="1289"/>
  <c r="AC10" i="1289" s="1"/>
  <c r="AF9" i="1289"/>
  <c r="Q9" i="1289"/>
  <c r="O9" i="1289"/>
  <c r="AF8" i="1289"/>
  <c r="Q8" i="1289"/>
  <c r="AB8" i="1289"/>
  <c r="AF7" i="1289"/>
  <c r="AC7" i="1289"/>
  <c r="AB7" i="1289"/>
  <c r="Q7" i="1289"/>
  <c r="P7" i="1289"/>
  <c r="O7" i="1289"/>
  <c r="M7" i="1289"/>
  <c r="K7" i="1289"/>
  <c r="AF6" i="1289"/>
  <c r="AB6" i="1289"/>
  <c r="Q6" i="1289"/>
  <c r="P6" i="1289"/>
  <c r="AC6" i="1289" s="1"/>
  <c r="O6" i="1289"/>
  <c r="M6" i="1289"/>
  <c r="K6" i="1289"/>
  <c r="AD22" i="1289" l="1"/>
  <c r="AD15" i="1289"/>
  <c r="AD10" i="1289"/>
  <c r="AD7" i="1289"/>
  <c r="P11" i="1289"/>
  <c r="AC11" i="1289" s="1"/>
  <c r="AD11" i="1289" s="1"/>
  <c r="Q23" i="1289"/>
  <c r="P8" i="1289"/>
  <c r="AC8" i="1289" s="1"/>
  <c r="AD13" i="1289"/>
  <c r="AD19" i="1289"/>
  <c r="AD14" i="1289"/>
  <c r="AD6" i="1289"/>
  <c r="AD8" i="1289"/>
  <c r="AD21" i="1289"/>
  <c r="AB9" i="1289"/>
  <c r="O8" i="1289"/>
  <c r="K23" i="1289"/>
  <c r="P9" i="1289"/>
  <c r="AC9" i="1289" s="1"/>
  <c r="P12" i="1289"/>
  <c r="AC12" i="1289" s="1"/>
  <c r="O16" i="1289"/>
  <c r="AD16" i="1289" s="1"/>
  <c r="P18" i="1289"/>
  <c r="AC18" i="1289" s="1"/>
  <c r="M21" i="1289"/>
  <c r="M9" i="1289"/>
  <c r="M12" i="1289"/>
  <c r="AB12" i="1289"/>
  <c r="M18" i="1289"/>
  <c r="AB18" i="1289"/>
  <c r="L23" i="1289"/>
  <c r="O23" i="1289" s="1"/>
  <c r="M8" i="1289"/>
  <c r="M16" i="1289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L19" i="1288"/>
  <c r="K19" i="1288"/>
  <c r="L18" i="1288"/>
  <c r="L17" i="1288"/>
  <c r="K17" i="1288"/>
  <c r="L16" i="1288"/>
  <c r="L12" i="1288"/>
  <c r="L10" i="1288"/>
  <c r="L9" i="1288"/>
  <c r="K9" i="1288"/>
  <c r="L8" i="1288"/>
  <c r="K8" i="1288"/>
  <c r="AD9" i="1289" l="1"/>
  <c r="M23" i="1289"/>
  <c r="AB23" i="1289"/>
  <c r="AD12" i="1289"/>
  <c r="P23" i="1289"/>
  <c r="AD18" i="1289"/>
  <c r="AC23" i="1289"/>
  <c r="K18" i="1288"/>
  <c r="K16" i="1288"/>
  <c r="K13" i="1288"/>
  <c r="K12" i="1288"/>
  <c r="K11" i="1288"/>
  <c r="K10" i="1288"/>
  <c r="A75" i="1288"/>
  <c r="A76" i="1288" s="1"/>
  <c r="A77" i="1288" s="1"/>
  <c r="A78" i="1288" s="1"/>
  <c r="A79" i="1288" s="1"/>
  <c r="A80" i="1288" s="1"/>
  <c r="A81" i="1288" s="1"/>
  <c r="A74" i="1288"/>
  <c r="AF60" i="1288"/>
  <c r="AF59" i="1288"/>
  <c r="AF62" i="1288" s="1"/>
  <c r="AA21" i="1288"/>
  <c r="Z21" i="1288"/>
  <c r="Y21" i="1288"/>
  <c r="X21" i="1288"/>
  <c r="W21" i="1288"/>
  <c r="V21" i="1288"/>
  <c r="U21" i="1288"/>
  <c r="T21" i="1288"/>
  <c r="S21" i="1288"/>
  <c r="R21" i="1288"/>
  <c r="N21" i="1288"/>
  <c r="J21" i="1288"/>
  <c r="I21" i="1288"/>
  <c r="AF20" i="1288"/>
  <c r="AB20" i="1288"/>
  <c r="Q20" i="1288"/>
  <c r="P20" i="1288"/>
  <c r="AC20" i="1288" s="1"/>
  <c r="AD20" i="1288" s="1"/>
  <c r="O20" i="1288"/>
  <c r="M20" i="1288"/>
  <c r="K20" i="1288"/>
  <c r="AF19" i="1288"/>
  <c r="Q19" i="1288"/>
  <c r="P19" i="1288"/>
  <c r="AC19" i="1288" s="1"/>
  <c r="AF18" i="1288"/>
  <c r="Q18" i="1288"/>
  <c r="P18" i="1288" s="1"/>
  <c r="AC18" i="1288" s="1"/>
  <c r="O18" i="1288"/>
  <c r="AF17" i="1288"/>
  <c r="Q17" i="1288"/>
  <c r="P17" i="1288" s="1"/>
  <c r="AC17" i="1288" s="1"/>
  <c r="O17" i="1288"/>
  <c r="AB17" i="1288"/>
  <c r="AF16" i="1288"/>
  <c r="AB16" i="1288"/>
  <c r="Q16" i="1288"/>
  <c r="P16" i="1288"/>
  <c r="AC16" i="1288" s="1"/>
  <c r="O16" i="1288"/>
  <c r="M16" i="1288"/>
  <c r="AF15" i="1288"/>
  <c r="AB15" i="1288"/>
  <c r="Q15" i="1288"/>
  <c r="P15" i="1288"/>
  <c r="AC15" i="1288" s="1"/>
  <c r="O15" i="1288"/>
  <c r="M15" i="1288"/>
  <c r="K15" i="1288"/>
  <c r="AF14" i="1288"/>
  <c r="AC14" i="1288"/>
  <c r="AB14" i="1288"/>
  <c r="Q14" i="1288"/>
  <c r="P14" i="1288"/>
  <c r="O14" i="1288"/>
  <c r="M14" i="1288"/>
  <c r="K14" i="1288"/>
  <c r="AF13" i="1288"/>
  <c r="Q13" i="1288"/>
  <c r="P13" i="1288" s="1"/>
  <c r="AC13" i="1288" s="1"/>
  <c r="AF12" i="1288"/>
  <c r="AB12" i="1288"/>
  <c r="Q12" i="1288"/>
  <c r="P12" i="1288" s="1"/>
  <c r="AC12" i="1288" s="1"/>
  <c r="O12" i="1288"/>
  <c r="M12" i="1288"/>
  <c r="AF11" i="1288"/>
  <c r="AB11" i="1288"/>
  <c r="Q11" i="1288"/>
  <c r="O11" i="1288"/>
  <c r="M11" i="1288"/>
  <c r="P11" i="1288"/>
  <c r="AC11" i="1288" s="1"/>
  <c r="AD11" i="1288" s="1"/>
  <c r="AF10" i="1288"/>
  <c r="AB10" i="1288"/>
  <c r="Q10" i="1288"/>
  <c r="M10" i="1288"/>
  <c r="P10" i="1288"/>
  <c r="AC10" i="1288" s="1"/>
  <c r="AF9" i="1288"/>
  <c r="Q9" i="1288"/>
  <c r="P9" i="1288" s="1"/>
  <c r="AC9" i="1288" s="1"/>
  <c r="AF8" i="1288"/>
  <c r="AB8" i="1288"/>
  <c r="Q8" i="1288"/>
  <c r="P8" i="1288" s="1"/>
  <c r="AC8" i="1288" s="1"/>
  <c r="O8" i="1288"/>
  <c r="M8" i="1288"/>
  <c r="L21" i="1288"/>
  <c r="O21" i="1288" s="1"/>
  <c r="AF7" i="1288"/>
  <c r="AC7" i="1288"/>
  <c r="AD7" i="1288" s="1"/>
  <c r="AB7" i="1288"/>
  <c r="Q7" i="1288"/>
  <c r="P7" i="1288"/>
  <c r="O7" i="1288"/>
  <c r="M7" i="1288"/>
  <c r="K7" i="1288"/>
  <c r="AF6" i="1288"/>
  <c r="AB6" i="1288"/>
  <c r="Q6" i="1288"/>
  <c r="P6" i="1288"/>
  <c r="O6" i="1288"/>
  <c r="M6" i="1288"/>
  <c r="K6" i="1288"/>
  <c r="AD23" i="1289" l="1"/>
  <c r="AE20" i="1289" s="1"/>
  <c r="AD12" i="1288"/>
  <c r="Q21" i="1288"/>
  <c r="AD8" i="1288"/>
  <c r="AD15" i="1288"/>
  <c r="AD14" i="1288"/>
  <c r="AD16" i="1288"/>
  <c r="P21" i="1288"/>
  <c r="AD17" i="1288"/>
  <c r="M9" i="1288"/>
  <c r="AB9" i="1288"/>
  <c r="O10" i="1288"/>
  <c r="AD10" i="1288" s="1"/>
  <c r="M13" i="1288"/>
  <c r="AB13" i="1288"/>
  <c r="M19" i="1288"/>
  <c r="AB19" i="1288"/>
  <c r="AD19" i="1288" s="1"/>
  <c r="AC6" i="1288"/>
  <c r="O9" i="1288"/>
  <c r="O13" i="1288"/>
  <c r="M18" i="1288"/>
  <c r="AB18" i="1288"/>
  <c r="AD18" i="1288" s="1"/>
  <c r="O19" i="1288"/>
  <c r="K21" i="1288"/>
  <c r="M17" i="1288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L19" i="1287"/>
  <c r="K19" i="1287" s="1"/>
  <c r="L18" i="1287"/>
  <c r="AB18" i="1287" s="1"/>
  <c r="K18" i="1287"/>
  <c r="L17" i="1287"/>
  <c r="K17" i="1287" s="1"/>
  <c r="L16" i="1287"/>
  <c r="K16" i="1287" s="1"/>
  <c r="L13" i="1287"/>
  <c r="K13" i="1287" s="1"/>
  <c r="L12" i="1287"/>
  <c r="M12" i="1287" s="1"/>
  <c r="L11" i="1287"/>
  <c r="K11" i="1287" s="1"/>
  <c r="L10" i="1287"/>
  <c r="L9" i="1287"/>
  <c r="K9" i="1287" s="1"/>
  <c r="L8" i="1287"/>
  <c r="K10" i="1287"/>
  <c r="K8" i="1287"/>
  <c r="A74" i="1287"/>
  <c r="A75" i="1287" s="1"/>
  <c r="A76" i="1287" s="1"/>
  <c r="A77" i="1287" s="1"/>
  <c r="A78" i="1287" s="1"/>
  <c r="A79" i="1287" s="1"/>
  <c r="A80" i="1287" s="1"/>
  <c r="A81" i="1287" s="1"/>
  <c r="AF60" i="1287"/>
  <c r="AF59" i="1287"/>
  <c r="AF62" i="1287" s="1"/>
  <c r="AA21" i="1287"/>
  <c r="Z21" i="1287"/>
  <c r="Y21" i="1287"/>
  <c r="X21" i="1287"/>
  <c r="W21" i="1287"/>
  <c r="V21" i="1287"/>
  <c r="U21" i="1287"/>
  <c r="T21" i="1287"/>
  <c r="S21" i="1287"/>
  <c r="R21" i="1287"/>
  <c r="N21" i="1287"/>
  <c r="J21" i="1287"/>
  <c r="I21" i="1287"/>
  <c r="AF20" i="1287"/>
  <c r="AB20" i="1287"/>
  <c r="Q20" i="1287"/>
  <c r="P20" i="1287"/>
  <c r="AC20" i="1287" s="1"/>
  <c r="AD20" i="1287" s="1"/>
  <c r="O20" i="1287"/>
  <c r="M20" i="1287"/>
  <c r="K20" i="1287"/>
  <c r="AF19" i="1287"/>
  <c r="Q19" i="1287"/>
  <c r="P19" i="1287" s="1"/>
  <c r="AC19" i="1287" s="1"/>
  <c r="O19" i="1287"/>
  <c r="AB19" i="1287"/>
  <c r="AF18" i="1287"/>
  <c r="Q18" i="1287"/>
  <c r="P18" i="1287" s="1"/>
  <c r="AC18" i="1287" s="1"/>
  <c r="O18" i="1287"/>
  <c r="AF17" i="1287"/>
  <c r="Q17" i="1287"/>
  <c r="P17" i="1287" s="1"/>
  <c r="AC17" i="1287" s="1"/>
  <c r="O17" i="1287"/>
  <c r="AB17" i="1287"/>
  <c r="AF16" i="1287"/>
  <c r="Q16" i="1287"/>
  <c r="P16" i="1287" s="1"/>
  <c r="AC16" i="1287" s="1"/>
  <c r="O16" i="1287"/>
  <c r="AF15" i="1287"/>
  <c r="AC15" i="1287"/>
  <c r="AB15" i="1287"/>
  <c r="Q15" i="1287"/>
  <c r="P15" i="1287"/>
  <c r="O15" i="1287"/>
  <c r="M15" i="1287"/>
  <c r="K15" i="1287"/>
  <c r="AF14" i="1287"/>
  <c r="AC14" i="1287"/>
  <c r="AB14" i="1287"/>
  <c r="Q14" i="1287"/>
  <c r="P14" i="1287"/>
  <c r="O14" i="1287"/>
  <c r="M14" i="1287"/>
  <c r="K14" i="1287"/>
  <c r="AF13" i="1287"/>
  <c r="Q13" i="1287"/>
  <c r="O13" i="1287"/>
  <c r="AF12" i="1287"/>
  <c r="Q12" i="1287"/>
  <c r="P12" i="1287"/>
  <c r="AC12" i="1287" s="1"/>
  <c r="AF11" i="1287"/>
  <c r="AB11" i="1287"/>
  <c r="Q11" i="1287"/>
  <c r="P11" i="1287" s="1"/>
  <c r="AC11" i="1287" s="1"/>
  <c r="M11" i="1287"/>
  <c r="AF10" i="1287"/>
  <c r="Q10" i="1287"/>
  <c r="M10" i="1287"/>
  <c r="AF9" i="1287"/>
  <c r="Q9" i="1287"/>
  <c r="O9" i="1287"/>
  <c r="AF8" i="1287"/>
  <c r="Q8" i="1287"/>
  <c r="AF7" i="1287"/>
  <c r="AC7" i="1287"/>
  <c r="AB7" i="1287"/>
  <c r="Q7" i="1287"/>
  <c r="P7" i="1287"/>
  <c r="O7" i="1287"/>
  <c r="M7" i="1287"/>
  <c r="K7" i="1287"/>
  <c r="AF6" i="1287"/>
  <c r="AB6" i="1287"/>
  <c r="Q6" i="1287"/>
  <c r="P6" i="1287"/>
  <c r="O6" i="1287"/>
  <c r="M6" i="1287"/>
  <c r="K6" i="1287"/>
  <c r="AE13" i="1289" l="1"/>
  <c r="AE17" i="1289"/>
  <c r="AE15" i="1289"/>
  <c r="AE21" i="1289"/>
  <c r="AE8" i="1289"/>
  <c r="AE6" i="1289"/>
  <c r="AE16" i="1289"/>
  <c r="AE12" i="1289"/>
  <c r="AE10" i="1289"/>
  <c r="AE14" i="1289"/>
  <c r="AE22" i="1289"/>
  <c r="AE11" i="1289"/>
  <c r="AE7" i="1289"/>
  <c r="AE18" i="1289"/>
  <c r="AE19" i="1289"/>
  <c r="AE9" i="1289"/>
  <c r="AD13" i="1288"/>
  <c r="AD9" i="1288"/>
  <c r="M21" i="1288"/>
  <c r="AB21" i="1288"/>
  <c r="AC21" i="1288"/>
  <c r="AD6" i="1288"/>
  <c r="P9" i="1287"/>
  <c r="AC9" i="1287" s="1"/>
  <c r="K12" i="1287"/>
  <c r="AD7" i="1287"/>
  <c r="M18" i="1287"/>
  <c r="L21" i="1287"/>
  <c r="O21" i="1287" s="1"/>
  <c r="M16" i="1287"/>
  <c r="AB16" i="1287"/>
  <c r="AD16" i="1287" s="1"/>
  <c r="O11" i="1287"/>
  <c r="Q21" i="1287"/>
  <c r="P8" i="1287"/>
  <c r="AC8" i="1287" s="1"/>
  <c r="O8" i="1287"/>
  <c r="AD14" i="1287"/>
  <c r="AD15" i="1287"/>
  <c r="AD11" i="1287"/>
  <c r="AD18" i="1287"/>
  <c r="AD19" i="1287"/>
  <c r="AD17" i="1287"/>
  <c r="AB10" i="1287"/>
  <c r="M9" i="1287"/>
  <c r="AB9" i="1287"/>
  <c r="O10" i="1287"/>
  <c r="AB12" i="1287"/>
  <c r="AC6" i="1287"/>
  <c r="M8" i="1287"/>
  <c r="AB8" i="1287"/>
  <c r="K21" i="1287"/>
  <c r="P10" i="1287"/>
  <c r="AC10" i="1287" s="1"/>
  <c r="O12" i="1287"/>
  <c r="P13" i="1287"/>
  <c r="AC13" i="1287" s="1"/>
  <c r="M17" i="1287"/>
  <c r="M19" i="1287"/>
  <c r="AB13" i="1287"/>
  <c r="M13" i="1287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0" i="1286"/>
  <c r="K20" i="1286"/>
  <c r="AF19" i="1286"/>
  <c r="AC19" i="1286"/>
  <c r="AD19" i="1286" s="1"/>
  <c r="AB19" i="1286"/>
  <c r="Q19" i="1286"/>
  <c r="P19" i="1286"/>
  <c r="O19" i="1286"/>
  <c r="M19" i="1286"/>
  <c r="L19" i="1286"/>
  <c r="K19" i="1286"/>
  <c r="L17" i="1286"/>
  <c r="K17" i="1286"/>
  <c r="L16" i="1286"/>
  <c r="K16" i="1286"/>
  <c r="L13" i="1286"/>
  <c r="AD21" i="1288" l="1"/>
  <c r="AE16" i="1288" s="1"/>
  <c r="AD9" i="1287"/>
  <c r="AD8" i="1287"/>
  <c r="M21" i="1287"/>
  <c r="AD12" i="1287"/>
  <c r="AD13" i="1287"/>
  <c r="AD10" i="1287"/>
  <c r="AC21" i="1287"/>
  <c r="AD6" i="1287"/>
  <c r="P21" i="1287"/>
  <c r="AB21" i="1287"/>
  <c r="L12" i="1286"/>
  <c r="L10" i="1286"/>
  <c r="AB10" i="1286" s="1"/>
  <c r="K10" i="1286"/>
  <c r="L9" i="1286"/>
  <c r="AB9" i="1286" s="1"/>
  <c r="K9" i="1286"/>
  <c r="L8" i="1286"/>
  <c r="K8" i="1286"/>
  <c r="K21" i="1286"/>
  <c r="K13" i="1286"/>
  <c r="K12" i="1286"/>
  <c r="A77" i="1286"/>
  <c r="A78" i="1286" s="1"/>
  <c r="A79" i="1286" s="1"/>
  <c r="A80" i="1286" s="1"/>
  <c r="A81" i="1286" s="1"/>
  <c r="A82" i="1286" s="1"/>
  <c r="A76" i="1286"/>
  <c r="A75" i="1286"/>
  <c r="AF61" i="1286"/>
  <c r="AF60" i="1286"/>
  <c r="AF63" i="1286" s="1"/>
  <c r="AA22" i="1286"/>
  <c r="Z22" i="1286"/>
  <c r="Y22" i="1286"/>
  <c r="X22" i="1286"/>
  <c r="W22" i="1286"/>
  <c r="V22" i="1286"/>
  <c r="U22" i="1286"/>
  <c r="T22" i="1286"/>
  <c r="S22" i="1286"/>
  <c r="R22" i="1286"/>
  <c r="N22" i="1286"/>
  <c r="J22" i="1286"/>
  <c r="I22" i="1286"/>
  <c r="AF21" i="1286"/>
  <c r="AB21" i="1286"/>
  <c r="Q21" i="1286"/>
  <c r="M21" i="1286"/>
  <c r="O21" i="1286"/>
  <c r="AF20" i="1286"/>
  <c r="Q20" i="1286"/>
  <c r="AB20" i="1286"/>
  <c r="AF18" i="1286"/>
  <c r="AB18" i="1286"/>
  <c r="Q18" i="1286"/>
  <c r="P18" i="1286"/>
  <c r="AC18" i="1286" s="1"/>
  <c r="O18" i="1286"/>
  <c r="M18" i="1286"/>
  <c r="K18" i="1286"/>
  <c r="AF17" i="1286"/>
  <c r="AB17" i="1286"/>
  <c r="Q17" i="1286"/>
  <c r="P17" i="1286"/>
  <c r="AC17" i="1286" s="1"/>
  <c r="O17" i="1286"/>
  <c r="M17" i="1286"/>
  <c r="AF16" i="1286"/>
  <c r="AB16" i="1286"/>
  <c r="Q16" i="1286"/>
  <c r="P16" i="1286"/>
  <c r="AC16" i="1286" s="1"/>
  <c r="O16" i="1286"/>
  <c r="M16" i="1286"/>
  <c r="AF15" i="1286"/>
  <c r="AB15" i="1286"/>
  <c r="Q15" i="1286"/>
  <c r="P15" i="1286"/>
  <c r="AC15" i="1286" s="1"/>
  <c r="AD15" i="1286" s="1"/>
  <c r="O15" i="1286"/>
  <c r="M15" i="1286"/>
  <c r="K15" i="1286"/>
  <c r="AF14" i="1286"/>
  <c r="AB14" i="1286"/>
  <c r="Q14" i="1286"/>
  <c r="P14" i="1286"/>
  <c r="AC14" i="1286" s="1"/>
  <c r="O14" i="1286"/>
  <c r="M14" i="1286"/>
  <c r="K14" i="1286"/>
  <c r="AF13" i="1286"/>
  <c r="AB13" i="1286"/>
  <c r="Q13" i="1286"/>
  <c r="P13" i="1286" s="1"/>
  <c r="AC13" i="1286" s="1"/>
  <c r="M13" i="1286"/>
  <c r="AF12" i="1286"/>
  <c r="Q12" i="1286"/>
  <c r="AF11" i="1286"/>
  <c r="AB11" i="1286"/>
  <c r="Q11" i="1286"/>
  <c r="P11" i="1286"/>
  <c r="AC11" i="1286" s="1"/>
  <c r="O11" i="1286"/>
  <c r="M11" i="1286"/>
  <c r="K11" i="1286"/>
  <c r="AF10" i="1286"/>
  <c r="Q10" i="1286"/>
  <c r="P10" i="1286" s="1"/>
  <c r="AC10" i="1286" s="1"/>
  <c r="O10" i="1286"/>
  <c r="M10" i="1286"/>
  <c r="AF9" i="1286"/>
  <c r="Q9" i="1286"/>
  <c r="P9" i="1286"/>
  <c r="AC9" i="1286" s="1"/>
  <c r="O9" i="1286"/>
  <c r="M9" i="1286"/>
  <c r="AF8" i="1286"/>
  <c r="AB8" i="1286"/>
  <c r="Q8" i="1286"/>
  <c r="M8" i="1286"/>
  <c r="AF7" i="1286"/>
  <c r="AB7" i="1286"/>
  <c r="Q7" i="1286"/>
  <c r="P7" i="1286"/>
  <c r="AC7" i="1286" s="1"/>
  <c r="O7" i="1286"/>
  <c r="M7" i="1286"/>
  <c r="K7" i="1286"/>
  <c r="AF6" i="1286"/>
  <c r="AB6" i="1286"/>
  <c r="Q6" i="1286"/>
  <c r="P6" i="1286"/>
  <c r="AC6" i="1286" s="1"/>
  <c r="O6" i="1286"/>
  <c r="M6" i="1286"/>
  <c r="K6" i="1286"/>
  <c r="AE9" i="1288" l="1"/>
  <c r="AE12" i="1288"/>
  <c r="AE14" i="1288"/>
  <c r="AE13" i="1288"/>
  <c r="AE8" i="1288"/>
  <c r="AE6" i="1288"/>
  <c r="AE15" i="1288"/>
  <c r="AE18" i="1288"/>
  <c r="AE17" i="1288"/>
  <c r="AE10" i="1288"/>
  <c r="AE11" i="1288"/>
  <c r="AE19" i="1288"/>
  <c r="AE7" i="1288"/>
  <c r="AE20" i="1288"/>
  <c r="AD21" i="1287"/>
  <c r="AE20" i="1287" s="1"/>
  <c r="P8" i="1286"/>
  <c r="AC8" i="1286" s="1"/>
  <c r="AD16" i="1286"/>
  <c r="P12" i="1286"/>
  <c r="AC12" i="1286" s="1"/>
  <c r="AD10" i="1286"/>
  <c r="Q22" i="1286"/>
  <c r="AD7" i="1286"/>
  <c r="AD9" i="1286"/>
  <c r="AD11" i="1286"/>
  <c r="AD18" i="1286"/>
  <c r="AD17" i="1286"/>
  <c r="AD14" i="1286"/>
  <c r="L22" i="1286"/>
  <c r="O22" i="1286" s="1"/>
  <c r="AD6" i="1286"/>
  <c r="O8" i="1286"/>
  <c r="M12" i="1286"/>
  <c r="AB12" i="1286"/>
  <c r="O13" i="1286"/>
  <c r="AD13" i="1286" s="1"/>
  <c r="K22" i="1286"/>
  <c r="O12" i="1286"/>
  <c r="O20" i="1286"/>
  <c r="P21" i="1286"/>
  <c r="AC21" i="1286" s="1"/>
  <c r="AD21" i="1286" s="1"/>
  <c r="P20" i="1286"/>
  <c r="AC20" i="1286" s="1"/>
  <c r="M20" i="128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0" i="1285"/>
  <c r="L19" i="1285"/>
  <c r="AB19" i="1285" s="1"/>
  <c r="L13" i="1285"/>
  <c r="L12" i="1285"/>
  <c r="AB12" i="1285" s="1"/>
  <c r="L8" i="1285"/>
  <c r="K20" i="1285"/>
  <c r="K13" i="1285"/>
  <c r="K12" i="1285"/>
  <c r="K10" i="1285"/>
  <c r="K8" i="1285"/>
  <c r="A75" i="1285"/>
  <c r="A76" i="1285" s="1"/>
  <c r="A77" i="1285" s="1"/>
  <c r="A78" i="1285" s="1"/>
  <c r="A79" i="1285" s="1"/>
  <c r="A80" i="1285" s="1"/>
  <c r="A81" i="1285" s="1"/>
  <c r="A74" i="1285"/>
  <c r="AF60" i="1285"/>
  <c r="AF59" i="1285"/>
  <c r="AF62" i="1285" s="1"/>
  <c r="AA21" i="1285"/>
  <c r="Z21" i="1285"/>
  <c r="Y21" i="1285"/>
  <c r="X21" i="1285"/>
  <c r="W21" i="1285"/>
  <c r="V21" i="1285"/>
  <c r="U21" i="1285"/>
  <c r="T21" i="1285"/>
  <c r="S21" i="1285"/>
  <c r="R21" i="1285"/>
  <c r="N21" i="1285"/>
  <c r="J21" i="1285"/>
  <c r="I21" i="1285"/>
  <c r="AF20" i="1285"/>
  <c r="Q20" i="1285"/>
  <c r="O20" i="1285"/>
  <c r="AF19" i="1285"/>
  <c r="Q19" i="1285"/>
  <c r="O19" i="1285"/>
  <c r="AF18" i="1285"/>
  <c r="AB18" i="1285"/>
  <c r="Q18" i="1285"/>
  <c r="P18" i="1285"/>
  <c r="AC18" i="1285" s="1"/>
  <c r="O18" i="1285"/>
  <c r="M18" i="1285"/>
  <c r="K18" i="1285"/>
  <c r="AF17" i="1285"/>
  <c r="AB17" i="1285"/>
  <c r="Q17" i="1285"/>
  <c r="P17" i="1285"/>
  <c r="AC17" i="1285" s="1"/>
  <c r="AD17" i="1285" s="1"/>
  <c r="O17" i="1285"/>
  <c r="M17" i="1285"/>
  <c r="K17" i="1285"/>
  <c r="AF16" i="1285"/>
  <c r="AB16" i="1285"/>
  <c r="Q16" i="1285"/>
  <c r="P16" i="1285"/>
  <c r="AC16" i="1285" s="1"/>
  <c r="AD16" i="1285" s="1"/>
  <c r="O16" i="1285"/>
  <c r="M16" i="1285"/>
  <c r="K16" i="1285"/>
  <c r="AF15" i="1285"/>
  <c r="AB15" i="1285"/>
  <c r="Q15" i="1285"/>
  <c r="P15" i="1285"/>
  <c r="AC15" i="1285" s="1"/>
  <c r="O15" i="1285"/>
  <c r="M15" i="1285"/>
  <c r="K15" i="1285"/>
  <c r="AF14" i="1285"/>
  <c r="AC14" i="1285"/>
  <c r="AD14" i="1285" s="1"/>
  <c r="AB14" i="1285"/>
  <c r="Q14" i="1285"/>
  <c r="P14" i="1285"/>
  <c r="O14" i="1285"/>
  <c r="M14" i="1285"/>
  <c r="K14" i="1285"/>
  <c r="AF13" i="1285"/>
  <c r="Q13" i="1285"/>
  <c r="AF12" i="1285"/>
  <c r="Q12" i="1285"/>
  <c r="P12" i="1285"/>
  <c r="AC12" i="1285" s="1"/>
  <c r="O12" i="1285"/>
  <c r="AF11" i="1285"/>
  <c r="AC11" i="1285"/>
  <c r="AB11" i="1285"/>
  <c r="Q11" i="1285"/>
  <c r="P11" i="1285"/>
  <c r="O11" i="1285"/>
  <c r="M11" i="1285"/>
  <c r="K11" i="1285"/>
  <c r="AF10" i="1285"/>
  <c r="Q10" i="1285"/>
  <c r="P10" i="1285"/>
  <c r="AC10" i="1285" s="1"/>
  <c r="AB10" i="1285"/>
  <c r="AF9" i="1285"/>
  <c r="AC9" i="1285"/>
  <c r="AB9" i="1285"/>
  <c r="Q9" i="1285"/>
  <c r="P9" i="1285"/>
  <c r="O9" i="1285"/>
  <c r="M9" i="1285"/>
  <c r="K9" i="1285"/>
  <c r="AF8" i="1285"/>
  <c r="Q8" i="1285"/>
  <c r="AF7" i="1285"/>
  <c r="AB7" i="1285"/>
  <c r="Q7" i="1285"/>
  <c r="P7" i="1285"/>
  <c r="AC7" i="1285" s="1"/>
  <c r="AD7" i="1285" s="1"/>
  <c r="O7" i="1285"/>
  <c r="M7" i="1285"/>
  <c r="K7" i="1285"/>
  <c r="AF6" i="1285"/>
  <c r="AC6" i="1285"/>
  <c r="AB6" i="1285"/>
  <c r="Q6" i="1285"/>
  <c r="P6" i="1285"/>
  <c r="O6" i="1285"/>
  <c r="M6" i="1285"/>
  <c r="K6" i="1285"/>
  <c r="AE14" i="1287" l="1"/>
  <c r="AE8" i="1287"/>
  <c r="AE17" i="1287"/>
  <c r="AE16" i="1287"/>
  <c r="AE6" i="1287"/>
  <c r="AE10" i="1287"/>
  <c r="AE13" i="1287"/>
  <c r="AE19" i="1287"/>
  <c r="AE15" i="1287"/>
  <c r="AE11" i="1287"/>
  <c r="AE18" i="1287"/>
  <c r="AE12" i="1287"/>
  <c r="AE7" i="1287"/>
  <c r="AE9" i="1287"/>
  <c r="AD12" i="1286"/>
  <c r="M22" i="1286"/>
  <c r="AC22" i="1286"/>
  <c r="AB22" i="1286"/>
  <c r="AD20" i="1286"/>
  <c r="P22" i="1286"/>
  <c r="AD8" i="1286"/>
  <c r="Q21" i="1285"/>
  <c r="P19" i="1285"/>
  <c r="AC19" i="1285" s="1"/>
  <c r="AD19" i="1285" s="1"/>
  <c r="K19" i="1285"/>
  <c r="M19" i="1285"/>
  <c r="P13" i="1285"/>
  <c r="AC13" i="1285" s="1"/>
  <c r="AB13" i="1285"/>
  <c r="L21" i="1285"/>
  <c r="O21" i="1285" s="1"/>
  <c r="AD15" i="1285"/>
  <c r="AD9" i="1285"/>
  <c r="AD11" i="1285"/>
  <c r="AD18" i="1285"/>
  <c r="AD12" i="1285"/>
  <c r="AB8" i="1285"/>
  <c r="AD6" i="1285"/>
  <c r="O8" i="1285"/>
  <c r="M10" i="1285"/>
  <c r="P8" i="1285"/>
  <c r="AC8" i="1285" s="1"/>
  <c r="O10" i="1285"/>
  <c r="AD10" i="1285" s="1"/>
  <c r="M12" i="1285"/>
  <c r="O13" i="1285"/>
  <c r="P20" i="1285"/>
  <c r="AC20" i="1285" s="1"/>
  <c r="M8" i="1285"/>
  <c r="M20" i="1285"/>
  <c r="AB20" i="1285"/>
  <c r="M13" i="1285"/>
  <c r="L20" i="1284"/>
  <c r="AB20" i="1284" s="1"/>
  <c r="L13" i="1284"/>
  <c r="K13" i="1284" s="1"/>
  <c r="L12" i="1284"/>
  <c r="M12" i="1284" s="1"/>
  <c r="L10" i="1284"/>
  <c r="L8" i="1284"/>
  <c r="K8" i="1284"/>
  <c r="K16" i="1284"/>
  <c r="K12" i="1284"/>
  <c r="K10" i="1284"/>
  <c r="A74" i="1284"/>
  <c r="A75" i="1284" s="1"/>
  <c r="A76" i="1284" s="1"/>
  <c r="A77" i="1284" s="1"/>
  <c r="A78" i="1284" s="1"/>
  <c r="A79" i="1284" s="1"/>
  <c r="A80" i="1284" s="1"/>
  <c r="A81" i="1284" s="1"/>
  <c r="AF60" i="1284"/>
  <c r="AF62" i="1284" s="1"/>
  <c r="AF59" i="1284"/>
  <c r="AA21" i="1284"/>
  <c r="Z21" i="1284"/>
  <c r="Y21" i="1284"/>
  <c r="X21" i="1284"/>
  <c r="W21" i="1284"/>
  <c r="V21" i="1284"/>
  <c r="U21" i="1284"/>
  <c r="T21" i="1284"/>
  <c r="S21" i="1284"/>
  <c r="R21" i="1284"/>
  <c r="N21" i="1284"/>
  <c r="J21" i="1284"/>
  <c r="I21" i="1284"/>
  <c r="AF20" i="1284"/>
  <c r="Q20" i="1284"/>
  <c r="O20" i="1284"/>
  <c r="AF19" i="1284"/>
  <c r="AB19" i="1284"/>
  <c r="Q19" i="1284"/>
  <c r="P19" i="1284"/>
  <c r="AC19" i="1284" s="1"/>
  <c r="AD19" i="1284" s="1"/>
  <c r="O19" i="1284"/>
  <c r="M19" i="1284"/>
  <c r="K19" i="1284"/>
  <c r="AF18" i="1284"/>
  <c r="AB18" i="1284"/>
  <c r="Q18" i="1284"/>
  <c r="P18" i="1284"/>
  <c r="AC18" i="1284" s="1"/>
  <c r="AD18" i="1284" s="1"/>
  <c r="O18" i="1284"/>
  <c r="M18" i="1284"/>
  <c r="K18" i="1284"/>
  <c r="AF17" i="1284"/>
  <c r="AC17" i="1284"/>
  <c r="AD17" i="1284" s="1"/>
  <c r="AB17" i="1284"/>
  <c r="Q17" i="1284"/>
  <c r="P17" i="1284"/>
  <c r="O17" i="1284"/>
  <c r="M17" i="1284"/>
  <c r="K17" i="1284"/>
  <c r="AF16" i="1284"/>
  <c r="Q16" i="1284"/>
  <c r="P16" i="1284"/>
  <c r="AC16" i="1284" s="1"/>
  <c r="O16" i="1284"/>
  <c r="AF15" i="1284"/>
  <c r="AC15" i="1284"/>
  <c r="AB15" i="1284"/>
  <c r="Q15" i="1284"/>
  <c r="P15" i="1284"/>
  <c r="O15" i="1284"/>
  <c r="M15" i="1284"/>
  <c r="K15" i="1284"/>
  <c r="AF14" i="1284"/>
  <c r="AB14" i="1284"/>
  <c r="Q14" i="1284"/>
  <c r="P14" i="1284"/>
  <c r="AC14" i="1284" s="1"/>
  <c r="AD14" i="1284" s="1"/>
  <c r="O14" i="1284"/>
  <c r="M14" i="1284"/>
  <c r="K14" i="1284"/>
  <c r="AF13" i="1284"/>
  <c r="AB13" i="1284"/>
  <c r="Q13" i="1284"/>
  <c r="M13" i="1284"/>
  <c r="AF12" i="1284"/>
  <c r="AB12" i="1284"/>
  <c r="Q12" i="1284"/>
  <c r="P12" i="1284" s="1"/>
  <c r="AC12" i="1284" s="1"/>
  <c r="AD12" i="1284" s="1"/>
  <c r="O12" i="1284"/>
  <c r="AF11" i="1284"/>
  <c r="AC11" i="1284"/>
  <c r="AB11" i="1284"/>
  <c r="Q11" i="1284"/>
  <c r="P11" i="1284"/>
  <c r="O11" i="1284"/>
  <c r="M11" i="1284"/>
  <c r="K11" i="1284"/>
  <c r="AF10" i="1284"/>
  <c r="Q10" i="1284"/>
  <c r="P10" i="1284"/>
  <c r="AC10" i="1284" s="1"/>
  <c r="AF9" i="1284"/>
  <c r="AB9" i="1284"/>
  <c r="Q9" i="1284"/>
  <c r="P9" i="1284"/>
  <c r="AC9" i="1284" s="1"/>
  <c r="AD9" i="1284" s="1"/>
  <c r="O9" i="1284"/>
  <c r="M9" i="1284"/>
  <c r="K9" i="1284"/>
  <c r="AF8" i="1284"/>
  <c r="AB8" i="1284"/>
  <c r="Q8" i="1284"/>
  <c r="O8" i="1284"/>
  <c r="M8" i="1284"/>
  <c r="AF7" i="1284"/>
  <c r="AB7" i="1284"/>
  <c r="Q7" i="1284"/>
  <c r="P7" i="1284"/>
  <c r="AC7" i="1284" s="1"/>
  <c r="AD7" i="1284" s="1"/>
  <c r="O7" i="1284"/>
  <c r="M7" i="1284"/>
  <c r="K7" i="1284"/>
  <c r="AF6" i="1284"/>
  <c r="AC6" i="1284"/>
  <c r="AB6" i="1284"/>
  <c r="Q6" i="1284"/>
  <c r="P6" i="1284"/>
  <c r="O6" i="1284"/>
  <c r="M6" i="1284"/>
  <c r="K6" i="1284"/>
  <c r="AD22" i="1286" l="1"/>
  <c r="AB21" i="1285"/>
  <c r="AD13" i="1285"/>
  <c r="M21" i="1285"/>
  <c r="AD8" i="1285"/>
  <c r="AC21" i="1285"/>
  <c r="K21" i="1285"/>
  <c r="AD20" i="1285"/>
  <c r="P21" i="1285"/>
  <c r="P20" i="1284"/>
  <c r="AC20" i="1284" s="1"/>
  <c r="AD20" i="1284" s="1"/>
  <c r="K20" i="1284"/>
  <c r="M20" i="1284"/>
  <c r="O13" i="1284"/>
  <c r="P13" i="1284"/>
  <c r="AC13" i="1284" s="1"/>
  <c r="AD13" i="1284" s="1"/>
  <c r="P8" i="1284"/>
  <c r="AC8" i="1284" s="1"/>
  <c r="AD8" i="1284" s="1"/>
  <c r="Q21" i="1284"/>
  <c r="AD11" i="1284"/>
  <c r="AD15" i="1284"/>
  <c r="AD16" i="1284"/>
  <c r="M10" i="1284"/>
  <c r="AD6" i="1284"/>
  <c r="O10" i="1284"/>
  <c r="M16" i="1284"/>
  <c r="AB16" i="1284"/>
  <c r="L21" i="1284"/>
  <c r="O21" i="1284" s="1"/>
  <c r="AB10" i="1284"/>
  <c r="AB21" i="1284" s="1"/>
  <c r="K21" i="1284"/>
  <c r="L16" i="1283"/>
  <c r="K16" i="1283"/>
  <c r="L10" i="1283"/>
  <c r="L21" i="1283" s="1"/>
  <c r="O21" i="1283" s="1"/>
  <c r="K20" i="1283"/>
  <c r="K18" i="1283"/>
  <c r="K13" i="1283"/>
  <c r="K12" i="1283"/>
  <c r="K10" i="1283"/>
  <c r="K9" i="1283"/>
  <c r="A75" i="1283"/>
  <c r="A76" i="1283" s="1"/>
  <c r="A77" i="1283" s="1"/>
  <c r="A78" i="1283" s="1"/>
  <c r="A79" i="1283" s="1"/>
  <c r="A80" i="1283" s="1"/>
  <c r="A81" i="1283" s="1"/>
  <c r="A74" i="1283"/>
  <c r="AF60" i="1283"/>
  <c r="AF59" i="1283"/>
  <c r="AF62" i="1283" s="1"/>
  <c r="AA21" i="1283"/>
  <c r="Z21" i="1283"/>
  <c r="Y21" i="1283"/>
  <c r="X21" i="1283"/>
  <c r="W21" i="1283"/>
  <c r="V21" i="1283"/>
  <c r="U21" i="1283"/>
  <c r="T21" i="1283"/>
  <c r="S21" i="1283"/>
  <c r="R21" i="1283"/>
  <c r="N21" i="1283"/>
  <c r="J21" i="1283"/>
  <c r="I21" i="1283"/>
  <c r="AF20" i="1283"/>
  <c r="Q20" i="1283"/>
  <c r="O20" i="1283"/>
  <c r="AF19" i="1283"/>
  <c r="AB19" i="1283"/>
  <c r="Q19" i="1283"/>
  <c r="P19" i="1283"/>
  <c r="AC19" i="1283" s="1"/>
  <c r="O19" i="1283"/>
  <c r="M19" i="1283"/>
  <c r="K19" i="1283"/>
  <c r="AF18" i="1283"/>
  <c r="AB18" i="1283"/>
  <c r="Q18" i="1283"/>
  <c r="M18" i="1283"/>
  <c r="P18" i="1283"/>
  <c r="AC18" i="1283" s="1"/>
  <c r="AF17" i="1283"/>
  <c r="AB17" i="1283"/>
  <c r="Q17" i="1283"/>
  <c r="P17" i="1283"/>
  <c r="AC17" i="1283" s="1"/>
  <c r="O17" i="1283"/>
  <c r="M17" i="1283"/>
  <c r="K17" i="1283"/>
  <c r="AF16" i="1283"/>
  <c r="AB16" i="1283"/>
  <c r="Q16" i="1283"/>
  <c r="P16" i="1283" s="1"/>
  <c r="AC16" i="1283" s="1"/>
  <c r="O16" i="1283"/>
  <c r="M16" i="1283"/>
  <c r="AF15" i="1283"/>
  <c r="AC15" i="1283"/>
  <c r="AB15" i="1283"/>
  <c r="Q15" i="1283"/>
  <c r="P15" i="1283"/>
  <c r="O15" i="1283"/>
  <c r="M15" i="1283"/>
  <c r="K15" i="1283"/>
  <c r="AF14" i="1283"/>
  <c r="AC14" i="1283"/>
  <c r="AB14" i="1283"/>
  <c r="Q14" i="1283"/>
  <c r="P14" i="1283"/>
  <c r="O14" i="1283"/>
  <c r="M14" i="1283"/>
  <c r="K14" i="1283"/>
  <c r="AF13" i="1283"/>
  <c r="Q13" i="1283"/>
  <c r="AB13" i="1283"/>
  <c r="AF12" i="1283"/>
  <c r="AB12" i="1283"/>
  <c r="Q12" i="1283"/>
  <c r="P12" i="1283"/>
  <c r="AC12" i="1283" s="1"/>
  <c r="M12" i="1283"/>
  <c r="O12" i="1283"/>
  <c r="AF11" i="1283"/>
  <c r="AC11" i="1283"/>
  <c r="AB11" i="1283"/>
  <c r="Q11" i="1283"/>
  <c r="P11" i="1283"/>
  <c r="O11" i="1283"/>
  <c r="M11" i="1283"/>
  <c r="K11" i="1283"/>
  <c r="AF10" i="1283"/>
  <c r="Q10" i="1283"/>
  <c r="AB10" i="1283"/>
  <c r="AF9" i="1283"/>
  <c r="AB9" i="1283"/>
  <c r="Q9" i="1283"/>
  <c r="P9" i="1283"/>
  <c r="AC9" i="1283" s="1"/>
  <c r="M9" i="1283"/>
  <c r="AF8" i="1283"/>
  <c r="AC8" i="1283"/>
  <c r="AD8" i="1283" s="1"/>
  <c r="AB8" i="1283"/>
  <c r="Q8" i="1283"/>
  <c r="P8" i="1283"/>
  <c r="O8" i="1283"/>
  <c r="M8" i="1283"/>
  <c r="K8" i="1283"/>
  <c r="AF7" i="1283"/>
  <c r="AC7" i="1283"/>
  <c r="AD7" i="1283" s="1"/>
  <c r="AB7" i="1283"/>
  <c r="Q7" i="1283"/>
  <c r="P7" i="1283"/>
  <c r="O7" i="1283"/>
  <c r="M7" i="1283"/>
  <c r="K7" i="1283"/>
  <c r="AF6" i="1283"/>
  <c r="AC6" i="1283"/>
  <c r="AB6" i="1283"/>
  <c r="Q6" i="1283"/>
  <c r="P6" i="1283"/>
  <c r="O6" i="1283"/>
  <c r="M6" i="1283"/>
  <c r="K6" i="1283"/>
  <c r="AE20" i="1286" l="1"/>
  <c r="AE19" i="1286"/>
  <c r="AE16" i="1286"/>
  <c r="AE18" i="1286"/>
  <c r="AE9" i="1286"/>
  <c r="AE6" i="1286"/>
  <c r="AE10" i="1286"/>
  <c r="AE15" i="1286"/>
  <c r="AE11" i="1286"/>
  <c r="AE17" i="1286"/>
  <c r="AE12" i="1286"/>
  <c r="AE8" i="1286"/>
  <c r="AE21" i="1286"/>
  <c r="AE7" i="1286"/>
  <c r="AE14" i="1286"/>
  <c r="AE13" i="1286"/>
  <c r="AD21" i="1285"/>
  <c r="AE19" i="1285" s="1"/>
  <c r="M21" i="1284"/>
  <c r="AC21" i="1284"/>
  <c r="P21" i="1284"/>
  <c r="AD10" i="1284"/>
  <c r="AD21" i="1284" s="1"/>
  <c r="Q21" i="1283"/>
  <c r="AD11" i="1283"/>
  <c r="AD16" i="1283"/>
  <c r="AD17" i="1283"/>
  <c r="AD19" i="1283"/>
  <c r="AD14" i="1283"/>
  <c r="AD15" i="1283"/>
  <c r="K21" i="1283"/>
  <c r="AD12" i="1283"/>
  <c r="O10" i="1283"/>
  <c r="O13" i="1283"/>
  <c r="O9" i="1283"/>
  <c r="AD9" i="1283" s="1"/>
  <c r="P10" i="1283"/>
  <c r="AC10" i="1283" s="1"/>
  <c r="P13" i="1283"/>
  <c r="AC13" i="1283" s="1"/>
  <c r="P20" i="1283"/>
  <c r="AC20" i="1283" s="1"/>
  <c r="AD6" i="1283"/>
  <c r="M10" i="1283"/>
  <c r="M21" i="1283" s="1"/>
  <c r="M13" i="1283"/>
  <c r="O18" i="1283"/>
  <c r="AD18" i="1283" s="1"/>
  <c r="M20" i="1283"/>
  <c r="AB20" i="1283"/>
  <c r="AB21" i="1283" s="1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0" i="1282"/>
  <c r="K20" i="1282" s="1"/>
  <c r="L18" i="1282"/>
  <c r="K18" i="1282" s="1"/>
  <c r="L13" i="1282"/>
  <c r="K13" i="1282" s="1"/>
  <c r="L12" i="1282"/>
  <c r="O12" i="1282" s="1"/>
  <c r="L10" i="1282"/>
  <c r="O10" i="1282" s="1"/>
  <c r="K10" i="1282"/>
  <c r="L9" i="1282"/>
  <c r="K9" i="1282" s="1"/>
  <c r="K16" i="1282"/>
  <c r="K8" i="1282"/>
  <c r="A74" i="1282"/>
  <c r="A75" i="1282" s="1"/>
  <c r="A76" i="1282" s="1"/>
  <c r="A77" i="1282" s="1"/>
  <c r="A78" i="1282" s="1"/>
  <c r="A79" i="1282" s="1"/>
  <c r="A80" i="1282" s="1"/>
  <c r="A81" i="1282" s="1"/>
  <c r="AF60" i="1282"/>
  <c r="AF59" i="1282"/>
  <c r="AA21" i="1282"/>
  <c r="Z21" i="1282"/>
  <c r="Y21" i="1282"/>
  <c r="X21" i="1282"/>
  <c r="W21" i="1282"/>
  <c r="V21" i="1282"/>
  <c r="U21" i="1282"/>
  <c r="T21" i="1282"/>
  <c r="S21" i="1282"/>
  <c r="R21" i="1282"/>
  <c r="N21" i="1282"/>
  <c r="J21" i="1282"/>
  <c r="I21" i="1282"/>
  <c r="AF20" i="1282"/>
  <c r="Q20" i="1282"/>
  <c r="O20" i="1282"/>
  <c r="AF19" i="1282"/>
  <c r="AB19" i="1282"/>
  <c r="Q19" i="1282"/>
  <c r="P19" i="1282"/>
  <c r="AC19" i="1282" s="1"/>
  <c r="O19" i="1282"/>
  <c r="M19" i="1282"/>
  <c r="K19" i="1282"/>
  <c r="AF18" i="1282"/>
  <c r="AB18" i="1282"/>
  <c r="Q18" i="1282"/>
  <c r="P18" i="1282"/>
  <c r="AC18" i="1282" s="1"/>
  <c r="AF17" i="1282"/>
  <c r="AB17" i="1282"/>
  <c r="Q17" i="1282"/>
  <c r="P17" i="1282"/>
  <c r="AC17" i="1282" s="1"/>
  <c r="O17" i="1282"/>
  <c r="M17" i="1282"/>
  <c r="K17" i="1282"/>
  <c r="AF16" i="1282"/>
  <c r="AB16" i="1282"/>
  <c r="Q16" i="1282"/>
  <c r="P16" i="1282" s="1"/>
  <c r="AC16" i="1282" s="1"/>
  <c r="O16" i="1282"/>
  <c r="M16" i="1282"/>
  <c r="AF15" i="1282"/>
  <c r="AB15" i="1282"/>
  <c r="Q15" i="1282"/>
  <c r="P15" i="1282"/>
  <c r="AC15" i="1282" s="1"/>
  <c r="O15" i="1282"/>
  <c r="M15" i="1282"/>
  <c r="K15" i="1282"/>
  <c r="AF14" i="1282"/>
  <c r="AB14" i="1282"/>
  <c r="Q14" i="1282"/>
  <c r="P14" i="1282"/>
  <c r="AC14" i="1282" s="1"/>
  <c r="O14" i="1282"/>
  <c r="M14" i="1282"/>
  <c r="K14" i="1282"/>
  <c r="AF13" i="1282"/>
  <c r="Q13" i="1282"/>
  <c r="O13" i="1282"/>
  <c r="M13" i="1282"/>
  <c r="AF12" i="1282"/>
  <c r="Q12" i="1282"/>
  <c r="AF11" i="1282"/>
  <c r="AB11" i="1282"/>
  <c r="Q11" i="1282"/>
  <c r="P11" i="1282"/>
  <c r="AC11" i="1282" s="1"/>
  <c r="O11" i="1282"/>
  <c r="M11" i="1282"/>
  <c r="K11" i="1282"/>
  <c r="AF10" i="1282"/>
  <c r="AB10" i="1282"/>
  <c r="Q10" i="1282"/>
  <c r="P10" i="1282"/>
  <c r="AC10" i="1282" s="1"/>
  <c r="M10" i="1282"/>
  <c r="AF9" i="1282"/>
  <c r="AB9" i="1282"/>
  <c r="Q9" i="1282"/>
  <c r="P9" i="1282" s="1"/>
  <c r="AC9" i="1282" s="1"/>
  <c r="M9" i="1282"/>
  <c r="L21" i="1282"/>
  <c r="O21" i="1282" s="1"/>
  <c r="AF8" i="1282"/>
  <c r="AB8" i="1282"/>
  <c r="Q8" i="1282"/>
  <c r="P8" i="1282" s="1"/>
  <c r="AC8" i="1282" s="1"/>
  <c r="O8" i="1282"/>
  <c r="M8" i="1282"/>
  <c r="AF7" i="1282"/>
  <c r="AB7" i="1282"/>
  <c r="Q7" i="1282"/>
  <c r="P7" i="1282"/>
  <c r="AC7" i="1282" s="1"/>
  <c r="O7" i="1282"/>
  <c r="M7" i="1282"/>
  <c r="K7" i="1282"/>
  <c r="AF6" i="1282"/>
  <c r="AB6" i="1282"/>
  <c r="Q6" i="1282"/>
  <c r="P6" i="1282"/>
  <c r="AC6" i="1282" s="1"/>
  <c r="O6" i="1282"/>
  <c r="M6" i="1282"/>
  <c r="K6" i="1282"/>
  <c r="AE9" i="1285" l="1"/>
  <c r="AE12" i="1285"/>
  <c r="AE15" i="1285"/>
  <c r="AE14" i="1285"/>
  <c r="AE16" i="1285"/>
  <c r="AE7" i="1285"/>
  <c r="AE17" i="1285"/>
  <c r="AE10" i="1285"/>
  <c r="AE6" i="1285"/>
  <c r="AE18" i="1285"/>
  <c r="AE13" i="1285"/>
  <c r="AE20" i="1285"/>
  <c r="AE11" i="1285"/>
  <c r="AE8" i="1285"/>
  <c r="AE19" i="1284"/>
  <c r="AE17" i="1284"/>
  <c r="AE8" i="1284"/>
  <c r="AE6" i="1284"/>
  <c r="AE16" i="1284"/>
  <c r="AE9" i="1284"/>
  <c r="AE7" i="1284"/>
  <c r="AE15" i="1284"/>
  <c r="AE13" i="1284"/>
  <c r="AE11" i="1284"/>
  <c r="AE14" i="1284"/>
  <c r="AE12" i="1284"/>
  <c r="AE10" i="1284"/>
  <c r="AE20" i="1284"/>
  <c r="AE18" i="1284"/>
  <c r="AD13" i="1283"/>
  <c r="AD10" i="1283"/>
  <c r="P21" i="1283"/>
  <c r="AC21" i="1283"/>
  <c r="AD20" i="1283"/>
  <c r="M18" i="1282"/>
  <c r="AD7" i="1282"/>
  <c r="AD16" i="1282"/>
  <c r="P12" i="1282"/>
  <c r="AC12" i="1282" s="1"/>
  <c r="AF62" i="1282"/>
  <c r="K12" i="1282"/>
  <c r="P13" i="1282"/>
  <c r="AC13" i="1282" s="1"/>
  <c r="AB13" i="1282"/>
  <c r="AD13" i="1282" s="1"/>
  <c r="AD10" i="1282"/>
  <c r="Q21" i="1282"/>
  <c r="AD17" i="1282"/>
  <c r="AD19" i="1282"/>
  <c r="AD14" i="1282"/>
  <c r="AD8" i="1282"/>
  <c r="AD11" i="1282"/>
  <c r="AD15" i="1282"/>
  <c r="M12" i="1282"/>
  <c r="AB12" i="1282"/>
  <c r="P20" i="1282"/>
  <c r="AC20" i="1282" s="1"/>
  <c r="AD6" i="1282"/>
  <c r="O9" i="1282"/>
  <c r="AD9" i="1282" s="1"/>
  <c r="K21" i="1282"/>
  <c r="O18" i="1282"/>
  <c r="AD18" i="1282" s="1"/>
  <c r="M20" i="1282"/>
  <c r="AB20" i="1282"/>
  <c r="L22" i="1281"/>
  <c r="M22" i="1281" s="1"/>
  <c r="L20" i="1281"/>
  <c r="AF18" i="1281"/>
  <c r="AB18" i="1281"/>
  <c r="Q18" i="1281"/>
  <c r="P18" i="1281" s="1"/>
  <c r="AC18" i="1281" s="1"/>
  <c r="O18" i="1281"/>
  <c r="M18" i="1281"/>
  <c r="K18" i="1281"/>
  <c r="L17" i="1281"/>
  <c r="O17" i="1281" s="1"/>
  <c r="K17" i="1281"/>
  <c r="L14" i="1281"/>
  <c r="AB14" i="1281" s="1"/>
  <c r="L13" i="1281"/>
  <c r="O13" i="1281" s="1"/>
  <c r="K13" i="1281"/>
  <c r="K11" i="1281"/>
  <c r="L10" i="1281"/>
  <c r="K10" i="1281" s="1"/>
  <c r="K9" i="1281"/>
  <c r="K8" i="1281"/>
  <c r="K22" i="1281"/>
  <c r="K21" i="1281"/>
  <c r="K20" i="1281"/>
  <c r="K19" i="1281"/>
  <c r="K14" i="1281"/>
  <c r="K12" i="1281"/>
  <c r="A76" i="1281"/>
  <c r="A77" i="1281" s="1"/>
  <c r="A78" i="1281" s="1"/>
  <c r="A79" i="1281" s="1"/>
  <c r="A80" i="1281" s="1"/>
  <c r="A81" i="1281" s="1"/>
  <c r="A82" i="1281" s="1"/>
  <c r="A83" i="1281" s="1"/>
  <c r="AF62" i="1281"/>
  <c r="AF64" i="1281" s="1"/>
  <c r="AF61" i="1281"/>
  <c r="AA23" i="1281"/>
  <c r="Z23" i="1281"/>
  <c r="Y23" i="1281"/>
  <c r="X23" i="1281"/>
  <c r="W23" i="1281"/>
  <c r="V23" i="1281"/>
  <c r="U23" i="1281"/>
  <c r="T23" i="1281"/>
  <c r="S23" i="1281"/>
  <c r="R23" i="1281"/>
  <c r="N23" i="1281"/>
  <c r="J23" i="1281"/>
  <c r="I23" i="1281"/>
  <c r="AF22" i="1281"/>
  <c r="AB22" i="1281"/>
  <c r="Q22" i="1281"/>
  <c r="P22" i="1281"/>
  <c r="AC22" i="1281" s="1"/>
  <c r="O22" i="1281"/>
  <c r="AF21" i="1281"/>
  <c r="Q21" i="1281"/>
  <c r="O21" i="1281"/>
  <c r="AB21" i="1281"/>
  <c r="AF20" i="1281"/>
  <c r="AB20" i="1281"/>
  <c r="Q20" i="1281"/>
  <c r="O20" i="1281"/>
  <c r="M20" i="1281"/>
  <c r="AF19" i="1281"/>
  <c r="AB19" i="1281"/>
  <c r="Q19" i="1281"/>
  <c r="P19" i="1281"/>
  <c r="AC19" i="1281" s="1"/>
  <c r="O19" i="1281"/>
  <c r="M19" i="1281"/>
  <c r="AF17" i="1281"/>
  <c r="Q17" i="1281"/>
  <c r="AB17" i="1281"/>
  <c r="AF16" i="1281"/>
  <c r="AB16" i="1281"/>
  <c r="Q16" i="1281"/>
  <c r="P16" i="1281"/>
  <c r="AC16" i="1281" s="1"/>
  <c r="O16" i="1281"/>
  <c r="M16" i="1281"/>
  <c r="K16" i="1281"/>
  <c r="AF15" i="1281"/>
  <c r="AB15" i="1281"/>
  <c r="Q15" i="1281"/>
  <c r="P15" i="1281"/>
  <c r="AC15" i="1281" s="1"/>
  <c r="O15" i="1281"/>
  <c r="M15" i="1281"/>
  <c r="K15" i="1281"/>
  <c r="AF14" i="1281"/>
  <c r="Q14" i="1281"/>
  <c r="P14" i="1281"/>
  <c r="AC14" i="1281" s="1"/>
  <c r="M14" i="1281"/>
  <c r="O14" i="1281"/>
  <c r="AF13" i="1281"/>
  <c r="AB13" i="1281"/>
  <c r="Q13" i="1281"/>
  <c r="P13" i="1281"/>
  <c r="AC13" i="1281" s="1"/>
  <c r="M13" i="1281"/>
  <c r="AF12" i="1281"/>
  <c r="AB12" i="1281"/>
  <c r="Q12" i="1281"/>
  <c r="P12" i="1281" s="1"/>
  <c r="AC12" i="1281" s="1"/>
  <c r="O12" i="1281"/>
  <c r="M12" i="1281"/>
  <c r="AF11" i="1281"/>
  <c r="Q11" i="1281"/>
  <c r="P11" i="1281" s="1"/>
  <c r="AC11" i="1281" s="1"/>
  <c r="AF10" i="1281"/>
  <c r="AB10" i="1281"/>
  <c r="Q10" i="1281"/>
  <c r="M10" i="1281"/>
  <c r="O10" i="1281"/>
  <c r="AF9" i="1281"/>
  <c r="AB9" i="1281"/>
  <c r="Q9" i="1281"/>
  <c r="P9" i="1281" s="1"/>
  <c r="AC9" i="1281" s="1"/>
  <c r="O9" i="1281"/>
  <c r="M9" i="1281"/>
  <c r="AF8" i="1281"/>
  <c r="Q8" i="1281"/>
  <c r="P8" i="1281"/>
  <c r="AC8" i="1281" s="1"/>
  <c r="AF7" i="1281"/>
  <c r="AB7" i="1281"/>
  <c r="Q7" i="1281"/>
  <c r="P7" i="1281"/>
  <c r="AC7" i="1281" s="1"/>
  <c r="O7" i="1281"/>
  <c r="M7" i="1281"/>
  <c r="K7" i="1281"/>
  <c r="AF6" i="1281"/>
  <c r="AB6" i="1281"/>
  <c r="Q6" i="1281"/>
  <c r="P6" i="1281"/>
  <c r="O6" i="1281"/>
  <c r="M6" i="1281"/>
  <c r="K6" i="1281"/>
  <c r="AD21" i="1283" l="1"/>
  <c r="AE19" i="1283" s="1"/>
  <c r="M21" i="1282"/>
  <c r="AB21" i="1282"/>
  <c r="AC21" i="1282"/>
  <c r="AD12" i="1282"/>
  <c r="AD20" i="1282"/>
  <c r="P21" i="1282"/>
  <c r="P20" i="1281"/>
  <c r="AC20" i="1281" s="1"/>
  <c r="AD18" i="1281"/>
  <c r="AD13" i="1281"/>
  <c r="P10" i="1281"/>
  <c r="AC10" i="1281" s="1"/>
  <c r="AD9" i="1281"/>
  <c r="Q23" i="1281"/>
  <c r="AD20" i="1281"/>
  <c r="AD12" i="1281"/>
  <c r="AD15" i="1281"/>
  <c r="AD16" i="1281"/>
  <c r="AD7" i="1281"/>
  <c r="AD19" i="1281"/>
  <c r="AD10" i="1281"/>
  <c r="AD14" i="1281"/>
  <c r="AD22" i="1281"/>
  <c r="AC6" i="1281"/>
  <c r="M8" i="1281"/>
  <c r="M23" i="1281" s="1"/>
  <c r="AB8" i="1281"/>
  <c r="M11" i="1281"/>
  <c r="AB11" i="1281"/>
  <c r="P17" i="1281"/>
  <c r="AC17" i="1281" s="1"/>
  <c r="AD17" i="1281" s="1"/>
  <c r="P21" i="1281"/>
  <c r="AC21" i="1281" s="1"/>
  <c r="AD21" i="1281" s="1"/>
  <c r="L23" i="1281"/>
  <c r="O23" i="1281" s="1"/>
  <c r="O8" i="1281"/>
  <c r="O11" i="1281"/>
  <c r="K23" i="1281"/>
  <c r="M17" i="1281"/>
  <c r="M21" i="1281"/>
  <c r="L21" i="1280"/>
  <c r="L20" i="1280"/>
  <c r="K20" i="1280"/>
  <c r="L18" i="1280"/>
  <c r="K18" i="1280"/>
  <c r="L17" i="1280"/>
  <c r="L14" i="1280"/>
  <c r="L11" i="1280"/>
  <c r="L10" i="1280"/>
  <c r="AF9" i="1280"/>
  <c r="Q9" i="1280"/>
  <c r="P9" i="1280" s="1"/>
  <c r="AC9" i="1280" s="1"/>
  <c r="AB9" i="1280"/>
  <c r="K9" i="1280"/>
  <c r="L8" i="1280"/>
  <c r="K8" i="1280"/>
  <c r="K21" i="1280"/>
  <c r="K17" i="1280"/>
  <c r="K14" i="1280"/>
  <c r="K12" i="1280"/>
  <c r="K11" i="1280"/>
  <c r="K10" i="1280"/>
  <c r="A75" i="1280"/>
  <c r="A76" i="1280" s="1"/>
  <c r="A77" i="1280" s="1"/>
  <c r="A78" i="1280" s="1"/>
  <c r="A79" i="1280" s="1"/>
  <c r="A80" i="1280" s="1"/>
  <c r="A81" i="1280" s="1"/>
  <c r="A82" i="1280" s="1"/>
  <c r="AF61" i="1280"/>
  <c r="AF60" i="1280"/>
  <c r="AF63" i="1280" s="1"/>
  <c r="AA22" i="1280"/>
  <c r="Z22" i="1280"/>
  <c r="Y22" i="1280"/>
  <c r="X22" i="1280"/>
  <c r="W22" i="1280"/>
  <c r="V22" i="1280"/>
  <c r="U22" i="1280"/>
  <c r="T22" i="1280"/>
  <c r="S22" i="1280"/>
  <c r="R22" i="1280"/>
  <c r="N22" i="1280"/>
  <c r="J22" i="1280"/>
  <c r="I22" i="1280"/>
  <c r="AF21" i="1280"/>
  <c r="Q21" i="1280"/>
  <c r="P21" i="1280"/>
  <c r="AC21" i="1280" s="1"/>
  <c r="O21" i="1280"/>
  <c r="AF20" i="1280"/>
  <c r="AB20" i="1280"/>
  <c r="Q20" i="1280"/>
  <c r="P20" i="1280"/>
  <c r="AC20" i="1280" s="1"/>
  <c r="O20" i="1280"/>
  <c r="M20" i="1280"/>
  <c r="AF19" i="1280"/>
  <c r="AB19" i="1280"/>
  <c r="Q19" i="1280"/>
  <c r="P19" i="1280" s="1"/>
  <c r="AC19" i="1280" s="1"/>
  <c r="O19" i="1280"/>
  <c r="M19" i="1280"/>
  <c r="K19" i="1280"/>
  <c r="AF18" i="1280"/>
  <c r="AB18" i="1280"/>
  <c r="Q18" i="1280"/>
  <c r="P18" i="1280" s="1"/>
  <c r="AC18" i="1280" s="1"/>
  <c r="O18" i="1280"/>
  <c r="M18" i="1280"/>
  <c r="AF17" i="1280"/>
  <c r="Q17" i="1280"/>
  <c r="P17" i="1280" s="1"/>
  <c r="AC17" i="1280" s="1"/>
  <c r="AF16" i="1280"/>
  <c r="AB16" i="1280"/>
  <c r="Q16" i="1280"/>
  <c r="P16" i="1280"/>
  <c r="AC16" i="1280" s="1"/>
  <c r="O16" i="1280"/>
  <c r="M16" i="1280"/>
  <c r="K16" i="1280"/>
  <c r="AF15" i="1280"/>
  <c r="AB15" i="1280"/>
  <c r="Q15" i="1280"/>
  <c r="P15" i="1280"/>
  <c r="AC15" i="1280" s="1"/>
  <c r="AD15" i="1280" s="1"/>
  <c r="O15" i="1280"/>
  <c r="M15" i="1280"/>
  <c r="K15" i="1280"/>
  <c r="AF14" i="1280"/>
  <c r="Q14" i="1280"/>
  <c r="P14" i="1280" s="1"/>
  <c r="AC14" i="1280" s="1"/>
  <c r="O14" i="1280"/>
  <c r="AF13" i="1280"/>
  <c r="AB13" i="1280"/>
  <c r="Q13" i="1280"/>
  <c r="P13" i="1280"/>
  <c r="AC13" i="1280" s="1"/>
  <c r="O13" i="1280"/>
  <c r="M13" i="1280"/>
  <c r="K13" i="1280"/>
  <c r="AF12" i="1280"/>
  <c r="Q12" i="1280"/>
  <c r="P12" i="1280"/>
  <c r="AC12" i="1280" s="1"/>
  <c r="AF11" i="1280"/>
  <c r="Q11" i="1280"/>
  <c r="P11" i="1280"/>
  <c r="AC11" i="1280" s="1"/>
  <c r="O11" i="1280"/>
  <c r="AF10" i="1280"/>
  <c r="AB10" i="1280"/>
  <c r="Q10" i="1280"/>
  <c r="P10" i="1280"/>
  <c r="AC10" i="1280" s="1"/>
  <c r="O10" i="1280"/>
  <c r="M10" i="1280"/>
  <c r="AF8" i="1280"/>
  <c r="Q8" i="1280"/>
  <c r="P8" i="1280" s="1"/>
  <c r="AC8" i="1280" s="1"/>
  <c r="O8" i="1280"/>
  <c r="AB8" i="1280"/>
  <c r="AF7" i="1280"/>
  <c r="AB7" i="1280"/>
  <c r="Q7" i="1280"/>
  <c r="P7" i="1280"/>
  <c r="AC7" i="1280" s="1"/>
  <c r="AD7" i="1280" s="1"/>
  <c r="O7" i="1280"/>
  <c r="M7" i="1280"/>
  <c r="K7" i="1280"/>
  <c r="AF6" i="1280"/>
  <c r="AB6" i="1280"/>
  <c r="Q6" i="1280"/>
  <c r="P6" i="1280"/>
  <c r="AC6" i="1280" s="1"/>
  <c r="O6" i="1280"/>
  <c r="M6" i="1280"/>
  <c r="K6" i="1280"/>
  <c r="AE14" i="1283" l="1"/>
  <c r="AE9" i="1283"/>
  <c r="AE18" i="1283"/>
  <c r="AE15" i="1283"/>
  <c r="AE10" i="1283"/>
  <c r="AE6" i="1283"/>
  <c r="AE13" i="1283"/>
  <c r="AE12" i="1283"/>
  <c r="AE8" i="1283"/>
  <c r="AE20" i="1283"/>
  <c r="AE16" i="1283"/>
  <c r="AE7" i="1283"/>
  <c r="AE11" i="1283"/>
  <c r="AE17" i="1283"/>
  <c r="AD21" i="1282"/>
  <c r="AE19" i="1282" s="1"/>
  <c r="AB23" i="1281"/>
  <c r="AD11" i="1281"/>
  <c r="AD8" i="1281"/>
  <c r="AC23" i="1281"/>
  <c r="AD6" i="1281"/>
  <c r="P23" i="1281"/>
  <c r="AD18" i="1280"/>
  <c r="O9" i="1280"/>
  <c r="AD9" i="1280" s="1"/>
  <c r="M9" i="1280"/>
  <c r="Q22" i="1280"/>
  <c r="AD13" i="1280"/>
  <c r="AD10" i="1280"/>
  <c r="AD19" i="1280"/>
  <c r="AD20" i="1280"/>
  <c r="AD16" i="1280"/>
  <c r="AC22" i="1280"/>
  <c r="AD6" i="1280"/>
  <c r="AD8" i="1280"/>
  <c r="M17" i="1280"/>
  <c r="AB17" i="1280"/>
  <c r="M11" i="1280"/>
  <c r="AB11" i="1280"/>
  <c r="AD11" i="1280" s="1"/>
  <c r="O12" i="1280"/>
  <c r="M14" i="1280"/>
  <c r="AB14" i="1280"/>
  <c r="AD14" i="1280" s="1"/>
  <c r="O17" i="1280"/>
  <c r="M21" i="1280"/>
  <c r="AB21" i="1280"/>
  <c r="AD21" i="1280" s="1"/>
  <c r="L22" i="1280"/>
  <c r="O22" i="1280" s="1"/>
  <c r="P22" i="1280"/>
  <c r="M12" i="1280"/>
  <c r="AB12" i="1280"/>
  <c r="M8" i="1280"/>
  <c r="K22" i="1280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1" i="1279"/>
  <c r="K21" i="1279" s="1"/>
  <c r="L17" i="1279"/>
  <c r="K17" i="1279"/>
  <c r="L14" i="1279"/>
  <c r="M14" i="1279" s="1"/>
  <c r="L12" i="1279"/>
  <c r="O12" i="1279" s="1"/>
  <c r="K12" i="1279"/>
  <c r="L11" i="1279"/>
  <c r="K11" i="1279" s="1"/>
  <c r="AF10" i="1279"/>
  <c r="AB10" i="1279"/>
  <c r="Q10" i="1279"/>
  <c r="P10" i="1279" s="1"/>
  <c r="AC10" i="1279" s="1"/>
  <c r="O10" i="1279"/>
  <c r="M10" i="1279"/>
  <c r="K10" i="1279"/>
  <c r="K9" i="1279"/>
  <c r="L8" i="1279"/>
  <c r="O8" i="1279" s="1"/>
  <c r="K20" i="1279"/>
  <c r="K14" i="1279"/>
  <c r="A75" i="1279"/>
  <c r="A76" i="1279" s="1"/>
  <c r="A77" i="1279" s="1"/>
  <c r="A78" i="1279" s="1"/>
  <c r="A79" i="1279" s="1"/>
  <c r="A80" i="1279" s="1"/>
  <c r="A81" i="1279" s="1"/>
  <c r="A82" i="1279" s="1"/>
  <c r="AF61" i="1279"/>
  <c r="AF60" i="1279"/>
  <c r="AF63" i="1279" s="1"/>
  <c r="AA22" i="1279"/>
  <c r="Z22" i="1279"/>
  <c r="Y22" i="1279"/>
  <c r="X22" i="1279"/>
  <c r="W22" i="1279"/>
  <c r="V22" i="1279"/>
  <c r="U22" i="1279"/>
  <c r="T22" i="1279"/>
  <c r="S22" i="1279"/>
  <c r="R22" i="1279"/>
  <c r="N22" i="1279"/>
  <c r="J22" i="1279"/>
  <c r="I22" i="1279"/>
  <c r="AF21" i="1279"/>
  <c r="Q21" i="1279"/>
  <c r="AF20" i="1279"/>
  <c r="AB20" i="1279"/>
  <c r="Q20" i="1279"/>
  <c r="P20" i="1279" s="1"/>
  <c r="AC20" i="1279" s="1"/>
  <c r="O20" i="1279"/>
  <c r="M20" i="1279"/>
  <c r="AF19" i="1279"/>
  <c r="AB19" i="1279"/>
  <c r="Q19" i="1279"/>
  <c r="P19" i="1279"/>
  <c r="AC19" i="1279" s="1"/>
  <c r="O19" i="1279"/>
  <c r="M19" i="1279"/>
  <c r="K19" i="1279"/>
  <c r="AF18" i="1279"/>
  <c r="AB18" i="1279"/>
  <c r="Q18" i="1279"/>
  <c r="P18" i="1279"/>
  <c r="AC18" i="1279" s="1"/>
  <c r="O18" i="1279"/>
  <c r="M18" i="1279"/>
  <c r="K18" i="1279"/>
  <c r="AF17" i="1279"/>
  <c r="AB17" i="1279"/>
  <c r="Q17" i="1279"/>
  <c r="O17" i="1279"/>
  <c r="M17" i="1279"/>
  <c r="AF16" i="1279"/>
  <c r="AB16" i="1279"/>
  <c r="Q16" i="1279"/>
  <c r="P16" i="1279"/>
  <c r="AC16" i="1279" s="1"/>
  <c r="O16" i="1279"/>
  <c r="M16" i="1279"/>
  <c r="K16" i="1279"/>
  <c r="AF15" i="1279"/>
  <c r="AB15" i="1279"/>
  <c r="Q15" i="1279"/>
  <c r="P15" i="1279"/>
  <c r="AC15" i="1279" s="1"/>
  <c r="AD15" i="1279" s="1"/>
  <c r="O15" i="1279"/>
  <c r="M15" i="1279"/>
  <c r="K15" i="1279"/>
  <c r="AF14" i="1279"/>
  <c r="AB14" i="1279"/>
  <c r="Q14" i="1279"/>
  <c r="P14" i="1279" s="1"/>
  <c r="AC14" i="1279" s="1"/>
  <c r="AF13" i="1279"/>
  <c r="AB13" i="1279"/>
  <c r="Q13" i="1279"/>
  <c r="P13" i="1279"/>
  <c r="AC13" i="1279" s="1"/>
  <c r="O13" i="1279"/>
  <c r="M13" i="1279"/>
  <c r="K13" i="1279"/>
  <c r="AF12" i="1279"/>
  <c r="AB12" i="1279"/>
  <c r="Q12" i="1279"/>
  <c r="P12" i="1279" s="1"/>
  <c r="AC12" i="1279" s="1"/>
  <c r="M12" i="1279"/>
  <c r="AF11" i="1279"/>
  <c r="Q11" i="1279"/>
  <c r="AF9" i="1279"/>
  <c r="Q9" i="1279"/>
  <c r="P9" i="1279" s="1"/>
  <c r="AC9" i="1279" s="1"/>
  <c r="O9" i="1279"/>
  <c r="AB9" i="1279"/>
  <c r="AF8" i="1279"/>
  <c r="Q8" i="1279"/>
  <c r="M8" i="1279"/>
  <c r="AF7" i="1279"/>
  <c r="AC7" i="1279"/>
  <c r="AB7" i="1279"/>
  <c r="Q7" i="1279"/>
  <c r="P7" i="1279"/>
  <c r="O7" i="1279"/>
  <c r="M7" i="1279"/>
  <c r="K7" i="1279"/>
  <c r="AF6" i="1279"/>
  <c r="AB6" i="1279"/>
  <c r="Q6" i="1279"/>
  <c r="P6" i="1279"/>
  <c r="O6" i="1279"/>
  <c r="M6" i="1279"/>
  <c r="K6" i="1279"/>
  <c r="AE10" i="1282" l="1"/>
  <c r="AE16" i="1282"/>
  <c r="AE7" i="1282"/>
  <c r="AE9" i="1282"/>
  <c r="AE17" i="1282"/>
  <c r="AE11" i="1282"/>
  <c r="AE13" i="1282"/>
  <c r="AE18" i="1282"/>
  <c r="AE12" i="1282"/>
  <c r="AE6" i="1282"/>
  <c r="AE15" i="1282"/>
  <c r="AE8" i="1282"/>
  <c r="AE14" i="1282"/>
  <c r="AE20" i="1282"/>
  <c r="AD23" i="1281"/>
  <c r="AE16" i="1281" s="1"/>
  <c r="AD12" i="1280"/>
  <c r="AD17" i="1280"/>
  <c r="M22" i="1280"/>
  <c r="AB22" i="1280"/>
  <c r="AD22" i="1280"/>
  <c r="AE9" i="1280" s="1"/>
  <c r="O21" i="1279"/>
  <c r="AD13" i="1279"/>
  <c r="L22" i="1279"/>
  <c r="O22" i="1279" s="1"/>
  <c r="AB8" i="1279"/>
  <c r="K8" i="1279"/>
  <c r="P8" i="1279"/>
  <c r="AC8" i="1279" s="1"/>
  <c r="AD8" i="1279" s="1"/>
  <c r="P17" i="1279"/>
  <c r="AC17" i="1279" s="1"/>
  <c r="AD17" i="1279" s="1"/>
  <c r="O11" i="1279"/>
  <c r="AD10" i="1279"/>
  <c r="AD12" i="1279"/>
  <c r="AD16" i="1279"/>
  <c r="Q22" i="1279"/>
  <c r="AD9" i="1279"/>
  <c r="AD19" i="1279"/>
  <c r="AD7" i="1279"/>
  <c r="AD18" i="1279"/>
  <c r="AD20" i="1279"/>
  <c r="AC6" i="1279"/>
  <c r="P11" i="1279"/>
  <c r="AC11" i="1279" s="1"/>
  <c r="P21" i="1279"/>
  <c r="AC21" i="1279" s="1"/>
  <c r="M11" i="1279"/>
  <c r="M21" i="1279"/>
  <c r="AB21" i="1279"/>
  <c r="AB11" i="1279"/>
  <c r="O14" i="1279"/>
  <c r="AD14" i="1279" s="1"/>
  <c r="M9" i="1279"/>
  <c r="K22" i="1279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L21" i="1278"/>
  <c r="K20" i="1278"/>
  <c r="AF19" i="1278"/>
  <c r="AB19" i="1278"/>
  <c r="Q19" i="1278"/>
  <c r="P19" i="1278" s="1"/>
  <c r="AC19" i="1278" s="1"/>
  <c r="O19" i="1278"/>
  <c r="M19" i="1278"/>
  <c r="K19" i="1278"/>
  <c r="K18" i="1278"/>
  <c r="L13" i="1278"/>
  <c r="M13" i="1278" s="1"/>
  <c r="K11" i="1278"/>
  <c r="L10" i="1278"/>
  <c r="K10" i="1278" s="1"/>
  <c r="L9" i="1278"/>
  <c r="AB9" i="1278" s="1"/>
  <c r="L8" i="1278"/>
  <c r="O8" i="1278" s="1"/>
  <c r="K21" i="1278"/>
  <c r="K16" i="1278"/>
  <c r="K15" i="1278"/>
  <c r="K13" i="1278"/>
  <c r="K12" i="1278"/>
  <c r="A75" i="1278"/>
  <c r="A76" i="1278" s="1"/>
  <c r="A77" i="1278" s="1"/>
  <c r="A78" i="1278" s="1"/>
  <c r="A79" i="1278" s="1"/>
  <c r="A80" i="1278" s="1"/>
  <c r="A81" i="1278" s="1"/>
  <c r="A82" i="1278" s="1"/>
  <c r="AF61" i="1278"/>
  <c r="AF60" i="1278"/>
  <c r="AA22" i="1278"/>
  <c r="Z22" i="1278"/>
  <c r="Y22" i="1278"/>
  <c r="X22" i="1278"/>
  <c r="W22" i="1278"/>
  <c r="V22" i="1278"/>
  <c r="U22" i="1278"/>
  <c r="T22" i="1278"/>
  <c r="S22" i="1278"/>
  <c r="R22" i="1278"/>
  <c r="N22" i="1278"/>
  <c r="J22" i="1278"/>
  <c r="I22" i="1278"/>
  <c r="AF21" i="1278"/>
  <c r="Q21" i="1278"/>
  <c r="O21" i="1278"/>
  <c r="AF20" i="1278"/>
  <c r="AB20" i="1278"/>
  <c r="Q20" i="1278"/>
  <c r="P20" i="1278" s="1"/>
  <c r="AC20" i="1278" s="1"/>
  <c r="O20" i="1278"/>
  <c r="M20" i="1278"/>
  <c r="AF18" i="1278"/>
  <c r="AB18" i="1278"/>
  <c r="Q18" i="1278"/>
  <c r="P18" i="1278" s="1"/>
  <c r="AC18" i="1278" s="1"/>
  <c r="O18" i="1278"/>
  <c r="M18" i="1278"/>
  <c r="AF17" i="1278"/>
  <c r="AB17" i="1278"/>
  <c r="Q17" i="1278"/>
  <c r="P17" i="1278"/>
  <c r="AC17" i="1278" s="1"/>
  <c r="O17" i="1278"/>
  <c r="M17" i="1278"/>
  <c r="K17" i="1278"/>
  <c r="AF16" i="1278"/>
  <c r="AB16" i="1278"/>
  <c r="Q16" i="1278"/>
  <c r="P16" i="1278" s="1"/>
  <c r="AC16" i="1278" s="1"/>
  <c r="O16" i="1278"/>
  <c r="M16" i="1278"/>
  <c r="AF15" i="1278"/>
  <c r="AB15" i="1278"/>
  <c r="Q15" i="1278"/>
  <c r="P15" i="1278" s="1"/>
  <c r="AC15" i="1278" s="1"/>
  <c r="O15" i="1278"/>
  <c r="M15" i="1278"/>
  <c r="AF14" i="1278"/>
  <c r="AB14" i="1278"/>
  <c r="Q14" i="1278"/>
  <c r="P14" i="1278"/>
  <c r="AC14" i="1278" s="1"/>
  <c r="O14" i="1278"/>
  <c r="M14" i="1278"/>
  <c r="K14" i="1278"/>
  <c r="AF13" i="1278"/>
  <c r="AB13" i="1278"/>
  <c r="Q13" i="1278"/>
  <c r="P13" i="1278" s="1"/>
  <c r="AC13" i="1278" s="1"/>
  <c r="O13" i="1278"/>
  <c r="AF12" i="1278"/>
  <c r="AB12" i="1278"/>
  <c r="Q12" i="1278"/>
  <c r="P12" i="1278" s="1"/>
  <c r="AC12" i="1278" s="1"/>
  <c r="O12" i="1278"/>
  <c r="M12" i="1278"/>
  <c r="AF11" i="1278"/>
  <c r="AB11" i="1278"/>
  <c r="Q11" i="1278"/>
  <c r="P11" i="1278" s="1"/>
  <c r="AC11" i="1278" s="1"/>
  <c r="O11" i="1278"/>
  <c r="M11" i="1278"/>
  <c r="AF10" i="1278"/>
  <c r="Q10" i="1278"/>
  <c r="AF9" i="1278"/>
  <c r="Q9" i="1278"/>
  <c r="O9" i="1278"/>
  <c r="M9" i="1278"/>
  <c r="AF8" i="1278"/>
  <c r="AB8" i="1278"/>
  <c r="Q8" i="1278"/>
  <c r="P8" i="1278" s="1"/>
  <c r="AC8" i="1278" s="1"/>
  <c r="M8" i="1278"/>
  <c r="AF7" i="1278"/>
  <c r="AB7" i="1278"/>
  <c r="Q7" i="1278"/>
  <c r="P7" i="1278"/>
  <c r="AC7" i="1278" s="1"/>
  <c r="O7" i="1278"/>
  <c r="M7" i="1278"/>
  <c r="K7" i="1278"/>
  <c r="AF6" i="1278"/>
  <c r="AB6" i="1278"/>
  <c r="Q6" i="1278"/>
  <c r="P6" i="1278"/>
  <c r="AC6" i="1278" s="1"/>
  <c r="O6" i="1278"/>
  <c r="M6" i="1278"/>
  <c r="K6" i="1278"/>
  <c r="AE15" i="1281" l="1"/>
  <c r="AE14" i="1281"/>
  <c r="AE18" i="1281"/>
  <c r="AE20" i="1281"/>
  <c r="AE8" i="1281"/>
  <c r="AE17" i="1281"/>
  <c r="AE13" i="1281"/>
  <c r="AE9" i="1281"/>
  <c r="AE19" i="1281"/>
  <c r="AE12" i="1281"/>
  <c r="AE10" i="1281"/>
  <c r="AE11" i="1281"/>
  <c r="AE6" i="1281"/>
  <c r="AE7" i="1281"/>
  <c r="AE22" i="1281"/>
  <c r="AE21" i="1281"/>
  <c r="AE15" i="1280"/>
  <c r="AE7" i="1280"/>
  <c r="AE14" i="1280"/>
  <c r="AE11" i="1280"/>
  <c r="AE6" i="1280"/>
  <c r="AE20" i="1280"/>
  <c r="AE18" i="1280"/>
  <c r="AE13" i="1280"/>
  <c r="AE10" i="1280"/>
  <c r="AE8" i="1280"/>
  <c r="AE12" i="1280"/>
  <c r="AE21" i="1280"/>
  <c r="AE16" i="1280"/>
  <c r="AE19" i="1280"/>
  <c r="AE17" i="1280"/>
  <c r="M22" i="1279"/>
  <c r="AD11" i="1279"/>
  <c r="AB22" i="1279"/>
  <c r="AD21" i="1279"/>
  <c r="AC22" i="1279"/>
  <c r="AD6" i="1279"/>
  <c r="P22" i="1279"/>
  <c r="AD19" i="1278"/>
  <c r="AB10" i="1278"/>
  <c r="M10" i="1278"/>
  <c r="AD7" i="1278"/>
  <c r="O10" i="1278"/>
  <c r="AD20" i="1278"/>
  <c r="AF63" i="1278"/>
  <c r="AD11" i="1278"/>
  <c r="P10" i="1278"/>
  <c r="AC10" i="1278" s="1"/>
  <c r="K9" i="1278"/>
  <c r="P9" i="1278"/>
  <c r="AC9" i="1278" s="1"/>
  <c r="AD9" i="1278" s="1"/>
  <c r="Q22" i="1278"/>
  <c r="AD16" i="1278"/>
  <c r="AD18" i="1278"/>
  <c r="K8" i="1278"/>
  <c r="AD13" i="1278"/>
  <c r="AD17" i="1278"/>
  <c r="AD8" i="1278"/>
  <c r="AD12" i="1278"/>
  <c r="AD14" i="1278"/>
  <c r="AD15" i="1278"/>
  <c r="AD6" i="1278"/>
  <c r="M21" i="1278"/>
  <c r="P21" i="1278"/>
  <c r="AC21" i="1278" s="1"/>
  <c r="AB21" i="1278"/>
  <c r="L22" i="1278"/>
  <c r="O22" i="1278" s="1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3" i="1277"/>
  <c r="K21" i="1277"/>
  <c r="AF19" i="1277"/>
  <c r="AB19" i="1277"/>
  <c r="Q19" i="1277"/>
  <c r="P19" i="1277" s="1"/>
  <c r="AC19" i="1277" s="1"/>
  <c r="O19" i="1277"/>
  <c r="M19" i="1277"/>
  <c r="K19" i="1277"/>
  <c r="K18" i="1277"/>
  <c r="K17" i="1277"/>
  <c r="L15" i="1277"/>
  <c r="L13" i="1277"/>
  <c r="K13" i="1277" s="1"/>
  <c r="K11" i="1277"/>
  <c r="AF11" i="1277"/>
  <c r="Q11" i="1277"/>
  <c r="P11" i="1277" s="1"/>
  <c r="AC11" i="1277" s="1"/>
  <c r="AB11" i="1277"/>
  <c r="L10" i="1277"/>
  <c r="K10" i="1277"/>
  <c r="L9" i="1277"/>
  <c r="O9" i="1277" s="1"/>
  <c r="AF9" i="1277"/>
  <c r="Q9" i="1277"/>
  <c r="P9" i="1277" s="1"/>
  <c r="AC9" i="1277" s="1"/>
  <c r="AD22" i="1279" l="1"/>
  <c r="AE12" i="1279" s="1"/>
  <c r="M22" i="1278"/>
  <c r="AD10" i="1278"/>
  <c r="AD21" i="1278"/>
  <c r="AB22" i="1278"/>
  <c r="K22" i="1278"/>
  <c r="P22" i="1278"/>
  <c r="AC22" i="1278"/>
  <c r="AB9" i="1277"/>
  <c r="AD9" i="1277" s="1"/>
  <c r="M9" i="1277"/>
  <c r="K9" i="1277"/>
  <c r="AD19" i="1277"/>
  <c r="O11" i="1277"/>
  <c r="AD11" i="1277" s="1"/>
  <c r="M11" i="1277"/>
  <c r="AE15" i="1279" l="1"/>
  <c r="AE10" i="1279"/>
  <c r="AE7" i="1279"/>
  <c r="AE18" i="1279"/>
  <c r="AE8" i="1279"/>
  <c r="AE6" i="1279"/>
  <c r="AE11" i="1279"/>
  <c r="AE19" i="1279"/>
  <c r="AE14" i="1279"/>
  <c r="AE21" i="1279"/>
  <c r="AE20" i="1279"/>
  <c r="AE9" i="1279"/>
  <c r="AE13" i="1279"/>
  <c r="AE16" i="1279"/>
  <c r="AE17" i="1279"/>
  <c r="AD22" i="1278"/>
  <c r="AE19" i="1278" s="1"/>
  <c r="AE7" i="1278"/>
  <c r="K23" i="1277"/>
  <c r="K22" i="1277"/>
  <c r="K15" i="1277"/>
  <c r="K14" i="1277"/>
  <c r="K12" i="1277"/>
  <c r="K8" i="1277"/>
  <c r="A77" i="1277"/>
  <c r="A78" i="1277" s="1"/>
  <c r="A79" i="1277" s="1"/>
  <c r="A80" i="1277" s="1"/>
  <c r="A81" i="1277" s="1"/>
  <c r="A82" i="1277" s="1"/>
  <c r="A83" i="1277" s="1"/>
  <c r="A84" i="1277" s="1"/>
  <c r="AF63" i="1277"/>
  <c r="AF62" i="1277"/>
  <c r="AF65" i="1277" s="1"/>
  <c r="AA24" i="1277"/>
  <c r="Z24" i="1277"/>
  <c r="Y24" i="1277"/>
  <c r="X24" i="1277"/>
  <c r="W24" i="1277"/>
  <c r="V24" i="1277"/>
  <c r="U24" i="1277"/>
  <c r="T24" i="1277"/>
  <c r="S24" i="1277"/>
  <c r="R24" i="1277"/>
  <c r="N24" i="1277"/>
  <c r="J24" i="1277"/>
  <c r="I24" i="1277"/>
  <c r="AF23" i="1277"/>
  <c r="Q23" i="1277"/>
  <c r="P23" i="1277" s="1"/>
  <c r="AC23" i="1277" s="1"/>
  <c r="O23" i="1277"/>
  <c r="AF22" i="1277"/>
  <c r="Q22" i="1277"/>
  <c r="P22" i="1277"/>
  <c r="AC22" i="1277" s="1"/>
  <c r="O22" i="1277"/>
  <c r="AB22" i="1277"/>
  <c r="AF21" i="1277"/>
  <c r="Q21" i="1277"/>
  <c r="P21" i="1277" s="1"/>
  <c r="AC21" i="1277" s="1"/>
  <c r="O21" i="1277"/>
  <c r="AF20" i="1277"/>
  <c r="AB20" i="1277"/>
  <c r="Q20" i="1277"/>
  <c r="P20" i="1277"/>
  <c r="AC20" i="1277" s="1"/>
  <c r="O20" i="1277"/>
  <c r="M20" i="1277"/>
  <c r="K20" i="1277"/>
  <c r="AF18" i="1277"/>
  <c r="AB18" i="1277"/>
  <c r="Q18" i="1277"/>
  <c r="P18" i="1277" s="1"/>
  <c r="AC18" i="1277" s="1"/>
  <c r="O18" i="1277"/>
  <c r="M18" i="1277"/>
  <c r="AF17" i="1277"/>
  <c r="AB17" i="1277"/>
  <c r="Q17" i="1277"/>
  <c r="P17" i="1277" s="1"/>
  <c r="AC17" i="1277" s="1"/>
  <c r="O17" i="1277"/>
  <c r="M17" i="1277"/>
  <c r="AF16" i="1277"/>
  <c r="AB16" i="1277"/>
  <c r="Q16" i="1277"/>
  <c r="P16" i="1277"/>
  <c r="AC16" i="1277" s="1"/>
  <c r="O16" i="1277"/>
  <c r="M16" i="1277"/>
  <c r="K16" i="1277"/>
  <c r="AF15" i="1277"/>
  <c r="Q15" i="1277"/>
  <c r="P15" i="1277" s="1"/>
  <c r="AC15" i="1277" s="1"/>
  <c r="O15" i="1277"/>
  <c r="M15" i="1277"/>
  <c r="AB15" i="1277"/>
  <c r="AF14" i="1277"/>
  <c r="AB14" i="1277"/>
  <c r="Q14" i="1277"/>
  <c r="P14" i="1277" s="1"/>
  <c r="AC14" i="1277" s="1"/>
  <c r="O14" i="1277"/>
  <c r="M14" i="1277"/>
  <c r="AF13" i="1277"/>
  <c r="AB13" i="1277"/>
  <c r="Q13" i="1277"/>
  <c r="P13" i="1277" s="1"/>
  <c r="AC13" i="1277" s="1"/>
  <c r="O13" i="1277"/>
  <c r="M13" i="1277"/>
  <c r="AF12" i="1277"/>
  <c r="Q12" i="1277"/>
  <c r="P12" i="1277"/>
  <c r="AC12" i="1277" s="1"/>
  <c r="O12" i="1277"/>
  <c r="AB12" i="1277"/>
  <c r="AF10" i="1277"/>
  <c r="AB10" i="1277"/>
  <c r="Q10" i="1277"/>
  <c r="P10" i="1277" s="1"/>
  <c r="AC10" i="1277" s="1"/>
  <c r="O10" i="1277"/>
  <c r="M10" i="1277"/>
  <c r="AF8" i="1277"/>
  <c r="Q8" i="1277"/>
  <c r="P8" i="1277" s="1"/>
  <c r="AC8" i="1277" s="1"/>
  <c r="AF7" i="1277"/>
  <c r="AB7" i="1277"/>
  <c r="Q7" i="1277"/>
  <c r="P7" i="1277"/>
  <c r="AC7" i="1277" s="1"/>
  <c r="O7" i="1277"/>
  <c r="M7" i="1277"/>
  <c r="K7" i="1277"/>
  <c r="AF6" i="1277"/>
  <c r="AB6" i="1277"/>
  <c r="Q6" i="1277"/>
  <c r="P6" i="1277"/>
  <c r="AC6" i="1277" s="1"/>
  <c r="O6" i="1277"/>
  <c r="M6" i="1277"/>
  <c r="K6" i="1277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1" i="1276"/>
  <c r="L20" i="1276"/>
  <c r="K20" i="1276"/>
  <c r="K19" i="1276"/>
  <c r="AF19" i="1276"/>
  <c r="Q19" i="1276"/>
  <c r="P19" i="1276" s="1"/>
  <c r="AC19" i="1276" s="1"/>
  <c r="AB19" i="1276"/>
  <c r="L18" i="1276"/>
  <c r="K15" i="1276"/>
  <c r="L13" i="1276"/>
  <c r="L12" i="1276"/>
  <c r="K11" i="1276"/>
  <c r="L10" i="1276"/>
  <c r="L9" i="1276"/>
  <c r="O9" i="1276" s="1"/>
  <c r="L8" i="1276"/>
  <c r="K8" i="1276"/>
  <c r="K21" i="1276"/>
  <c r="K18" i="1276"/>
  <c r="K13" i="1276"/>
  <c r="K12" i="1276"/>
  <c r="K10" i="1276"/>
  <c r="K9" i="1276"/>
  <c r="A75" i="1276"/>
  <c r="A76" i="1276" s="1"/>
  <c r="A77" i="1276" s="1"/>
  <c r="A78" i="1276" s="1"/>
  <c r="A79" i="1276" s="1"/>
  <c r="A80" i="1276" s="1"/>
  <c r="A81" i="1276" s="1"/>
  <c r="A82" i="1276" s="1"/>
  <c r="AF61" i="1276"/>
  <c r="AF60" i="1276"/>
  <c r="AF63" i="1276" s="1"/>
  <c r="AA22" i="1276"/>
  <c r="Z22" i="1276"/>
  <c r="Y22" i="1276"/>
  <c r="X22" i="1276"/>
  <c r="W22" i="1276"/>
  <c r="V22" i="1276"/>
  <c r="U22" i="1276"/>
  <c r="T22" i="1276"/>
  <c r="S22" i="1276"/>
  <c r="R22" i="1276"/>
  <c r="N22" i="1276"/>
  <c r="J22" i="1276"/>
  <c r="I22" i="1276"/>
  <c r="AF21" i="1276"/>
  <c r="Q21" i="1276"/>
  <c r="P21" i="1276"/>
  <c r="AC21" i="1276" s="1"/>
  <c r="O21" i="1276"/>
  <c r="AF20" i="1276"/>
  <c r="AB20" i="1276"/>
  <c r="Q20" i="1276"/>
  <c r="P20" i="1276" s="1"/>
  <c r="AC20" i="1276" s="1"/>
  <c r="O20" i="1276"/>
  <c r="M20" i="1276"/>
  <c r="AF18" i="1276"/>
  <c r="Q18" i="1276"/>
  <c r="P18" i="1276" s="1"/>
  <c r="AC18" i="1276" s="1"/>
  <c r="AF17" i="1276"/>
  <c r="AB17" i="1276"/>
  <c r="Q17" i="1276"/>
  <c r="P17" i="1276"/>
  <c r="AC17" i="1276" s="1"/>
  <c r="O17" i="1276"/>
  <c r="M17" i="1276"/>
  <c r="K17" i="1276"/>
  <c r="AF16" i="1276"/>
  <c r="AC16" i="1276"/>
  <c r="AB16" i="1276"/>
  <c r="Q16" i="1276"/>
  <c r="P16" i="1276"/>
  <c r="O16" i="1276"/>
  <c r="M16" i="1276"/>
  <c r="K16" i="1276"/>
  <c r="AF15" i="1276"/>
  <c r="Q15" i="1276"/>
  <c r="P15" i="1276" s="1"/>
  <c r="AC15" i="1276" s="1"/>
  <c r="O15" i="1276"/>
  <c r="AF14" i="1276"/>
  <c r="AB14" i="1276"/>
  <c r="Q14" i="1276"/>
  <c r="P14" i="1276"/>
  <c r="AC14" i="1276" s="1"/>
  <c r="O14" i="1276"/>
  <c r="M14" i="1276"/>
  <c r="K14" i="1276"/>
  <c r="AF13" i="1276"/>
  <c r="Q13" i="1276"/>
  <c r="P13" i="1276"/>
  <c r="AC13" i="1276" s="1"/>
  <c r="AF12" i="1276"/>
  <c r="Q12" i="1276"/>
  <c r="P12" i="1276" s="1"/>
  <c r="AC12" i="1276" s="1"/>
  <c r="O12" i="1276"/>
  <c r="AF11" i="1276"/>
  <c r="AB11" i="1276"/>
  <c r="Q11" i="1276"/>
  <c r="P11" i="1276"/>
  <c r="AC11" i="1276" s="1"/>
  <c r="O11" i="1276"/>
  <c r="M11" i="1276"/>
  <c r="AF10" i="1276"/>
  <c r="AB10" i="1276"/>
  <c r="Q10" i="1276"/>
  <c r="P10" i="1276" s="1"/>
  <c r="AC10" i="1276" s="1"/>
  <c r="O10" i="1276"/>
  <c r="M10" i="1276"/>
  <c r="AF9" i="1276"/>
  <c r="AB9" i="1276"/>
  <c r="Q9" i="1276"/>
  <c r="P9" i="1276" s="1"/>
  <c r="AC9" i="1276" s="1"/>
  <c r="M9" i="1276"/>
  <c r="AF8" i="1276"/>
  <c r="AC8" i="1276"/>
  <c r="AB8" i="1276"/>
  <c r="Q8" i="1276"/>
  <c r="P8" i="1276"/>
  <c r="O8" i="1276"/>
  <c r="M8" i="1276"/>
  <c r="L22" i="1276"/>
  <c r="O22" i="1276" s="1"/>
  <c r="AF7" i="1276"/>
  <c r="AC7" i="1276"/>
  <c r="AB7" i="1276"/>
  <c r="Q7" i="1276"/>
  <c r="P7" i="1276"/>
  <c r="O7" i="1276"/>
  <c r="M7" i="1276"/>
  <c r="K7" i="1276"/>
  <c r="AF6" i="1276"/>
  <c r="AB6" i="1276"/>
  <c r="Q6" i="1276"/>
  <c r="P6" i="1276"/>
  <c r="AC6" i="1276" s="1"/>
  <c r="O6" i="1276"/>
  <c r="M6" i="1276"/>
  <c r="K6" i="1276"/>
  <c r="AE9" i="1278" l="1"/>
  <c r="AE16" i="1278"/>
  <c r="AE21" i="1278"/>
  <c r="AE10" i="1278"/>
  <c r="AE18" i="1278"/>
  <c r="AE20" i="1278"/>
  <c r="AE15" i="1278"/>
  <c r="AE8" i="1278"/>
  <c r="AE12" i="1278"/>
  <c r="AE17" i="1278"/>
  <c r="AE14" i="1278"/>
  <c r="AE13" i="1278"/>
  <c r="AE6" i="1278"/>
  <c r="AE11" i="1278"/>
  <c r="AD15" i="1277"/>
  <c r="AD10" i="1277"/>
  <c r="AD14" i="1277"/>
  <c r="Q24" i="1277"/>
  <c r="AD17" i="1277"/>
  <c r="AD18" i="1277"/>
  <c r="AD16" i="1277"/>
  <c r="AD20" i="1277"/>
  <c r="AD7" i="1277"/>
  <c r="AD13" i="1277"/>
  <c r="AD12" i="1277"/>
  <c r="AC24" i="1277"/>
  <c r="P24" i="1277"/>
  <c r="AD22" i="1277"/>
  <c r="M8" i="1277"/>
  <c r="AD6" i="1277"/>
  <c r="O8" i="1277"/>
  <c r="M21" i="1277"/>
  <c r="AB21" i="1277"/>
  <c r="AD21" i="1277" s="1"/>
  <c r="M23" i="1277"/>
  <c r="AB23" i="1277"/>
  <c r="AD23" i="1277" s="1"/>
  <c r="L24" i="1277"/>
  <c r="O24" i="1277" s="1"/>
  <c r="AB8" i="1277"/>
  <c r="K24" i="1277"/>
  <c r="M12" i="1277"/>
  <c r="M22" i="1277"/>
  <c r="O19" i="1276"/>
  <c r="AD19" i="1276" s="1"/>
  <c r="M19" i="1276"/>
  <c r="AD11" i="1276"/>
  <c r="AD10" i="1276"/>
  <c r="Q22" i="1276"/>
  <c r="AD7" i="1276"/>
  <c r="AD9" i="1276"/>
  <c r="AD14" i="1276"/>
  <c r="AD17" i="1276"/>
  <c r="AD20" i="1276"/>
  <c r="AD8" i="1276"/>
  <c r="AD16" i="1276"/>
  <c r="AC22" i="1276"/>
  <c r="AD6" i="1276"/>
  <c r="M13" i="1276"/>
  <c r="AB13" i="1276"/>
  <c r="K22" i="1276"/>
  <c r="M12" i="1276"/>
  <c r="AB12" i="1276"/>
  <c r="AD12" i="1276" s="1"/>
  <c r="O13" i="1276"/>
  <c r="M15" i="1276"/>
  <c r="AB15" i="1276"/>
  <c r="AD15" i="1276" s="1"/>
  <c r="O18" i="1276"/>
  <c r="M21" i="1276"/>
  <c r="AB21" i="1276"/>
  <c r="AD21" i="1276" s="1"/>
  <c r="P22" i="1276"/>
  <c r="M18" i="1276"/>
  <c r="AB18" i="1276"/>
  <c r="AD18" i="1276" s="1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0" i="1275"/>
  <c r="P20" i="1275" s="1"/>
  <c r="AC20" i="1275" s="1"/>
  <c r="K20" i="1275"/>
  <c r="L18" i="1275"/>
  <c r="L15" i="1275"/>
  <c r="K15" i="1275"/>
  <c r="L13" i="1275"/>
  <c r="L12" i="1275"/>
  <c r="K12" i="1275" s="1"/>
  <c r="L11" i="1275"/>
  <c r="O11" i="1275" s="1"/>
  <c r="L10" i="1275"/>
  <c r="O10" i="1275" s="1"/>
  <c r="K10" i="1275"/>
  <c r="K9" i="1275"/>
  <c r="L8" i="1275"/>
  <c r="AB8" i="1275" s="1"/>
  <c r="K8" i="1275"/>
  <c r="K18" i="1275"/>
  <c r="K16" i="1275"/>
  <c r="K13" i="1275"/>
  <c r="K11" i="1275"/>
  <c r="A74" i="1275"/>
  <c r="A75" i="1275" s="1"/>
  <c r="A76" i="1275" s="1"/>
  <c r="A77" i="1275" s="1"/>
  <c r="A78" i="1275" s="1"/>
  <c r="A79" i="1275" s="1"/>
  <c r="A80" i="1275" s="1"/>
  <c r="A81" i="1275" s="1"/>
  <c r="AF60" i="1275"/>
  <c r="AF59" i="1275"/>
  <c r="AF62" i="1275" s="1"/>
  <c r="AA21" i="1275"/>
  <c r="Z21" i="1275"/>
  <c r="Y21" i="1275"/>
  <c r="X21" i="1275"/>
  <c r="W21" i="1275"/>
  <c r="V21" i="1275"/>
  <c r="U21" i="1275"/>
  <c r="T21" i="1275"/>
  <c r="S21" i="1275"/>
  <c r="R21" i="1275"/>
  <c r="N21" i="1275"/>
  <c r="J21" i="1275"/>
  <c r="I21" i="1275"/>
  <c r="AF20" i="1275"/>
  <c r="Q20" i="1275"/>
  <c r="O20" i="1275"/>
  <c r="AF19" i="1275"/>
  <c r="AC19" i="1275"/>
  <c r="AB19" i="1275"/>
  <c r="Q19" i="1275"/>
  <c r="P19" i="1275"/>
  <c r="O19" i="1275"/>
  <c r="M19" i="1275"/>
  <c r="K19" i="1275"/>
  <c r="AF18" i="1275"/>
  <c r="Q18" i="1275"/>
  <c r="P18" i="1275"/>
  <c r="AC18" i="1275" s="1"/>
  <c r="AF17" i="1275"/>
  <c r="AB17" i="1275"/>
  <c r="Q17" i="1275"/>
  <c r="P17" i="1275"/>
  <c r="AC17" i="1275" s="1"/>
  <c r="AD17" i="1275" s="1"/>
  <c r="O17" i="1275"/>
  <c r="M17" i="1275"/>
  <c r="K17" i="1275"/>
  <c r="AF16" i="1275"/>
  <c r="AB16" i="1275"/>
  <c r="Q16" i="1275"/>
  <c r="O16" i="1275"/>
  <c r="M16" i="1275"/>
  <c r="P16" i="1275"/>
  <c r="AC16" i="1275" s="1"/>
  <c r="AF15" i="1275"/>
  <c r="Q15" i="1275"/>
  <c r="P15" i="1275"/>
  <c r="AC15" i="1275" s="1"/>
  <c r="AF14" i="1275"/>
  <c r="AB14" i="1275"/>
  <c r="Q14" i="1275"/>
  <c r="P14" i="1275"/>
  <c r="AC14" i="1275" s="1"/>
  <c r="AD14" i="1275" s="1"/>
  <c r="O14" i="1275"/>
  <c r="M14" i="1275"/>
  <c r="K14" i="1275"/>
  <c r="AF13" i="1275"/>
  <c r="AB13" i="1275"/>
  <c r="Q13" i="1275"/>
  <c r="P13" i="1275" s="1"/>
  <c r="AC13" i="1275" s="1"/>
  <c r="O13" i="1275"/>
  <c r="M13" i="1275"/>
  <c r="AF12" i="1275"/>
  <c r="Q12" i="1275"/>
  <c r="P12" i="1275"/>
  <c r="AC12" i="1275" s="1"/>
  <c r="AF11" i="1275"/>
  <c r="Q11" i="1275"/>
  <c r="P11" i="1275"/>
  <c r="AC11" i="1275" s="1"/>
  <c r="AF10" i="1275"/>
  <c r="AB10" i="1275"/>
  <c r="Q10" i="1275"/>
  <c r="P10" i="1275" s="1"/>
  <c r="AC10" i="1275" s="1"/>
  <c r="M10" i="1275"/>
  <c r="AF9" i="1275"/>
  <c r="AB9" i="1275"/>
  <c r="Q9" i="1275"/>
  <c r="P9" i="1275" s="1"/>
  <c r="AC9" i="1275" s="1"/>
  <c r="O9" i="1275"/>
  <c r="M9" i="1275"/>
  <c r="AF8" i="1275"/>
  <c r="Q8" i="1275"/>
  <c r="P8" i="1275"/>
  <c r="AC8" i="1275" s="1"/>
  <c r="O8" i="1275"/>
  <c r="L21" i="1275"/>
  <c r="O21" i="1275" s="1"/>
  <c r="AF7" i="1275"/>
  <c r="AC7" i="1275"/>
  <c r="AD7" i="1275" s="1"/>
  <c r="AB7" i="1275"/>
  <c r="Q7" i="1275"/>
  <c r="P7" i="1275"/>
  <c r="O7" i="1275"/>
  <c r="M7" i="1275"/>
  <c r="K7" i="1275"/>
  <c r="AF6" i="1275"/>
  <c r="AC6" i="1275"/>
  <c r="AB6" i="1275"/>
  <c r="Q6" i="1275"/>
  <c r="P6" i="1275"/>
  <c r="O6" i="1275"/>
  <c r="M6" i="1275"/>
  <c r="K6" i="1275"/>
  <c r="M24" i="1277" l="1"/>
  <c r="AB24" i="1277"/>
  <c r="AD8" i="1277"/>
  <c r="AD24" i="1277" s="1"/>
  <c r="AE19" i="1277" s="1"/>
  <c r="M22" i="1276"/>
  <c r="AD13" i="1276"/>
  <c r="AD22" i="1276" s="1"/>
  <c r="AE19" i="1276" s="1"/>
  <c r="AB22" i="1276"/>
  <c r="Q21" i="1275"/>
  <c r="AD10" i="1275"/>
  <c r="AD9" i="1275"/>
  <c r="AD8" i="1275"/>
  <c r="M8" i="1275"/>
  <c r="AD13" i="1275"/>
  <c r="AD16" i="1275"/>
  <c r="AD19" i="1275"/>
  <c r="AC21" i="1275"/>
  <c r="P21" i="1275"/>
  <c r="AD6" i="1275"/>
  <c r="M12" i="1275"/>
  <c r="AB12" i="1275"/>
  <c r="M15" i="1275"/>
  <c r="AB15" i="1275"/>
  <c r="AD15" i="1275" s="1"/>
  <c r="M18" i="1275"/>
  <c r="AB18" i="1275"/>
  <c r="M11" i="1275"/>
  <c r="AB11" i="1275"/>
  <c r="AD11" i="1275" s="1"/>
  <c r="O12" i="1275"/>
  <c r="O15" i="1275"/>
  <c r="O18" i="1275"/>
  <c r="AD18" i="1275" s="1"/>
  <c r="M20" i="1275"/>
  <c r="AB20" i="1275"/>
  <c r="AD20" i="1275" s="1"/>
  <c r="K21" i="1275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274"/>
  <c r="O20" i="1274" s="1"/>
  <c r="L18" i="1274"/>
  <c r="O18" i="1274" s="1"/>
  <c r="K18" i="1274"/>
  <c r="L16" i="1274"/>
  <c r="L15" i="1274"/>
  <c r="O15" i="1274" s="1"/>
  <c r="K15" i="1274"/>
  <c r="L13" i="1274"/>
  <c r="L12" i="1274"/>
  <c r="L11" i="1274"/>
  <c r="L8" i="1274"/>
  <c r="K8" i="1274" s="1"/>
  <c r="K20" i="1274"/>
  <c r="K19" i="1274"/>
  <c r="K16" i="1274"/>
  <c r="K13" i="1274"/>
  <c r="K12" i="1274"/>
  <c r="K11" i="1274"/>
  <c r="A75" i="1274"/>
  <c r="A76" i="1274" s="1"/>
  <c r="A77" i="1274" s="1"/>
  <c r="A78" i="1274" s="1"/>
  <c r="A79" i="1274" s="1"/>
  <c r="A80" i="1274" s="1"/>
  <c r="A81" i="1274" s="1"/>
  <c r="A74" i="1274"/>
  <c r="AF60" i="1274"/>
  <c r="AF59" i="1274"/>
  <c r="AF62" i="1274" s="1"/>
  <c r="AA21" i="1274"/>
  <c r="Z21" i="1274"/>
  <c r="Y21" i="1274"/>
  <c r="X21" i="1274"/>
  <c r="W21" i="1274"/>
  <c r="V21" i="1274"/>
  <c r="U21" i="1274"/>
  <c r="T21" i="1274"/>
  <c r="S21" i="1274"/>
  <c r="R21" i="1274"/>
  <c r="N21" i="1274"/>
  <c r="J21" i="1274"/>
  <c r="I21" i="1274"/>
  <c r="AF20" i="1274"/>
  <c r="Q20" i="1274"/>
  <c r="AF19" i="1274"/>
  <c r="Q19" i="1274"/>
  <c r="P19" i="1274"/>
  <c r="AC19" i="1274" s="1"/>
  <c r="AB19" i="1274"/>
  <c r="AF18" i="1274"/>
  <c r="Q18" i="1274"/>
  <c r="P18" i="1274"/>
  <c r="AC18" i="1274" s="1"/>
  <c r="AB18" i="1274"/>
  <c r="AF17" i="1274"/>
  <c r="AB17" i="1274"/>
  <c r="Q17" i="1274"/>
  <c r="P17" i="1274"/>
  <c r="AC17" i="1274" s="1"/>
  <c r="AD17" i="1274" s="1"/>
  <c r="O17" i="1274"/>
  <c r="M17" i="1274"/>
  <c r="K17" i="1274"/>
  <c r="AF16" i="1274"/>
  <c r="Q16" i="1274"/>
  <c r="P16" i="1274"/>
  <c r="AC16" i="1274" s="1"/>
  <c r="AB16" i="1274"/>
  <c r="AF15" i="1274"/>
  <c r="AB15" i="1274"/>
  <c r="Q15" i="1274"/>
  <c r="P15" i="1274"/>
  <c r="AC15" i="1274" s="1"/>
  <c r="M15" i="1274"/>
  <c r="AF14" i="1274"/>
  <c r="AB14" i="1274"/>
  <c r="Q14" i="1274"/>
  <c r="P14" i="1274"/>
  <c r="AC14" i="1274" s="1"/>
  <c r="AD14" i="1274" s="1"/>
  <c r="O14" i="1274"/>
  <c r="M14" i="1274"/>
  <c r="K14" i="1274"/>
  <c r="AF13" i="1274"/>
  <c r="Q13" i="1274"/>
  <c r="O13" i="1274"/>
  <c r="P13" i="1274"/>
  <c r="AC13" i="1274" s="1"/>
  <c r="AF12" i="1274"/>
  <c r="AB12" i="1274"/>
  <c r="Q12" i="1274"/>
  <c r="P12" i="1274"/>
  <c r="AC12" i="1274" s="1"/>
  <c r="O12" i="1274"/>
  <c r="M12" i="1274"/>
  <c r="AF11" i="1274"/>
  <c r="Q11" i="1274"/>
  <c r="AB11" i="1274"/>
  <c r="AF10" i="1274"/>
  <c r="AB10" i="1274"/>
  <c r="Q10" i="1274"/>
  <c r="P10" i="1274"/>
  <c r="AC10" i="1274" s="1"/>
  <c r="AD10" i="1274" s="1"/>
  <c r="O10" i="1274"/>
  <c r="M10" i="1274"/>
  <c r="K10" i="1274"/>
  <c r="AF9" i="1274"/>
  <c r="AB9" i="1274"/>
  <c r="Q9" i="1274"/>
  <c r="P9" i="1274"/>
  <c r="AC9" i="1274" s="1"/>
  <c r="O9" i="1274"/>
  <c r="M9" i="1274"/>
  <c r="K9" i="1274"/>
  <c r="AF8" i="1274"/>
  <c r="AB8" i="1274"/>
  <c r="Q8" i="1274"/>
  <c r="P8" i="1274"/>
  <c r="AC8" i="1274" s="1"/>
  <c r="M8" i="1274"/>
  <c r="AF7" i="1274"/>
  <c r="AC7" i="1274"/>
  <c r="AD7" i="1274" s="1"/>
  <c r="AB7" i="1274"/>
  <c r="Q7" i="1274"/>
  <c r="P7" i="1274"/>
  <c r="O7" i="1274"/>
  <c r="M7" i="1274"/>
  <c r="K7" i="1274"/>
  <c r="AF6" i="1274"/>
  <c r="AC6" i="1274"/>
  <c r="AB6" i="1274"/>
  <c r="Q6" i="1274"/>
  <c r="P6" i="1274"/>
  <c r="O6" i="1274"/>
  <c r="M6" i="1274"/>
  <c r="K6" i="1274"/>
  <c r="AE9" i="1277" l="1"/>
  <c r="AE11" i="1277"/>
  <c r="AE14" i="1277"/>
  <c r="AE10" i="1277"/>
  <c r="AE6" i="1277"/>
  <c r="AE7" i="1277"/>
  <c r="AE8" i="1277"/>
  <c r="AE22" i="1277"/>
  <c r="AE20" i="1277"/>
  <c r="AE17" i="1277"/>
  <c r="AE15" i="1277"/>
  <c r="AE12" i="1277"/>
  <c r="AE23" i="1277"/>
  <c r="AE21" i="1277"/>
  <c r="AE18" i="1277"/>
  <c r="AE16" i="1277"/>
  <c r="AE13" i="1277"/>
  <c r="AE16" i="1276"/>
  <c r="AE10" i="1276"/>
  <c r="AE7" i="1276"/>
  <c r="AE17" i="1276"/>
  <c r="AE6" i="1276"/>
  <c r="AE20" i="1276"/>
  <c r="AE14" i="1276"/>
  <c r="AE11" i="1276"/>
  <c r="AE8" i="1276"/>
  <c r="AE21" i="1276"/>
  <c r="AE15" i="1276"/>
  <c r="AE12" i="1276"/>
  <c r="AE18" i="1276"/>
  <c r="AE13" i="1276"/>
  <c r="AE9" i="1276"/>
  <c r="M21" i="1275"/>
  <c r="AD12" i="1275"/>
  <c r="AD21" i="1275"/>
  <c r="AB21" i="1275"/>
  <c r="AD15" i="1274"/>
  <c r="L21" i="1274"/>
  <c r="O21" i="1274" s="1"/>
  <c r="Q21" i="1274"/>
  <c r="AD9" i="1274"/>
  <c r="AD12" i="1274"/>
  <c r="AD18" i="1274"/>
  <c r="O11" i="1274"/>
  <c r="AD6" i="1274"/>
  <c r="O8" i="1274"/>
  <c r="AD8" i="1274" s="1"/>
  <c r="P11" i="1274"/>
  <c r="AC11" i="1274" s="1"/>
  <c r="M13" i="1274"/>
  <c r="AB13" i="1274"/>
  <c r="O16" i="1274"/>
  <c r="AD16" i="1274" s="1"/>
  <c r="M18" i="1274"/>
  <c r="O19" i="1274"/>
  <c r="AD19" i="1274" s="1"/>
  <c r="K21" i="1274"/>
  <c r="P20" i="1274"/>
  <c r="AC20" i="1274" s="1"/>
  <c r="M11" i="1274"/>
  <c r="M20" i="1274"/>
  <c r="AB20" i="1274"/>
  <c r="M16" i="1274"/>
  <c r="M19" i="1274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20" i="1273"/>
  <c r="M20" i="1273" s="1"/>
  <c r="L19" i="1273"/>
  <c r="M19" i="1273" s="1"/>
  <c r="L18" i="1273"/>
  <c r="L16" i="1273"/>
  <c r="M16" i="1273" s="1"/>
  <c r="L13" i="1273"/>
  <c r="K13" i="1273"/>
  <c r="L12" i="1273"/>
  <c r="K12" i="1273" s="1"/>
  <c r="L11" i="1273"/>
  <c r="L8" i="1273"/>
  <c r="K18" i="1273"/>
  <c r="K17" i="1273"/>
  <c r="K15" i="1273"/>
  <c r="K11" i="1273"/>
  <c r="K9" i="1273"/>
  <c r="K8" i="1273"/>
  <c r="A74" i="1273"/>
  <c r="A75" i="1273" s="1"/>
  <c r="A76" i="1273" s="1"/>
  <c r="A77" i="1273" s="1"/>
  <c r="A78" i="1273" s="1"/>
  <c r="A79" i="1273" s="1"/>
  <c r="A80" i="1273" s="1"/>
  <c r="A81" i="1273" s="1"/>
  <c r="AF62" i="1273"/>
  <c r="AF60" i="1273"/>
  <c r="AF59" i="1273"/>
  <c r="AA21" i="1273"/>
  <c r="Z21" i="1273"/>
  <c r="Y21" i="1273"/>
  <c r="X21" i="1273"/>
  <c r="W21" i="1273"/>
  <c r="V21" i="1273"/>
  <c r="U21" i="1273"/>
  <c r="T21" i="1273"/>
  <c r="S21" i="1273"/>
  <c r="R21" i="1273"/>
  <c r="N21" i="1273"/>
  <c r="J21" i="1273"/>
  <c r="I21" i="1273"/>
  <c r="AF20" i="1273"/>
  <c r="Q20" i="1273"/>
  <c r="AF19" i="1273"/>
  <c r="AB19" i="1273"/>
  <c r="Q19" i="1273"/>
  <c r="AF18" i="1273"/>
  <c r="Q18" i="1273"/>
  <c r="P18" i="1273"/>
  <c r="AC18" i="1273" s="1"/>
  <c r="AF17" i="1273"/>
  <c r="AB17" i="1273"/>
  <c r="Q17" i="1273"/>
  <c r="P17" i="1273"/>
  <c r="AC17" i="1273" s="1"/>
  <c r="O17" i="1273"/>
  <c r="M17" i="1273"/>
  <c r="AF16" i="1273"/>
  <c r="AB16" i="1273"/>
  <c r="Q16" i="1273"/>
  <c r="AF15" i="1273"/>
  <c r="AB15" i="1273"/>
  <c r="Q15" i="1273"/>
  <c r="P15" i="1273" s="1"/>
  <c r="AC15" i="1273" s="1"/>
  <c r="AD15" i="1273" s="1"/>
  <c r="O15" i="1273"/>
  <c r="M15" i="1273"/>
  <c r="AF14" i="1273"/>
  <c r="AC14" i="1273"/>
  <c r="AD14" i="1273" s="1"/>
  <c r="AB14" i="1273"/>
  <c r="Q14" i="1273"/>
  <c r="P14" i="1273"/>
  <c r="O14" i="1273"/>
  <c r="M14" i="1273"/>
  <c r="K14" i="1273"/>
  <c r="AF13" i="1273"/>
  <c r="AB13" i="1273"/>
  <c r="Q13" i="1273"/>
  <c r="P13" i="1273"/>
  <c r="AC13" i="1273" s="1"/>
  <c r="O13" i="1273"/>
  <c r="M13" i="1273"/>
  <c r="AF12" i="1273"/>
  <c r="AB12" i="1273"/>
  <c r="Q12" i="1273"/>
  <c r="O12" i="1273"/>
  <c r="M12" i="1273"/>
  <c r="AF11" i="1273"/>
  <c r="AB11" i="1273"/>
  <c r="Q11" i="1273"/>
  <c r="M11" i="1273"/>
  <c r="P11" i="1273"/>
  <c r="AC11" i="1273" s="1"/>
  <c r="AF10" i="1273"/>
  <c r="AB10" i="1273"/>
  <c r="Q10" i="1273"/>
  <c r="P10" i="1273"/>
  <c r="AC10" i="1273" s="1"/>
  <c r="O10" i="1273"/>
  <c r="M10" i="1273"/>
  <c r="K10" i="1273"/>
  <c r="AF9" i="1273"/>
  <c r="AB9" i="1273"/>
  <c r="Q9" i="1273"/>
  <c r="O9" i="1273"/>
  <c r="M9" i="1273"/>
  <c r="P9" i="1273"/>
  <c r="AC9" i="1273" s="1"/>
  <c r="AF8" i="1273"/>
  <c r="Q8" i="1273"/>
  <c r="M8" i="1273"/>
  <c r="AF7" i="1273"/>
  <c r="AB7" i="1273"/>
  <c r="Q7" i="1273"/>
  <c r="P7" i="1273"/>
  <c r="AC7" i="1273" s="1"/>
  <c r="AD7" i="1273" s="1"/>
  <c r="O7" i="1273"/>
  <c r="M7" i="1273"/>
  <c r="K7" i="1273"/>
  <c r="AF6" i="1273"/>
  <c r="AC6" i="1273"/>
  <c r="AB6" i="1273"/>
  <c r="Q6" i="1273"/>
  <c r="P6" i="1273"/>
  <c r="O6" i="1273"/>
  <c r="M6" i="1273"/>
  <c r="K6" i="1273"/>
  <c r="AE16" i="1275" l="1"/>
  <c r="AE13" i="1275"/>
  <c r="AE19" i="1275"/>
  <c r="AE10" i="1275"/>
  <c r="AE8" i="1275"/>
  <c r="AE20" i="1275"/>
  <c r="AE17" i="1275"/>
  <c r="AE14" i="1275"/>
  <c r="AE11" i="1275"/>
  <c r="AE6" i="1275"/>
  <c r="AE18" i="1275"/>
  <c r="AE15" i="1275"/>
  <c r="AE9" i="1275"/>
  <c r="AE7" i="1275"/>
  <c r="AE12" i="1275"/>
  <c r="AD11" i="1274"/>
  <c r="M21" i="1274"/>
  <c r="AB21" i="1274"/>
  <c r="AC21" i="1274"/>
  <c r="P21" i="1274"/>
  <c r="AD20" i="1274"/>
  <c r="AD13" i="1274"/>
  <c r="AD21" i="1274" s="1"/>
  <c r="P20" i="1273"/>
  <c r="AC20" i="1273" s="1"/>
  <c r="AB20" i="1273"/>
  <c r="O20" i="1273"/>
  <c r="AD20" i="1273" s="1"/>
  <c r="K20" i="1273"/>
  <c r="P19" i="1273"/>
  <c r="AC19" i="1273" s="1"/>
  <c r="K19" i="1273"/>
  <c r="K16" i="1273"/>
  <c r="K21" i="1273" s="1"/>
  <c r="P16" i="1273"/>
  <c r="AC16" i="1273" s="1"/>
  <c r="P12" i="1273"/>
  <c r="AC12" i="1273" s="1"/>
  <c r="L21" i="1273"/>
  <c r="O21" i="1273" s="1"/>
  <c r="Q21" i="1273"/>
  <c r="AB8" i="1273"/>
  <c r="AD12" i="1273"/>
  <c r="AD9" i="1273"/>
  <c r="AD13" i="1273"/>
  <c r="AD17" i="1273"/>
  <c r="AD10" i="1273"/>
  <c r="AD6" i="1273"/>
  <c r="O8" i="1273"/>
  <c r="O11" i="1273"/>
  <c r="AD11" i="1273" s="1"/>
  <c r="O16" i="1273"/>
  <c r="M18" i="1273"/>
  <c r="M21" i="1273" s="1"/>
  <c r="AB18" i="1273"/>
  <c r="AD18" i="1273" s="1"/>
  <c r="O19" i="1273"/>
  <c r="AD19" i="1273" s="1"/>
  <c r="P8" i="1273"/>
  <c r="AC8" i="1273" s="1"/>
  <c r="O18" i="1273"/>
  <c r="B18" i="16"/>
  <c r="B17" i="16"/>
  <c r="AG17" i="16" s="1"/>
  <c r="B16" i="16"/>
  <c r="AG16" i="16" s="1"/>
  <c r="B15" i="16"/>
  <c r="B14" i="16"/>
  <c r="B13" i="16"/>
  <c r="AG13" i="16" s="1"/>
  <c r="B12" i="16"/>
  <c r="AG12" i="16" s="1"/>
  <c r="B11" i="16"/>
  <c r="B10" i="16"/>
  <c r="B9" i="16"/>
  <c r="AG9" i="16" s="1"/>
  <c r="B8" i="16"/>
  <c r="AG8" i="16" s="1"/>
  <c r="B7" i="16"/>
  <c r="B6" i="16"/>
  <c r="B5" i="16"/>
  <c r="AG5" i="16" s="1"/>
  <c r="B4" i="16"/>
  <c r="AG4" i="16" s="1"/>
  <c r="B3" i="16"/>
  <c r="AG3" i="16" s="1"/>
  <c r="L19" i="1272"/>
  <c r="K19" i="1272"/>
  <c r="L18" i="1272"/>
  <c r="K18" i="1272" s="1"/>
  <c r="K17" i="1272"/>
  <c r="L16" i="1272"/>
  <c r="K15" i="1272"/>
  <c r="L12" i="1272"/>
  <c r="K12" i="1272"/>
  <c r="L11" i="1272"/>
  <c r="L9" i="1272"/>
  <c r="K9" i="1272"/>
  <c r="L8" i="1272"/>
  <c r="K8" i="1272" s="1"/>
  <c r="K16" i="1272"/>
  <c r="K13" i="1272"/>
  <c r="K11" i="1272"/>
  <c r="K10" i="1272"/>
  <c r="AG18" i="16"/>
  <c r="AG15" i="16"/>
  <c r="AG14" i="16"/>
  <c r="AG11" i="16"/>
  <c r="AG10" i="16"/>
  <c r="AG7" i="16"/>
  <c r="AG6" i="16"/>
  <c r="AE18" i="1274" l="1"/>
  <c r="AE15" i="1274"/>
  <c r="AE13" i="1274"/>
  <c r="AE7" i="1274"/>
  <c r="AE19" i="1274"/>
  <c r="AE16" i="1274"/>
  <c r="AE10" i="1274"/>
  <c r="AE8" i="1274"/>
  <c r="AE20" i="1274"/>
  <c r="AE14" i="1274"/>
  <c r="AE11" i="1274"/>
  <c r="AE17" i="1274"/>
  <c r="AE12" i="1274"/>
  <c r="AE9" i="1274"/>
  <c r="AE6" i="1274"/>
  <c r="AB21" i="1273"/>
  <c r="AD16" i="1273"/>
  <c r="AD21" i="1273" s="1"/>
  <c r="AD8" i="1273"/>
  <c r="AC21" i="1273"/>
  <c r="P21" i="1273"/>
  <c r="M18" i="1272"/>
  <c r="P12" i="1272"/>
  <c r="AC12" i="1272" s="1"/>
  <c r="O11" i="1272"/>
  <c r="O10" i="1272"/>
  <c r="AF10" i="1272"/>
  <c r="Q10" i="1272"/>
  <c r="AB10" i="1272"/>
  <c r="K20" i="1272"/>
  <c r="A74" i="1272"/>
  <c r="A75" i="1272" s="1"/>
  <c r="A76" i="1272" s="1"/>
  <c r="A77" i="1272" s="1"/>
  <c r="A78" i="1272" s="1"/>
  <c r="A79" i="1272" s="1"/>
  <c r="A80" i="1272" s="1"/>
  <c r="A81" i="1272" s="1"/>
  <c r="AF60" i="1272"/>
  <c r="AF59" i="1272"/>
  <c r="AA21" i="1272"/>
  <c r="Z21" i="1272"/>
  <c r="Y21" i="1272"/>
  <c r="X21" i="1272"/>
  <c r="W21" i="1272"/>
  <c r="V21" i="1272"/>
  <c r="U21" i="1272"/>
  <c r="T21" i="1272"/>
  <c r="S21" i="1272"/>
  <c r="R21" i="1272"/>
  <c r="N21" i="1272"/>
  <c r="J21" i="1272"/>
  <c r="I21" i="1272"/>
  <c r="AF20" i="1272"/>
  <c r="AB20" i="1272"/>
  <c r="Q20" i="1272"/>
  <c r="P20" i="1272"/>
  <c r="AC20" i="1272" s="1"/>
  <c r="M20" i="1272"/>
  <c r="O20" i="1272"/>
  <c r="AF19" i="1272"/>
  <c r="Q19" i="1272"/>
  <c r="O19" i="1272"/>
  <c r="AF18" i="1272"/>
  <c r="AB18" i="1272"/>
  <c r="Q18" i="1272"/>
  <c r="P18" i="1272"/>
  <c r="AC18" i="1272" s="1"/>
  <c r="O18" i="1272"/>
  <c r="AF17" i="1272"/>
  <c r="AB17" i="1272"/>
  <c r="Q17" i="1272"/>
  <c r="P17" i="1272"/>
  <c r="AC17" i="1272" s="1"/>
  <c r="O17" i="1272"/>
  <c r="M17" i="1272"/>
  <c r="AF16" i="1272"/>
  <c r="Q16" i="1272"/>
  <c r="O16" i="1272"/>
  <c r="AB16" i="1272"/>
  <c r="AF15" i="1272"/>
  <c r="AB15" i="1272"/>
  <c r="Q15" i="1272"/>
  <c r="P15" i="1272"/>
  <c r="AC15" i="1272" s="1"/>
  <c r="O15" i="1272"/>
  <c r="M15" i="1272"/>
  <c r="AF14" i="1272"/>
  <c r="AB14" i="1272"/>
  <c r="Q14" i="1272"/>
  <c r="P14" i="1272"/>
  <c r="AC14" i="1272" s="1"/>
  <c r="O14" i="1272"/>
  <c r="M14" i="1272"/>
  <c r="K14" i="1272"/>
  <c r="AF13" i="1272"/>
  <c r="AB13" i="1272"/>
  <c r="Q13" i="1272"/>
  <c r="O13" i="1272"/>
  <c r="AF12" i="1272"/>
  <c r="Q12" i="1272"/>
  <c r="AF11" i="1272"/>
  <c r="AB11" i="1272"/>
  <c r="Q11" i="1272"/>
  <c r="P11" i="1272"/>
  <c r="AC11" i="1272" s="1"/>
  <c r="M11" i="1272"/>
  <c r="AF9" i="1272"/>
  <c r="AB9" i="1272"/>
  <c r="Q9" i="1272"/>
  <c r="P9" i="1272" s="1"/>
  <c r="AC9" i="1272" s="1"/>
  <c r="O9" i="1272"/>
  <c r="M9" i="1272"/>
  <c r="AF8" i="1272"/>
  <c r="Q8" i="1272"/>
  <c r="O8" i="1272"/>
  <c r="AB8" i="1272"/>
  <c r="AF7" i="1272"/>
  <c r="AB7" i="1272"/>
  <c r="Q7" i="1272"/>
  <c r="P7" i="1272"/>
  <c r="AC7" i="1272" s="1"/>
  <c r="O7" i="1272"/>
  <c r="M7" i="1272"/>
  <c r="K7" i="1272"/>
  <c r="AF6" i="1272"/>
  <c r="AB6" i="1272"/>
  <c r="Q6" i="1272"/>
  <c r="P6" i="1272"/>
  <c r="AC6" i="1272" s="1"/>
  <c r="O6" i="1272"/>
  <c r="M6" i="1272"/>
  <c r="K6" i="1272"/>
  <c r="AE19" i="1273" l="1"/>
  <c r="AE16" i="1273"/>
  <c r="AE11" i="1273"/>
  <c r="AE8" i="1273"/>
  <c r="AE14" i="1273"/>
  <c r="AE12" i="1273"/>
  <c r="AE9" i="1273"/>
  <c r="AE6" i="1273"/>
  <c r="AE15" i="1273"/>
  <c r="AE20" i="1273"/>
  <c r="AE17" i="1273"/>
  <c r="AE18" i="1273"/>
  <c r="AE13" i="1273"/>
  <c r="AE10" i="1273"/>
  <c r="AE7" i="1273"/>
  <c r="AF62" i="1272"/>
  <c r="AB19" i="1272"/>
  <c r="P13" i="1272"/>
  <c r="AC13" i="1272" s="1"/>
  <c r="AD13" i="1272" s="1"/>
  <c r="M13" i="1272"/>
  <c r="P10" i="1272"/>
  <c r="AC10" i="1272" s="1"/>
  <c r="AD10" i="1272" s="1"/>
  <c r="M10" i="1272"/>
  <c r="AD11" i="1272"/>
  <c r="AD14" i="1272"/>
  <c r="Q21" i="1272"/>
  <c r="AD18" i="1272"/>
  <c r="AD7" i="1272"/>
  <c r="AD9" i="1272"/>
  <c r="AD17" i="1272"/>
  <c r="AD15" i="1272"/>
  <c r="AD20" i="1272"/>
  <c r="AD6" i="1272"/>
  <c r="K21" i="1272"/>
  <c r="P8" i="1272"/>
  <c r="AC8" i="1272" s="1"/>
  <c r="AD8" i="1272" s="1"/>
  <c r="M12" i="1272"/>
  <c r="AB12" i="1272"/>
  <c r="P16" i="1272"/>
  <c r="AC16" i="1272" s="1"/>
  <c r="AD16" i="1272" s="1"/>
  <c r="P19" i="1272"/>
  <c r="AC19" i="1272" s="1"/>
  <c r="O12" i="1272"/>
  <c r="L21" i="1272"/>
  <c r="O21" i="1272" s="1"/>
  <c r="M8" i="1272"/>
  <c r="M16" i="1272"/>
  <c r="M19" i="1272"/>
  <c r="AD19" i="1272" l="1"/>
  <c r="AD12" i="1272"/>
  <c r="AD21" i="1272" s="1"/>
  <c r="M21" i="1272"/>
  <c r="AB21" i="1272"/>
  <c r="P21" i="1272"/>
  <c r="AC21" i="1272"/>
  <c r="AE10" i="1272" l="1"/>
  <c r="AE18" i="1272"/>
  <c r="AE15" i="1272"/>
  <c r="AE13" i="1272"/>
  <c r="AE7" i="1272"/>
  <c r="AE16" i="1272"/>
  <c r="AE8" i="1272"/>
  <c r="AE19" i="1272"/>
  <c r="AE12" i="1272"/>
  <c r="AE20" i="1272"/>
  <c r="AE14" i="1272"/>
  <c r="AE11" i="1272"/>
  <c r="AE6" i="1272"/>
  <c r="AE17" i="1272"/>
  <c r="AE9" i="1272"/>
</calcChain>
</file>

<file path=xl/sharedStrings.xml><?xml version="1.0" encoding="utf-8"?>
<sst xmlns="http://schemas.openxmlformats.org/spreadsheetml/2006/main" count="4197" uniqueCount="448">
  <si>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</si>
  <si>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</si>
  <si>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</si>
  <si>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</si>
  <si>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</si>
  <si>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</si>
  <si>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</si>
  <si>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</si>
  <si>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</si>
  <si>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</si>
  <si>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</si>
  <si>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</si>
  <si>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</si>
  <si>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</si>
  <si>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</si>
  <si>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</si>
  <si>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</si>
  <si>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</si>
  <si>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</si>
  <si>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</si>
  <si>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</si>
  <si>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</si>
  <si>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</si>
  <si>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</si>
  <si>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</si>
  <si>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</si>
  <si>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</si>
  <si>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</si>
  <si>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</si>
  <si>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</si>
  <si>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</si>
  <si>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</si>
  <si>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</si>
  <si>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</si>
  <si>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</si>
  <si>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</si>
  <si>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</si>
  <si>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</si>
  <si>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</si>
  <si>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</si>
  <si>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</si>
  <si>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</si>
  <si>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</si>
  <si>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</si>
  <si>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</si>
  <si>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</si>
  <si>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</si>
  <si>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</si>
  <si>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</si>
  <si>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</si>
  <si>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</si>
  <si>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</si>
  <si>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</si>
  <si>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</si>
  <si>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</si>
  <si>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</si>
  <si>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</si>
  <si>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</si>
  <si>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</si>
  <si>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</si>
  <si>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</si>
  <si>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</si>
  <si>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</si>
  <si>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</si>
  <si>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</si>
  <si>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</si>
  <si>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</si>
  <si>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</si>
  <si>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</si>
  <si>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</si>
  <si>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</si>
  <si>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</si>
  <si>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</si>
  <si>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14호기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</si>
  <si>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</si>
  <si>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</si>
  <si>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</si>
  <si>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</si>
  <si>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</si>
  <si>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</si>
  <si>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</si>
  <si>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</si>
  <si>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</si>
  <si>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</si>
  <si>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</si>
  <si>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</si>
  <si>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</si>
  <si>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</si>
  <si>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</si>
  <si>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</si>
  <si>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</si>
  <si>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</si>
  <si>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</si>
  <si>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</si>
  <si>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</si>
  <si>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</si>
  <si>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</si>
  <si>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</si>
  <si>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</si>
  <si>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</si>
  <si>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</si>
  <si>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</si>
  <si>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</si>
  <si>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</si>
  <si>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</si>
  <si>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</si>
  <si>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</si>
  <si>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</si>
  <si>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</si>
  <si>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</si>
  <si>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</si>
  <si>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15호기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</si>
  <si>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</si>
  <si>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</si>
  <si>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</si>
  <si>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 xml:space="preserve"> 코아파손</t>
    <phoneticPr fontId="2" type="noConversion"/>
  </si>
  <si>
    <t>IC GUIDE</t>
    <phoneticPr fontId="2" type="noConversion"/>
  </si>
  <si>
    <t>AMB07H9A-KAA-R1</t>
    <phoneticPr fontId="2" type="noConversion"/>
  </si>
  <si>
    <t xml:space="preserve"> 미성형,단차</t>
    <phoneticPr fontId="2" type="noConversion"/>
  </si>
  <si>
    <t>38P</t>
    <phoneticPr fontId="2" type="noConversion"/>
  </si>
  <si>
    <t>AM0164A-A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</si>
  <si>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</si>
  <si>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</si>
  <si>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</si>
  <si>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72P</t>
    <phoneticPr fontId="2" type="noConversion"/>
  </si>
  <si>
    <t>SST</t>
    <phoneticPr fontId="2" type="noConversion"/>
  </si>
  <si>
    <t>ADAPTER</t>
    <phoneticPr fontId="2" type="noConversion"/>
  </si>
  <si>
    <t>TST</t>
    <phoneticPr fontId="2" type="noConversion"/>
  </si>
  <si>
    <t>사출물 B</t>
    <phoneticPr fontId="2" type="noConversion"/>
  </si>
  <si>
    <t>SF2255</t>
    <phoneticPr fontId="2" type="noConversion"/>
  </si>
  <si>
    <t>발주분양산</t>
    <phoneticPr fontId="2" type="noConversion"/>
  </si>
  <si>
    <t>7301</t>
    <phoneticPr fontId="2" type="noConversion"/>
  </si>
  <si>
    <t>STOPPER</t>
    <phoneticPr fontId="2" type="noConversion"/>
  </si>
  <si>
    <t>KR6197-D475PA</t>
    <phoneticPr fontId="2" type="noConversion"/>
  </si>
  <si>
    <t>금형 수리 내역(01일)</t>
    <phoneticPr fontId="2" type="noConversion"/>
  </si>
  <si>
    <t>설비 점검 내역(01일)</t>
    <phoneticPr fontId="2" type="noConversion"/>
  </si>
  <si>
    <t>SLIDER</t>
    <phoneticPr fontId="2" type="noConversion"/>
  </si>
  <si>
    <t>SGF2030</t>
    <phoneticPr fontId="2" type="noConversion"/>
  </si>
  <si>
    <t>LEAD GUIDE</t>
    <phoneticPr fontId="2" type="noConversion"/>
  </si>
  <si>
    <t>전일 ISSUE 사항(01일)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</si>
  <si>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</si>
  <si>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</si>
  <si>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</si>
  <si>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수리후양산</t>
    <phoneticPr fontId="2" type="noConversion"/>
  </si>
  <si>
    <t>8</t>
    <phoneticPr fontId="2" type="noConversion"/>
  </si>
  <si>
    <t>14</t>
    <phoneticPr fontId="2" type="noConversion"/>
  </si>
  <si>
    <t>SAMPLE 진행 사항(01일)</t>
    <phoneticPr fontId="2" type="noConversion"/>
  </si>
  <si>
    <t>SGF2050</t>
    <phoneticPr fontId="2" type="noConversion"/>
  </si>
  <si>
    <t>당일 진행 사항(03일)</t>
    <phoneticPr fontId="2" type="noConversion"/>
  </si>
  <si>
    <t>ACTUATOR</t>
    <phoneticPr fontId="2" type="noConversion"/>
  </si>
  <si>
    <t>HICON</t>
    <phoneticPr fontId="2" type="noConversion"/>
  </si>
  <si>
    <t>SGF2041</t>
    <phoneticPr fontId="2" type="noConversion"/>
  </si>
  <si>
    <t>AYE</t>
    <phoneticPr fontId="2" type="noConversion"/>
  </si>
  <si>
    <t>PA9T</t>
    <phoneticPr fontId="2" type="noConversion"/>
  </si>
  <si>
    <t>KR6414-GA414QB</t>
    <phoneticPr fontId="2" type="noConversion"/>
  </si>
  <si>
    <t>AAM0818C-KAB-R3</t>
    <phoneticPr fontId="2" type="noConversion"/>
  </si>
  <si>
    <t>SGP2030R N/P</t>
    <phoneticPr fontId="2" type="noConversion"/>
  </si>
  <si>
    <t>사출안됨</t>
    <phoneticPr fontId="2" type="noConversion"/>
  </si>
  <si>
    <t>스크류 베어링 마모</t>
    <phoneticPr fontId="2" type="noConversion"/>
  </si>
  <si>
    <t>엥겔</t>
    <phoneticPr fontId="2" type="noConversion"/>
  </si>
  <si>
    <t>견적진행</t>
    <phoneticPr fontId="2" type="noConversion"/>
  </si>
  <si>
    <t>HSB05-M004B1(증)</t>
    <phoneticPr fontId="2" type="noConversion"/>
  </si>
  <si>
    <t>HSB05-M005B1(증)</t>
    <phoneticPr fontId="2" type="noConversion"/>
  </si>
  <si>
    <t>HSB05-M001B1(증)</t>
    <phoneticPr fontId="2" type="noConversion"/>
  </si>
  <si>
    <t>HSB05-M002B1-09BI(증)</t>
    <phoneticPr fontId="2" type="noConversion"/>
  </si>
  <si>
    <t>SGF2041 N/P</t>
    <phoneticPr fontId="2" type="noConversion"/>
  </si>
  <si>
    <t>HSB05-M004B1</t>
    <phoneticPr fontId="2" type="noConversion"/>
  </si>
  <si>
    <t>HSF05-M01B1</t>
    <phoneticPr fontId="2" type="noConversion"/>
  </si>
  <si>
    <t>KR6422AA496YA</t>
    <phoneticPr fontId="2" type="noConversion"/>
  </si>
  <si>
    <t>NP504-556-126#LB-1</t>
    <phoneticPr fontId="2" type="noConversion"/>
  </si>
  <si>
    <t>AMB1922A-KAA-R1</t>
    <phoneticPr fontId="2" type="noConversion"/>
  </si>
  <si>
    <t>09월 호기별 가동현황</t>
    <phoneticPr fontId="2" type="noConversion"/>
  </si>
  <si>
    <t>SF2255 I/V</t>
    <phoneticPr fontId="2" type="noConversion"/>
  </si>
  <si>
    <r>
      <t>2018년 09월 01일 일일생산현황</t>
    </r>
    <r>
      <rPr>
        <b/>
        <sz val="14"/>
        <color indexed="8"/>
        <rFont val="굴림체"/>
        <family val="3"/>
        <charset val="129"/>
      </rPr>
      <t>(03일(월) 08시 현재)</t>
    </r>
    <phoneticPr fontId="2" type="noConversion"/>
  </si>
  <si>
    <t>7</t>
    <phoneticPr fontId="2" type="noConversion"/>
  </si>
  <si>
    <t>KR6197-D475PA</t>
    <phoneticPr fontId="2" type="noConversion"/>
  </si>
  <si>
    <t>수리후양산-&gt;코아파손2회정지</t>
    <phoneticPr fontId="2" type="noConversion"/>
  </si>
  <si>
    <t>KR6197AB841CA</t>
    <phoneticPr fontId="2" type="noConversion"/>
  </si>
  <si>
    <t>KR6414-GA414QB</t>
    <phoneticPr fontId="2" type="noConversion"/>
  </si>
  <si>
    <t>NP504-556-126#LB-1</t>
    <phoneticPr fontId="2" type="noConversion"/>
  </si>
  <si>
    <t>치수확인후양산</t>
    <phoneticPr fontId="2" type="noConversion"/>
  </si>
  <si>
    <t>12</t>
    <phoneticPr fontId="2" type="noConversion"/>
  </si>
  <si>
    <t>ADAPTER</t>
    <phoneticPr fontId="2" type="noConversion"/>
  </si>
  <si>
    <t>AYE</t>
    <phoneticPr fontId="2" type="noConversion"/>
  </si>
  <si>
    <t>10</t>
    <phoneticPr fontId="2" type="noConversion"/>
  </si>
  <si>
    <t>SGP2030R N/P</t>
    <phoneticPr fontId="2" type="noConversion"/>
  </si>
  <si>
    <t>수정</t>
    <phoneticPr fontId="2" type="noConversion"/>
  </si>
  <si>
    <r>
      <t>2018년 09월 03일 일일생산현황</t>
    </r>
    <r>
      <rPr>
        <b/>
        <sz val="14"/>
        <color indexed="8"/>
        <rFont val="굴림체"/>
        <family val="3"/>
        <charset val="129"/>
      </rPr>
      <t>(04일(화) 08시 현재)</t>
    </r>
    <phoneticPr fontId="2" type="noConversion"/>
  </si>
  <si>
    <t>KR6197AB841CB</t>
    <phoneticPr fontId="2" type="noConversion"/>
  </si>
  <si>
    <t>SGF2033</t>
    <phoneticPr fontId="2" type="noConversion"/>
  </si>
  <si>
    <t>전일 ISSUE 사항(03일)</t>
    <phoneticPr fontId="2" type="noConversion"/>
  </si>
  <si>
    <t>11</t>
    <phoneticPr fontId="2" type="noConversion"/>
  </si>
  <si>
    <t>HSB05-M005B1</t>
    <phoneticPr fontId="2" type="noConversion"/>
  </si>
  <si>
    <t>세척후양산</t>
    <phoneticPr fontId="2" type="noConversion"/>
  </si>
  <si>
    <t>발주분양산-&gt;코아파손2회정지</t>
    <phoneticPr fontId="2" type="noConversion"/>
  </si>
  <si>
    <t>13</t>
    <phoneticPr fontId="2" type="noConversion"/>
  </si>
  <si>
    <t>HSB05-M001B1</t>
    <phoneticPr fontId="2" type="noConversion"/>
  </si>
  <si>
    <t>하측뜯김정지</t>
    <phoneticPr fontId="2" type="noConversion"/>
  </si>
  <si>
    <t>당일 진행 사항(04일)</t>
    <phoneticPr fontId="2" type="noConversion"/>
  </si>
  <si>
    <t>NP595-362-011#IN</t>
    <phoneticPr fontId="2" type="noConversion"/>
  </si>
  <si>
    <t>NP595-362-011#LB</t>
    <phoneticPr fontId="2" type="noConversion"/>
  </si>
  <si>
    <t>NP595-362-011#SP</t>
    <phoneticPr fontId="2" type="noConversion"/>
  </si>
  <si>
    <t>NP595-362-011#SP-A/B</t>
    <phoneticPr fontId="2" type="noConversion"/>
  </si>
  <si>
    <t>SAMPLE 진행 사항(03일)</t>
    <phoneticPr fontId="2" type="noConversion"/>
  </si>
  <si>
    <t>KR6303-E05XX/ER01XX</t>
    <phoneticPr fontId="2" type="noConversion"/>
  </si>
  <si>
    <t>JD4901</t>
    <phoneticPr fontId="2" type="noConversion"/>
  </si>
  <si>
    <t>LATCH/ROLLER</t>
    <phoneticPr fontId="2" type="noConversion"/>
  </si>
  <si>
    <t>KR6180-E02TB</t>
    <phoneticPr fontId="2" type="noConversion"/>
  </si>
  <si>
    <t>LATCH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</si>
  <si>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</si>
  <si>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</si>
  <si>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r>
      <t>2018년 09월 04일 일일생산현황</t>
    </r>
    <r>
      <rPr>
        <b/>
        <sz val="14"/>
        <color indexed="8"/>
        <rFont val="굴림체"/>
        <family val="3"/>
        <charset val="129"/>
      </rPr>
      <t>(05일(수) 08시 현재)</t>
    </r>
    <phoneticPr fontId="2" type="noConversion"/>
  </si>
  <si>
    <t>SGP2030R</t>
    <phoneticPr fontId="2" type="noConversion"/>
  </si>
  <si>
    <t>SPACER A,B</t>
    <phoneticPr fontId="2" type="noConversion"/>
  </si>
  <si>
    <t>NP595-362-011#SP-A,B</t>
    <phoneticPr fontId="2" type="noConversion"/>
  </si>
  <si>
    <t>전일 ISSUE 사항(04일)</t>
    <phoneticPr fontId="2" type="noConversion"/>
  </si>
  <si>
    <t>6</t>
    <phoneticPr fontId="2" type="noConversion"/>
  </si>
  <si>
    <t>SEPARATOR</t>
    <phoneticPr fontId="2" type="noConversion"/>
  </si>
  <si>
    <t>발주분양산-&gt;BURR정지</t>
    <phoneticPr fontId="2" type="noConversion"/>
  </si>
  <si>
    <t>KR6422-B589CA</t>
    <phoneticPr fontId="2" type="noConversion"/>
  </si>
  <si>
    <t>발주분양산-&gt;상측박힘정지</t>
    <phoneticPr fontId="2" type="noConversion"/>
  </si>
  <si>
    <t>당일 진행 사항(05일)</t>
    <phoneticPr fontId="2" type="noConversion"/>
  </si>
  <si>
    <t>OKINS</t>
    <phoneticPr fontId="2" type="noConversion"/>
  </si>
  <si>
    <t>BF1-FA078A-1</t>
    <phoneticPr fontId="2" type="noConversion"/>
  </si>
  <si>
    <t>메카텍</t>
    <phoneticPr fontId="2" type="noConversion"/>
  </si>
  <si>
    <t>BASE/UNDER BASE</t>
    <phoneticPr fontId="2" type="noConversion"/>
  </si>
  <si>
    <t>22P(4POST)</t>
    <phoneticPr fontId="2" type="noConversion"/>
  </si>
  <si>
    <t>15</t>
    <phoneticPr fontId="2" type="noConversion"/>
  </si>
  <si>
    <t>SAMPLE 진행 사항(04일)</t>
    <phoneticPr fontId="2" type="noConversion"/>
  </si>
  <si>
    <t>KR6190-E02TB</t>
    <phoneticPr fontId="2" type="noConversion"/>
  </si>
  <si>
    <t>상측박힘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</si>
  <si>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</si>
  <si>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</si>
  <si>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2018년 09월 05일 일일생산현황</t>
    </r>
    <r>
      <rPr>
        <b/>
        <sz val="14"/>
        <color indexed="8"/>
        <rFont val="굴림체"/>
        <family val="3"/>
        <charset val="129"/>
      </rPr>
      <t>(06일(목) 08시 현재)</t>
    </r>
    <phoneticPr fontId="2" type="noConversion"/>
  </si>
  <si>
    <t>EX08302</t>
    <phoneticPr fontId="2" type="noConversion"/>
  </si>
  <si>
    <t>BASE/UNDER</t>
    <phoneticPr fontId="2" type="noConversion"/>
  </si>
  <si>
    <t>22P</t>
    <phoneticPr fontId="2" type="noConversion"/>
  </si>
  <si>
    <t>전일 ISSUE 사항(05일)</t>
    <phoneticPr fontId="2" type="noConversion"/>
  </si>
  <si>
    <t>수리후양산-&gt;코아파손정지</t>
    <phoneticPr fontId="2" type="noConversion"/>
  </si>
  <si>
    <t>발주분양산-&gt;코아파손수리</t>
    <phoneticPr fontId="2" type="noConversion"/>
  </si>
  <si>
    <t>뜯김수리,세척</t>
    <phoneticPr fontId="2" type="noConversion"/>
  </si>
  <si>
    <t>당일 진행 사항(06일)</t>
    <phoneticPr fontId="2" type="noConversion"/>
  </si>
  <si>
    <t>KR6156DB841CA</t>
    <phoneticPr fontId="2" type="noConversion"/>
  </si>
  <si>
    <t>SAMPLE 진행 사항(05일)</t>
    <phoneticPr fontId="2" type="noConversion"/>
  </si>
  <si>
    <t>AM0241A-K2</t>
    <phoneticPr fontId="2" type="noConversion"/>
  </si>
  <si>
    <t>KR6422-GB496QA</t>
    <phoneticPr fontId="2" type="noConversion"/>
  </si>
  <si>
    <t>LATCH 2종,HINGE</t>
    <phoneticPr fontId="2" type="noConversion"/>
  </si>
  <si>
    <t>JCL3030</t>
    <phoneticPr fontId="2" type="noConversion"/>
  </si>
  <si>
    <t>원재료</t>
    <phoneticPr fontId="2" type="noConversion"/>
  </si>
  <si>
    <t>각100EA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</si>
  <si>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</si>
  <si>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</si>
  <si>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2018년 09월 06일 일일생산현황</t>
    </r>
    <r>
      <rPr>
        <b/>
        <sz val="14"/>
        <color indexed="8"/>
        <rFont val="굴림체"/>
        <family val="3"/>
        <charset val="129"/>
      </rPr>
      <t>(07일(금) 08시 현재)</t>
    </r>
    <phoneticPr fontId="2" type="noConversion"/>
  </si>
  <si>
    <t>BASE HINGE</t>
    <phoneticPr fontId="2" type="noConversion"/>
  </si>
  <si>
    <t>NP612-316-003#LB</t>
    <phoneticPr fontId="2" type="noConversion"/>
  </si>
  <si>
    <t>COVER</t>
    <phoneticPr fontId="2" type="noConversion"/>
  </si>
  <si>
    <t>NP612-352-002#CV</t>
    <phoneticPr fontId="2" type="noConversion"/>
  </si>
  <si>
    <t>전일 ISSUE 사항(06일)</t>
    <phoneticPr fontId="2" type="noConversion"/>
  </si>
  <si>
    <t>수리후양산-&gt;BURR정지</t>
    <phoneticPr fontId="2" type="noConversion"/>
  </si>
  <si>
    <t>수리후양산-&gt;코아파손수리</t>
    <phoneticPr fontId="2" type="noConversion"/>
  </si>
  <si>
    <t>코아파손수리</t>
    <phoneticPr fontId="2" type="noConversion"/>
  </si>
  <si>
    <t>당일 진행 사항(07일)</t>
    <phoneticPr fontId="2" type="noConversion"/>
  </si>
  <si>
    <t>LATCH BOTTOM</t>
    <phoneticPr fontId="2" type="noConversion"/>
  </si>
  <si>
    <t>KR6156FA841YA</t>
    <phoneticPr fontId="2" type="noConversion"/>
  </si>
  <si>
    <t>KR6156AGZ221QC</t>
    <phoneticPr fontId="2" type="noConversion"/>
  </si>
  <si>
    <t>NP612-168-002#LB</t>
    <phoneticPr fontId="2" type="noConversion"/>
  </si>
  <si>
    <t>NP612-352-002#IN-B-1</t>
    <phoneticPr fontId="2" type="noConversion"/>
  </si>
  <si>
    <t>NP612-352-002#IN-B</t>
    <phoneticPr fontId="2" type="noConversion"/>
  </si>
  <si>
    <t>현명</t>
    <phoneticPr fontId="2" type="noConversion"/>
  </si>
  <si>
    <t>SAMPLE 진행 사항(06일)</t>
    <phoneticPr fontId="2" type="noConversion"/>
  </si>
  <si>
    <t>KR6414-B414UA</t>
    <phoneticPr fontId="2" type="noConversion"/>
  </si>
  <si>
    <t>KR6421-D156AZA</t>
    <phoneticPr fontId="2" type="noConversion"/>
  </si>
  <si>
    <t>작업안됨</t>
    <phoneticPr fontId="2" type="noConversion"/>
  </si>
  <si>
    <t>미성형개선</t>
    <phoneticPr fontId="2" type="noConversion"/>
  </si>
  <si>
    <t>금형 수리 내역(06일)</t>
    <phoneticPr fontId="2" type="noConversion"/>
  </si>
  <si>
    <t>설비 점검 내역(06일)</t>
    <phoneticPr fontId="2" type="noConversion"/>
  </si>
  <si>
    <r>
      <t>2018년 09월 07일 일일생산현황</t>
    </r>
    <r>
      <rPr>
        <b/>
        <sz val="14"/>
        <color indexed="8"/>
        <rFont val="굴림체"/>
        <family val="3"/>
        <charset val="129"/>
      </rPr>
      <t>(08일(토) 08시 현재)</t>
    </r>
    <phoneticPr fontId="2" type="noConversion"/>
  </si>
  <si>
    <t>BOTTOM LATCH</t>
    <phoneticPr fontId="2" type="noConversion"/>
  </si>
  <si>
    <t>BODY</t>
    <phoneticPr fontId="2" type="noConversion"/>
  </si>
  <si>
    <t>SPL</t>
    <phoneticPr fontId="2" type="noConversion"/>
  </si>
  <si>
    <t>전일 ISSUE 사항(07일)</t>
    <phoneticPr fontId="2" type="noConversion"/>
  </si>
  <si>
    <t>당일 진행 사항(10일)</t>
    <phoneticPr fontId="2" type="noConversion"/>
  </si>
  <si>
    <t>LEVER BRACKET</t>
    <phoneticPr fontId="2" type="noConversion"/>
  </si>
  <si>
    <t>AMB1917A-KAA-R2</t>
    <phoneticPr fontId="2" type="noConversion"/>
  </si>
  <si>
    <t>LATCH 3종</t>
    <phoneticPr fontId="2" type="noConversion"/>
  </si>
  <si>
    <t>SAMPLE 진행 사항(07일)</t>
    <phoneticPr fontId="2" type="noConversion"/>
  </si>
  <si>
    <t>KR6414-D414PA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</si>
  <si>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</si>
  <si>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</si>
  <si>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2018년 09월 10일 일일생산현황</t>
    </r>
    <r>
      <rPr>
        <b/>
        <sz val="14"/>
        <color indexed="8"/>
        <rFont val="굴림체"/>
        <family val="3"/>
        <charset val="129"/>
      </rPr>
      <t>(11일(화) 08시 현재)</t>
    </r>
    <phoneticPr fontId="2" type="noConversion"/>
  </si>
  <si>
    <t>LEVER BRACKER</t>
    <phoneticPr fontId="2" type="noConversion"/>
  </si>
  <si>
    <t>KR6422-GA556QA</t>
    <phoneticPr fontId="2" type="noConversion"/>
  </si>
  <si>
    <t>LEVER 2</t>
    <phoneticPr fontId="2" type="noConversion"/>
  </si>
  <si>
    <t>AMB1917A-KAA-R1</t>
    <phoneticPr fontId="2" type="noConversion"/>
  </si>
  <si>
    <t>전일 ISSUE 사항(10일)</t>
    <phoneticPr fontId="2" type="noConversion"/>
  </si>
  <si>
    <t>당일 진행 사항(11일)</t>
    <phoneticPr fontId="2" type="noConversion"/>
  </si>
  <si>
    <t>LEVER 1</t>
    <phoneticPr fontId="2" type="noConversion"/>
  </si>
  <si>
    <t>AMB0152A-KAA-R3</t>
    <phoneticPr fontId="2" type="noConversion"/>
  </si>
  <si>
    <t>발주분양산-&gt;뜯김정지</t>
    <phoneticPr fontId="2" type="noConversion"/>
  </si>
  <si>
    <t>SAMPLE 진행 사항(10일)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</si>
  <si>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</si>
  <si>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</si>
  <si>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2018년 09월 11일 일일생산현황</t>
    </r>
    <r>
      <rPr>
        <b/>
        <sz val="14"/>
        <color indexed="8"/>
        <rFont val="굴림체"/>
        <family val="3"/>
        <charset val="129"/>
      </rPr>
      <t>(12일(수) 08시 현재)</t>
    </r>
    <phoneticPr fontId="2" type="noConversion"/>
  </si>
  <si>
    <t>KR6422-A556YA</t>
    <phoneticPr fontId="2" type="noConversion"/>
  </si>
  <si>
    <t>전일 ISSUE 사항(11일)</t>
    <phoneticPr fontId="2" type="noConversion"/>
  </si>
  <si>
    <t>발주분양산-&gt;BURR2회정지</t>
    <phoneticPr fontId="2" type="noConversion"/>
  </si>
  <si>
    <t>수리후양산-&gt;BURR2회정지</t>
    <phoneticPr fontId="2" type="noConversion"/>
  </si>
  <si>
    <t>당일 진행 사항(12일)</t>
    <phoneticPr fontId="2" type="noConversion"/>
  </si>
  <si>
    <t>KR6180-E03TB</t>
    <phoneticPr fontId="2" type="noConversion"/>
  </si>
  <si>
    <t>SAMPLE 진행 사항(11일)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</si>
  <si>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</si>
  <si>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</si>
  <si>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2018년 09월 12일 일일생산현황</t>
    </r>
    <r>
      <rPr>
        <b/>
        <sz val="14"/>
        <color indexed="8"/>
        <rFont val="굴림체"/>
        <family val="3"/>
        <charset val="129"/>
      </rPr>
      <t>(13일(목) 08시 현재)</t>
    </r>
    <phoneticPr fontId="2" type="noConversion"/>
  </si>
  <si>
    <t>BH1-CVH40A</t>
    <phoneticPr fontId="2" type="noConversion"/>
  </si>
  <si>
    <t>009I-ATH40A</t>
    <phoneticPr fontId="2" type="noConversion"/>
  </si>
  <si>
    <t>전일 ISSUE 사항(12일)</t>
    <phoneticPr fontId="2" type="noConversion"/>
  </si>
  <si>
    <t>미성형정지</t>
    <phoneticPr fontId="2" type="noConversion"/>
  </si>
  <si>
    <t>발주분양산-&gt;뜯김수리</t>
    <phoneticPr fontId="2" type="noConversion"/>
  </si>
  <si>
    <t>당일 진행 사항(13일)</t>
    <phoneticPr fontId="2" type="noConversion"/>
  </si>
  <si>
    <t>BH1-BSH40A</t>
    <phoneticPr fontId="2" type="noConversion"/>
  </si>
  <si>
    <t>009I-TPH40A</t>
    <phoneticPr fontId="2" type="noConversion"/>
  </si>
  <si>
    <t>TOP</t>
    <phoneticPr fontId="2" type="noConversion"/>
  </si>
  <si>
    <t>BOTTOM</t>
    <phoneticPr fontId="2" type="noConversion"/>
  </si>
  <si>
    <t>009I-BPH40A</t>
    <phoneticPr fontId="2" type="noConversion"/>
  </si>
  <si>
    <t>KR6303-E05TA/ER01TA</t>
    <phoneticPr fontId="2" type="noConversion"/>
  </si>
  <si>
    <t>AMB0156A-KAA-R3</t>
    <phoneticPr fontId="2" type="noConversion"/>
  </si>
  <si>
    <t>SAMPLE 진행 사항(12일)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</si>
  <si>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</si>
  <si>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</si>
  <si>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2018년 09월 13일 일일생산현황</t>
    </r>
    <r>
      <rPr>
        <b/>
        <sz val="14"/>
        <color indexed="8"/>
        <rFont val="굴림체"/>
        <family val="3"/>
        <charset val="129"/>
      </rPr>
      <t>(14일(금) 08시 현재)</t>
    </r>
    <phoneticPr fontId="2" type="noConversion"/>
  </si>
  <si>
    <t>KR6303-E05TA/ER01</t>
    <phoneticPr fontId="2" type="noConversion"/>
  </si>
  <si>
    <t>2*4</t>
    <phoneticPr fontId="2" type="noConversion"/>
  </si>
  <si>
    <t>전일 ISSUE 사항(13일)</t>
    <phoneticPr fontId="2" type="noConversion"/>
  </si>
  <si>
    <t>KR6303-E05/ER01</t>
    <phoneticPr fontId="2" type="noConversion"/>
  </si>
  <si>
    <t>당일 진행 사항(14일)</t>
    <phoneticPr fontId="2" type="noConversion"/>
  </si>
  <si>
    <t>재고분양산</t>
    <phoneticPr fontId="2" type="noConversion"/>
  </si>
  <si>
    <t>SAMPLE 진행 사항(13일)</t>
    <phoneticPr fontId="2" type="noConversion"/>
  </si>
  <si>
    <t>HSB05-M002B2-09BI</t>
    <phoneticPr fontId="2" type="noConversion"/>
  </si>
  <si>
    <t>오조립,코아파손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</si>
  <si>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</si>
  <si>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</si>
  <si>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2018년 09월 14일 일일생산현황</t>
    </r>
    <r>
      <rPr>
        <b/>
        <sz val="14"/>
        <color indexed="8"/>
        <rFont val="굴림체"/>
        <family val="3"/>
        <charset val="129"/>
      </rPr>
      <t>(15일(토) 08시 현재)</t>
    </r>
    <phoneticPr fontId="2" type="noConversion"/>
  </si>
  <si>
    <t>재고</t>
    <phoneticPr fontId="2" type="noConversion"/>
  </si>
  <si>
    <t>전일 ISSUE 사항(14일)</t>
    <phoneticPr fontId="2" type="noConversion"/>
  </si>
  <si>
    <t>수리후양산-&gt;코아파손2회수리</t>
    <phoneticPr fontId="2" type="noConversion"/>
  </si>
  <si>
    <t>칼퀴수리후양산</t>
    <phoneticPr fontId="2" type="noConversion"/>
  </si>
  <si>
    <t>당일 진행 사항(15일)</t>
    <phoneticPr fontId="2" type="noConversion"/>
  </si>
  <si>
    <t>코아파손정지</t>
    <phoneticPr fontId="2" type="noConversion"/>
  </si>
  <si>
    <t>SAMPLE 진행 사항(14일)</t>
    <phoneticPr fontId="2" type="noConversion"/>
  </si>
  <si>
    <t>KR6156-E03TA</t>
    <phoneticPr fontId="2" type="noConversion"/>
  </si>
  <si>
    <t>KR6156-E01TA</t>
    <phoneticPr fontId="2" type="noConversion"/>
  </si>
  <si>
    <t>코아파손</t>
    <phoneticPr fontId="2" type="noConversion"/>
  </si>
  <si>
    <t>AMB1901B-JAA-R2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</si>
  <si>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</si>
  <si>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</si>
  <si>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2018년 09월 15일(주간) 일일생산현황</t>
    </r>
    <r>
      <rPr>
        <b/>
        <sz val="14"/>
        <color indexed="8"/>
        <rFont val="굴림체"/>
        <family val="3"/>
        <charset val="129"/>
      </rPr>
      <t>(17일(월) 08시 현재)</t>
    </r>
    <phoneticPr fontId="2" type="noConversion"/>
  </si>
  <si>
    <t>전일 ISSUE 사항(15일)</t>
    <phoneticPr fontId="2" type="noConversion"/>
  </si>
  <si>
    <t>당일 진행 사항(17일)</t>
    <phoneticPr fontId="2" type="noConversion"/>
  </si>
  <si>
    <t>SAMPLE 진행 사항(15일)</t>
    <phoneticPr fontId="2" type="noConversion"/>
  </si>
  <si>
    <t>금형 수리 내역(15일)</t>
    <phoneticPr fontId="2" type="noConversion"/>
  </si>
  <si>
    <t>설비 점검 내역(15일)</t>
    <phoneticPr fontId="2" type="noConversion"/>
  </si>
  <si>
    <r>
      <t>2018년 09월 17일 일일생산현황</t>
    </r>
    <r>
      <rPr>
        <b/>
        <sz val="14"/>
        <color indexed="8"/>
        <rFont val="굴림체"/>
        <family val="3"/>
        <charset val="129"/>
      </rPr>
      <t>(18일(화) 08시 현재)</t>
    </r>
    <phoneticPr fontId="2" type="noConversion"/>
  </si>
  <si>
    <t>HSF05-M04B1</t>
    <phoneticPr fontId="2" type="noConversion"/>
  </si>
  <si>
    <t>전일 ISSUE 사항(17일)</t>
    <phoneticPr fontId="2" type="noConversion"/>
  </si>
  <si>
    <t>당일 진행 사항(18일)</t>
    <phoneticPr fontId="2" type="noConversion"/>
  </si>
  <si>
    <t>SAMPLE 진행 사항(17일)</t>
    <phoneticPr fontId="2" type="noConversion"/>
  </si>
  <si>
    <t>KR6182-GA168QA</t>
    <phoneticPr fontId="2" type="noConversion"/>
  </si>
  <si>
    <t>코아재가공</t>
    <phoneticPr fontId="2" type="noConversion"/>
  </si>
  <si>
    <t>구형</t>
    <phoneticPr fontId="2" type="noConversion"/>
  </si>
  <si>
    <t>AMB09E1A-KAA-R1</t>
    <phoneticPr fontId="2" type="noConversion"/>
  </si>
  <si>
    <t>신작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</si>
  <si>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</si>
  <si>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</si>
  <si>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2018년 09월 18일 일일생산현황</t>
    </r>
    <r>
      <rPr>
        <b/>
        <sz val="14"/>
        <color indexed="8"/>
        <rFont val="굴림체"/>
        <family val="3"/>
        <charset val="129"/>
      </rPr>
      <t>(19일(수) 08시 현재)</t>
    </r>
    <phoneticPr fontId="2" type="noConversion"/>
  </si>
  <si>
    <t>전일 ISSUE 사항(18일)</t>
    <phoneticPr fontId="2" type="noConversion"/>
  </si>
  <si>
    <t>당일 진행 사항(19일)</t>
    <phoneticPr fontId="2" type="noConversion"/>
  </si>
  <si>
    <t>KR6414-C414TA</t>
    <phoneticPr fontId="2" type="noConversion"/>
  </si>
  <si>
    <t>KR6414-A167YA</t>
    <phoneticPr fontId="2" type="noConversion"/>
  </si>
  <si>
    <t>NP504-295-091#SP</t>
    <phoneticPr fontId="2" type="noConversion"/>
  </si>
  <si>
    <t>AM0148B-K-R2</t>
    <phoneticPr fontId="2" type="noConversion"/>
  </si>
  <si>
    <t>AMB2026B-KAA-R1</t>
    <phoneticPr fontId="2" type="noConversion"/>
  </si>
  <si>
    <t>F/ADAPTER</t>
    <phoneticPr fontId="2" type="noConversion"/>
  </si>
  <si>
    <t>SAMPLE 진행 사항(18일)</t>
    <phoneticPr fontId="2" type="noConversion"/>
  </si>
  <si>
    <t>테스트</t>
    <phoneticPr fontId="2" type="noConversion"/>
  </si>
  <si>
    <t>PUSHER</t>
    <phoneticPr fontId="2" type="noConversion"/>
  </si>
  <si>
    <t>옵션</t>
    <phoneticPr fontId="2" type="noConversion"/>
  </si>
  <si>
    <t>치수NG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</si>
  <si>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</si>
  <si>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</si>
  <si>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2018년 09월 19일 일일생산현황</t>
    </r>
    <r>
      <rPr>
        <b/>
        <sz val="14"/>
        <color indexed="8"/>
        <rFont val="굴림체"/>
        <family val="3"/>
        <charset val="129"/>
      </rPr>
      <t>(20일(목) 08시 현재)</t>
    </r>
    <phoneticPr fontId="2" type="noConversion"/>
  </si>
  <si>
    <t>LATCH PLATE</t>
    <phoneticPr fontId="2" type="noConversion"/>
  </si>
  <si>
    <t>AMB0922A-KAA-R2</t>
    <phoneticPr fontId="2" type="noConversion"/>
  </si>
  <si>
    <t>전일 ISSUE 사항(19일)</t>
    <phoneticPr fontId="2" type="noConversion"/>
  </si>
  <si>
    <t>SP</t>
    <phoneticPr fontId="2" type="noConversion"/>
  </si>
  <si>
    <t>발주분양산-&gt;밀핀세척</t>
    <phoneticPr fontId="2" type="noConversion"/>
  </si>
  <si>
    <t>발주분양산-&gt;상측박힘수리</t>
    <phoneticPr fontId="2" type="noConversion"/>
  </si>
  <si>
    <t>당일 진행 사항(20일)</t>
    <phoneticPr fontId="2" type="noConversion"/>
  </si>
  <si>
    <t>KR6414-F414UA</t>
    <phoneticPr fontId="2" type="noConversion"/>
  </si>
  <si>
    <t>SAMPLE 진행 사항(19일)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</si>
  <si>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</si>
  <si>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</si>
  <si>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t>전일 ISSUE 사항(20일)</t>
    <phoneticPr fontId="2" type="noConversion"/>
  </si>
  <si>
    <t>발주분양산-&gt;상측물림수리</t>
    <phoneticPr fontId="2" type="noConversion"/>
  </si>
  <si>
    <t>당일 진행 사항(21일)</t>
    <phoneticPr fontId="2" type="noConversion"/>
  </si>
  <si>
    <t>AMB0922D-KAA-R1</t>
    <phoneticPr fontId="2" type="noConversion"/>
  </si>
  <si>
    <t>SAMPLE 진행 사항(20일)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</si>
  <si>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</si>
  <si>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</si>
  <si>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2018년 09월 20일 일일생산현황</t>
    </r>
    <r>
      <rPr>
        <b/>
        <sz val="14"/>
        <color indexed="8"/>
        <rFont val="굴림체"/>
        <family val="3"/>
        <charset val="129"/>
      </rPr>
      <t>(21일(금) 08시 현재)</t>
    </r>
    <phoneticPr fontId="2" type="noConversion"/>
  </si>
  <si>
    <r>
      <t>2018년 09월 21일 일일생산현황</t>
    </r>
    <r>
      <rPr>
        <b/>
        <sz val="14"/>
        <color indexed="8"/>
        <rFont val="굴림체"/>
        <family val="3"/>
        <charset val="129"/>
      </rPr>
      <t>(22일(토) 08시 현재)</t>
    </r>
    <phoneticPr fontId="2" type="noConversion"/>
  </si>
  <si>
    <t>KR6182-A221WA</t>
    <phoneticPr fontId="2" type="noConversion"/>
  </si>
  <si>
    <t>AMB2026A-KAA-R3</t>
    <phoneticPr fontId="2" type="noConversion"/>
  </si>
  <si>
    <t>전일 ISSUE 사항(21일)</t>
    <phoneticPr fontId="2" type="noConversion"/>
  </si>
  <si>
    <t>F/A</t>
    <phoneticPr fontId="2" type="noConversion"/>
  </si>
  <si>
    <t>발주분양산-&gt;하측박힘수리</t>
    <phoneticPr fontId="2" type="noConversion"/>
  </si>
  <si>
    <t>당일 진행 사항(27일)</t>
    <phoneticPr fontId="2" type="noConversion"/>
  </si>
  <si>
    <t>KR6182-D624PA</t>
    <phoneticPr fontId="2" type="noConversion"/>
  </si>
  <si>
    <t>KR6182-B624CB</t>
    <phoneticPr fontId="2" type="noConversion"/>
  </si>
  <si>
    <t>AM0241A-K-R2</t>
    <phoneticPr fontId="2" type="noConversion"/>
  </si>
  <si>
    <t>KR6182-C624TB</t>
    <phoneticPr fontId="2" type="noConversion"/>
  </si>
  <si>
    <t>AMB2026B-KAA-R3</t>
    <phoneticPr fontId="2" type="noConversion"/>
  </si>
  <si>
    <t>불량대치분양산</t>
    <phoneticPr fontId="2" type="noConversion"/>
  </si>
  <si>
    <t>KR6182-A308WA</t>
    <phoneticPr fontId="2" type="noConversion"/>
  </si>
  <si>
    <t>SAMPLE 진행 사항(21일)</t>
    <phoneticPr fontId="2" type="noConversion"/>
  </si>
  <si>
    <t>SGF2030 N/P</t>
    <phoneticPr fontId="2" type="noConversion"/>
  </si>
  <si>
    <t>요청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</si>
  <si>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</si>
  <si>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</si>
  <si>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2018년 09월 27일 일일생산현황</t>
    </r>
    <r>
      <rPr>
        <b/>
        <sz val="14"/>
        <color indexed="8"/>
        <rFont val="굴림체"/>
        <family val="3"/>
        <charset val="129"/>
      </rPr>
      <t>(28일(금) 08시 현재)</t>
    </r>
    <phoneticPr fontId="2" type="noConversion"/>
  </si>
  <si>
    <t>전일 ISSUE 사항(27일)</t>
    <phoneticPr fontId="2" type="noConversion"/>
  </si>
  <si>
    <t>당일 진행 사항(28일)</t>
    <phoneticPr fontId="2" type="noConversion"/>
  </si>
  <si>
    <t>SAMPLE 진행 사항(27일)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</si>
  <si>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</si>
  <si>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</si>
  <si>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2018년 09월 28일 일일생산현황</t>
    </r>
    <r>
      <rPr>
        <b/>
        <sz val="14"/>
        <color indexed="8"/>
        <rFont val="굴림체"/>
        <family val="3"/>
        <charset val="129"/>
      </rPr>
      <t>(29일(토) 08시 현재)</t>
    </r>
    <phoneticPr fontId="2" type="noConversion"/>
  </si>
  <si>
    <t>전일 ISSUE 사항(28일)</t>
    <phoneticPr fontId="2" type="noConversion"/>
  </si>
  <si>
    <t>코아파손수리-&gt;코아파손정지</t>
    <phoneticPr fontId="2" type="noConversion"/>
  </si>
  <si>
    <t>상측박힘정지</t>
    <phoneticPr fontId="2" type="noConversion"/>
  </si>
  <si>
    <t>당일 진행 사항(01일)</t>
    <phoneticPr fontId="2" type="noConversion"/>
  </si>
  <si>
    <t>HB2588-10D-8C/4518</t>
    <phoneticPr fontId="2" type="noConversion"/>
  </si>
  <si>
    <t>SAMPLE 진행 사항(28일)</t>
    <phoneticPr fontId="2" type="noConversion"/>
  </si>
  <si>
    <t>HDB08N-B1</t>
    <phoneticPr fontId="2" type="noConversion"/>
  </si>
  <si>
    <t>하측뜯김</t>
    <phoneticPr fontId="2" type="noConversion"/>
  </si>
  <si>
    <t>HDB08N-T4</t>
    <phoneticPr fontId="2" type="noConversion"/>
  </si>
  <si>
    <t>HDB08N-S2</t>
    <phoneticPr fontId="2" type="noConversion"/>
  </si>
  <si>
    <t>KR6414AC414TA</t>
    <phoneticPr fontId="2" type="noConversion"/>
  </si>
  <si>
    <t>금형 수리 내역(28일)</t>
    <phoneticPr fontId="2" type="noConversion"/>
  </si>
  <si>
    <t>설비 점검 내역(28일)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</si>
</sst>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6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/>
    </xf>
    <xf numFmtId="41" fontId="8" fillId="0" borderId="6" xfId="4" applyFont="1" applyFill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Fill="1" applyBorder="1" applyAlignment="1">
      <alignment horizontal="center" vertical="center"/>
    </xf>
    <xf numFmtId="9" fontId="9" fillId="0" borderId="7" xfId="3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178" fontId="8" fillId="0" borderId="10" xfId="4" applyNumberFormat="1" applyFont="1" applyFill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9" xfId="4" applyFont="1" applyFill="1" applyBorder="1" applyAlignment="1">
      <alignment horizontal="center" vertical="center"/>
    </xf>
    <xf numFmtId="41" fontId="8" fillId="0" borderId="3" xfId="4" applyFont="1" applyFill="1" applyBorder="1" applyAlignment="1">
      <alignment horizontal="center" vertical="center" wrapText="1"/>
    </xf>
    <xf numFmtId="41" fontId="4" fillId="0" borderId="7" xfId="4" applyFont="1" applyFill="1" applyBorder="1" applyAlignment="1">
      <alignment horizontal="center" vertical="center" wrapText="1"/>
    </xf>
    <xf numFmtId="41" fontId="8" fillId="0" borderId="4" xfId="4" applyFont="1" applyFill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 wrapText="1"/>
    </xf>
    <xf numFmtId="41" fontId="8" fillId="0" borderId="8" xfId="4" applyFont="1" applyFill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Fill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Fill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Fill="1" applyBorder="1" applyAlignment="1">
      <alignment horizontal="center" vertical="center" shrinkToFit="1"/>
    </xf>
    <xf numFmtId="0" fontId="8" fillId="0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1" fillId="0" borderId="0" xfId="2" applyFont="1" applyBorder="1">
      <alignment vertical="center"/>
    </xf>
    <xf numFmtId="178" fontId="11" fillId="0" borderId="0" xfId="4" applyNumberFormat="1" applyFont="1" applyBorder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 shrinkToFit="1"/>
    </xf>
    <xf numFmtId="41" fontId="13" fillId="0" borderId="0" xfId="4" applyFont="1" applyBorder="1" applyAlignment="1">
      <alignment vertical="center"/>
    </xf>
    <xf numFmtId="49" fontId="13" fillId="0" borderId="0" xfId="2" applyNumberFormat="1" applyFont="1" applyBorder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3" borderId="9" xfId="8" applyFont="1" applyFill="1" applyBorder="1" applyAlignment="1">
      <alignment horizontal="center" vertical="center"/>
    </xf>
    <xf numFmtId="9" fontId="7" fillId="3" borderId="12" xfId="8" applyFont="1" applyFill="1" applyBorder="1" applyAlignment="1">
      <alignment horizontal="center" vertical="center"/>
    </xf>
    <xf numFmtId="9" fontId="7" fillId="3" borderId="51" xfId="8" applyFont="1" applyFill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7" fillId="3" borderId="24" xfId="8" applyFont="1" applyFill="1" applyBorder="1" applyAlignment="1">
      <alignment horizontal="center" vertical="center"/>
    </xf>
    <xf numFmtId="9" fontId="7" fillId="3" borderId="31" xfId="8" applyFont="1" applyFill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9" fontId="7" fillId="3" borderId="53" xfId="8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3" borderId="38" xfId="8" applyFont="1" applyFill="1" applyBorder="1" applyAlignment="1">
      <alignment horizontal="center" vertical="center"/>
    </xf>
    <xf numFmtId="9" fontId="7" fillId="3" borderId="11" xfId="8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3" borderId="33" xfId="8" applyFont="1" applyFill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41" fontId="13" fillId="0" borderId="9" xfId="4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left" vertical="center" shrinkToFit="1"/>
    </xf>
    <xf numFmtId="0" fontId="13" fillId="0" borderId="15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17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left" vertical="center" shrinkToFit="1"/>
    </xf>
    <xf numFmtId="49" fontId="13" fillId="0" borderId="30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09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871441689623512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5823</c:v>
                </c:pt>
                <c:pt idx="5">
                  <c:v>5221</c:v>
                </c:pt>
                <c:pt idx="6">
                  <c:v>5982</c:v>
                </c:pt>
                <c:pt idx="7">
                  <c:v>544</c:v>
                </c:pt>
                <c:pt idx="10">
                  <c:v>3891</c:v>
                </c:pt>
                <c:pt idx="12">
                  <c:v>3647</c:v>
                </c:pt>
                <c:pt idx="13">
                  <c:v>4285</c:v>
                </c:pt>
                <c:pt idx="14">
                  <c:v>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7-46D6-A700-5B2524624739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5823</c:v>
                </c:pt>
                <c:pt idx="3">
                  <c:v>640</c:v>
                </c:pt>
                <c:pt idx="4">
                  <c:v>903</c:v>
                </c:pt>
                <c:pt idx="5">
                  <c:v>5221</c:v>
                </c:pt>
                <c:pt idx="6">
                  <c:v>5982</c:v>
                </c:pt>
                <c:pt idx="7">
                  <c:v>544</c:v>
                </c:pt>
                <c:pt idx="8">
                  <c:v>1068</c:v>
                </c:pt>
                <c:pt idx="9">
                  <c:v>500</c:v>
                </c:pt>
                <c:pt idx="10">
                  <c:v>3891</c:v>
                </c:pt>
                <c:pt idx="11">
                  <c:v>710</c:v>
                </c:pt>
                <c:pt idx="12">
                  <c:v>3647</c:v>
                </c:pt>
                <c:pt idx="13">
                  <c:v>4285</c:v>
                </c:pt>
                <c:pt idx="14">
                  <c:v>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7-46D6-A700-5B252462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79%</c:v>
                </c:pt>
                <c:pt idx="11">
                  <c:v>0%</c:v>
                </c:pt>
                <c:pt idx="12">
                  <c:v>75%</c:v>
                </c:pt>
                <c:pt idx="13">
                  <c:v>88%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0.79166666666666663</c:v>
                </c:pt>
                <c:pt idx="11">
                  <c:v>0</c:v>
                </c:pt>
                <c:pt idx="12">
                  <c:v>0.75</c:v>
                </c:pt>
                <c:pt idx="13">
                  <c:v>0.875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4444-B252-B2B1107A388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2D-4444-B252-B2B1107A38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0.40555555555555556</c:v>
                </c:pt>
                <c:pt idx="1">
                  <c:v>0.40555555555555556</c:v>
                </c:pt>
                <c:pt idx="2">
                  <c:v>0.40555555555555556</c:v>
                </c:pt>
                <c:pt idx="3">
                  <c:v>0.40555555555555556</c:v>
                </c:pt>
                <c:pt idx="4">
                  <c:v>0.40555555555555556</c:v>
                </c:pt>
                <c:pt idx="5">
                  <c:v>0.40555555555555556</c:v>
                </c:pt>
                <c:pt idx="6">
                  <c:v>0.40555555555555556</c:v>
                </c:pt>
                <c:pt idx="7">
                  <c:v>0.40555555555555556</c:v>
                </c:pt>
                <c:pt idx="8">
                  <c:v>0.40555555555555556</c:v>
                </c:pt>
                <c:pt idx="9">
                  <c:v>0.40555555555555556</c:v>
                </c:pt>
                <c:pt idx="10">
                  <c:v>0.40555555555555556</c:v>
                </c:pt>
                <c:pt idx="11">
                  <c:v>0.40555555555555556</c:v>
                </c:pt>
                <c:pt idx="12">
                  <c:v>0.40555555555555556</c:v>
                </c:pt>
                <c:pt idx="13">
                  <c:v>0.40555555555555556</c:v>
                </c:pt>
                <c:pt idx="14">
                  <c:v>0.40555555555555556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D-4444-B252-B2B1107A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FD5-4BDF-86D8-6D433137E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5-4BDF-86D8-6D433137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D5-4BDF-86D8-6D433137E0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5-4BDF-86D8-6D433137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3054</c:v>
                </c:pt>
                <c:pt idx="5">
                  <c:v>5963</c:v>
                </c:pt>
                <c:pt idx="6">
                  <c:v>6188</c:v>
                </c:pt>
                <c:pt idx="7">
                  <c:v>4129</c:v>
                </c:pt>
                <c:pt idx="9">
                  <c:v>3240</c:v>
                </c:pt>
                <c:pt idx="10">
                  <c:v>6553</c:v>
                </c:pt>
                <c:pt idx="12">
                  <c:v>2994</c:v>
                </c:pt>
                <c:pt idx="14">
                  <c:v>21916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986-A904-7E0E1CEEFE78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3054</c:v>
                </c:pt>
                <c:pt idx="3">
                  <c:v>640</c:v>
                </c:pt>
                <c:pt idx="4">
                  <c:v>903</c:v>
                </c:pt>
                <c:pt idx="5">
                  <c:v>5963</c:v>
                </c:pt>
                <c:pt idx="6">
                  <c:v>6188</c:v>
                </c:pt>
                <c:pt idx="7">
                  <c:v>4130</c:v>
                </c:pt>
                <c:pt idx="8">
                  <c:v>1068</c:v>
                </c:pt>
                <c:pt idx="9">
                  <c:v>3240</c:v>
                </c:pt>
                <c:pt idx="10">
                  <c:v>6560</c:v>
                </c:pt>
                <c:pt idx="11">
                  <c:v>710</c:v>
                </c:pt>
                <c:pt idx="12">
                  <c:v>3000</c:v>
                </c:pt>
                <c:pt idx="13">
                  <c:v>4285</c:v>
                </c:pt>
                <c:pt idx="14">
                  <c:v>21920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B-4986-A904-7E0E1CEE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71%</c:v>
                </c:pt>
                <c:pt idx="10">
                  <c:v>100%</c:v>
                </c:pt>
                <c:pt idx="11">
                  <c:v>0%</c:v>
                </c:pt>
                <c:pt idx="12">
                  <c:v>50%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0.83313155770782898</c:v>
                </c:pt>
                <c:pt idx="8">
                  <c:v>0</c:v>
                </c:pt>
                <c:pt idx="9">
                  <c:v>0.70833333333333337</c:v>
                </c:pt>
                <c:pt idx="10">
                  <c:v>0.99893292682926826</c:v>
                </c:pt>
                <c:pt idx="11">
                  <c:v>0</c:v>
                </c:pt>
                <c:pt idx="12">
                  <c:v>0.499</c:v>
                </c:pt>
                <c:pt idx="13">
                  <c:v>0</c:v>
                </c:pt>
                <c:pt idx="14">
                  <c:v>0.49990875912408761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A-4126-96D1-89D08A8FD59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9A-4126-96D1-89D08A8FD59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0.41928710513296785</c:v>
                </c:pt>
                <c:pt idx="1">
                  <c:v>0.41928710513296785</c:v>
                </c:pt>
                <c:pt idx="2">
                  <c:v>0.41928710513296785</c:v>
                </c:pt>
                <c:pt idx="3">
                  <c:v>0.41928710513296785</c:v>
                </c:pt>
                <c:pt idx="4">
                  <c:v>0.41928710513296785</c:v>
                </c:pt>
                <c:pt idx="5">
                  <c:v>0.41928710513296785</c:v>
                </c:pt>
                <c:pt idx="6">
                  <c:v>0.41928710513296785</c:v>
                </c:pt>
                <c:pt idx="7">
                  <c:v>0.41928710513296785</c:v>
                </c:pt>
                <c:pt idx="8">
                  <c:v>0.41928710513296785</c:v>
                </c:pt>
                <c:pt idx="9">
                  <c:v>0.41928710513296785</c:v>
                </c:pt>
                <c:pt idx="10">
                  <c:v>0.41928710513296785</c:v>
                </c:pt>
                <c:pt idx="11">
                  <c:v>0.41928710513296785</c:v>
                </c:pt>
                <c:pt idx="12">
                  <c:v>0.41928710513296785</c:v>
                </c:pt>
                <c:pt idx="13">
                  <c:v>0.41928710513296785</c:v>
                </c:pt>
                <c:pt idx="14">
                  <c:v>0.41928710513296785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A-4126-96D1-89D08A8F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'04'!$L$6:$L$20</c:f>
              <c:numCache>
                <c:formatCode>_(* #,##0_);_(* \(#,##0\);_(* "-"_);_(@_)</c:formatCode>
                <c:ptCount val="15"/>
                <c:pt idx="2">
                  <c:v>3054</c:v>
                </c:pt>
                <c:pt idx="5">
                  <c:v>5963</c:v>
                </c:pt>
                <c:pt idx="6">
                  <c:v>6188</c:v>
                </c:pt>
                <c:pt idx="7">
                  <c:v>4129</c:v>
                </c:pt>
                <c:pt idx="9">
                  <c:v>3240</c:v>
                </c:pt>
                <c:pt idx="10">
                  <c:v>6553</c:v>
                </c:pt>
                <c:pt idx="12">
                  <c:v>2994</c:v>
                </c:pt>
                <c:pt idx="14">
                  <c:v>21916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F-41C2-94AE-85349E181B9C}"/>
            </c:ext>
          </c:extLst>
        </c:ser>
        <c:ser>
          <c:idx val="1"/>
          <c:order val="1"/>
          <c:tx>
            <c:v>계획</c:v>
          </c:tx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3054</c:v>
                </c:pt>
                <c:pt idx="3">
                  <c:v>640</c:v>
                </c:pt>
                <c:pt idx="4">
                  <c:v>903</c:v>
                </c:pt>
                <c:pt idx="5">
                  <c:v>5963</c:v>
                </c:pt>
                <c:pt idx="6">
                  <c:v>6188</c:v>
                </c:pt>
                <c:pt idx="7">
                  <c:v>4130</c:v>
                </c:pt>
                <c:pt idx="8">
                  <c:v>1068</c:v>
                </c:pt>
                <c:pt idx="9">
                  <c:v>3240</c:v>
                </c:pt>
                <c:pt idx="10">
                  <c:v>6560</c:v>
                </c:pt>
                <c:pt idx="11">
                  <c:v>710</c:v>
                </c:pt>
                <c:pt idx="12">
                  <c:v>3000</c:v>
                </c:pt>
                <c:pt idx="13">
                  <c:v>4285</c:v>
                </c:pt>
                <c:pt idx="14">
                  <c:v>21920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F-41C2-94AE-85349E1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75%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83%</c:v>
                </c:pt>
                <c:pt idx="8">
                  <c:v>0%</c:v>
                </c:pt>
                <c:pt idx="9">
                  <c:v>71%</c:v>
                </c:pt>
                <c:pt idx="10">
                  <c:v>100%</c:v>
                </c:pt>
                <c:pt idx="11">
                  <c:v>0%</c:v>
                </c:pt>
                <c:pt idx="12">
                  <c:v>50%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0.83313155770782898</c:v>
                </c:pt>
                <c:pt idx="8">
                  <c:v>0</c:v>
                </c:pt>
                <c:pt idx="9">
                  <c:v>0.70833333333333337</c:v>
                </c:pt>
                <c:pt idx="10">
                  <c:v>0.99893292682926826</c:v>
                </c:pt>
                <c:pt idx="11">
                  <c:v>0</c:v>
                </c:pt>
                <c:pt idx="12">
                  <c:v>0.499</c:v>
                </c:pt>
                <c:pt idx="13">
                  <c:v>0</c:v>
                </c:pt>
                <c:pt idx="14">
                  <c:v>0.49990875912408761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8-480D-8575-D4C9F71E84D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8-480D-8575-D4C9F71E84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'04'!$D$6:$D$20</c:f>
              <c:strCache>
                <c:ptCount val="14"/>
                <c:pt idx="2">
                  <c:v>BASE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'04'!$AE$6:$AE$20</c:f>
              <c:numCache>
                <c:formatCode>0%</c:formatCode>
                <c:ptCount val="15"/>
                <c:pt idx="0">
                  <c:v>0.41928710513296785</c:v>
                </c:pt>
                <c:pt idx="1">
                  <c:v>0.41928710513296785</c:v>
                </c:pt>
                <c:pt idx="2">
                  <c:v>0.41928710513296785</c:v>
                </c:pt>
                <c:pt idx="3">
                  <c:v>0.41928710513296785</c:v>
                </c:pt>
                <c:pt idx="4">
                  <c:v>0.41928710513296785</c:v>
                </c:pt>
                <c:pt idx="5">
                  <c:v>0.41928710513296785</c:v>
                </c:pt>
                <c:pt idx="6">
                  <c:v>0.41928710513296785</c:v>
                </c:pt>
                <c:pt idx="7">
                  <c:v>0.41928710513296785</c:v>
                </c:pt>
                <c:pt idx="8">
                  <c:v>0.41928710513296785</c:v>
                </c:pt>
                <c:pt idx="9">
                  <c:v>0.41928710513296785</c:v>
                </c:pt>
                <c:pt idx="10">
                  <c:v>0.41928710513296785</c:v>
                </c:pt>
                <c:pt idx="11">
                  <c:v>0.41928710513296785</c:v>
                </c:pt>
                <c:pt idx="12">
                  <c:v>0.41928710513296785</c:v>
                </c:pt>
                <c:pt idx="13">
                  <c:v>0.41928710513296785</c:v>
                </c:pt>
                <c:pt idx="14">
                  <c:v>0.41928710513296785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8-480D-8575-D4C9F71E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3B3-4665-98F2-0A47BCCE8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3-4665-98F2-0A47BCCE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3-4665-98F2-0A47BCCE8A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3-4665-98F2-0A47BCCE8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2372</c:v>
                </c:pt>
                <c:pt idx="3">
                  <c:v>345</c:v>
                </c:pt>
                <c:pt idx="4">
                  <c:v>1696</c:v>
                </c:pt>
                <c:pt idx="5">
                  <c:v>5986</c:v>
                </c:pt>
                <c:pt idx="6">
                  <c:v>6139</c:v>
                </c:pt>
                <c:pt idx="7">
                  <c:v>5286</c:v>
                </c:pt>
                <c:pt idx="9">
                  <c:v>2466</c:v>
                </c:pt>
                <c:pt idx="12">
                  <c:v>4289</c:v>
                </c:pt>
                <c:pt idx="14">
                  <c:v>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3-42AF-87F6-132B1728DCEA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2372</c:v>
                </c:pt>
                <c:pt idx="3">
                  <c:v>345</c:v>
                </c:pt>
                <c:pt idx="4">
                  <c:v>1700</c:v>
                </c:pt>
                <c:pt idx="5">
                  <c:v>5986</c:v>
                </c:pt>
                <c:pt idx="6">
                  <c:v>6140</c:v>
                </c:pt>
                <c:pt idx="7">
                  <c:v>5286</c:v>
                </c:pt>
                <c:pt idx="8">
                  <c:v>1068</c:v>
                </c:pt>
                <c:pt idx="9">
                  <c:v>2466</c:v>
                </c:pt>
                <c:pt idx="10">
                  <c:v>6560</c:v>
                </c:pt>
                <c:pt idx="11">
                  <c:v>710</c:v>
                </c:pt>
                <c:pt idx="12">
                  <c:v>4289</c:v>
                </c:pt>
                <c:pt idx="13">
                  <c:v>4285</c:v>
                </c:pt>
                <c:pt idx="14">
                  <c:v>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3-42AF-87F6-132B172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17%</c:v>
                </c:pt>
                <c:pt idx="4">
                  <c:v>25%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50%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0.24941176470588236</c:v>
                </c:pt>
                <c:pt idx="5">
                  <c:v>1</c:v>
                </c:pt>
                <c:pt idx="6">
                  <c:v>0.99983713355048864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2-4971-8F99-00399E3FF19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2-4971-8F99-00399E3FF1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0.36383881543931368</c:v>
                </c:pt>
                <c:pt idx="1">
                  <c:v>0.36383881543931368</c:v>
                </c:pt>
                <c:pt idx="2">
                  <c:v>0.36383881543931368</c:v>
                </c:pt>
                <c:pt idx="3">
                  <c:v>0.36383881543931368</c:v>
                </c:pt>
                <c:pt idx="4">
                  <c:v>0.36383881543931368</c:v>
                </c:pt>
                <c:pt idx="5">
                  <c:v>0.36383881543931368</c:v>
                </c:pt>
                <c:pt idx="6">
                  <c:v>0.36383881543931368</c:v>
                </c:pt>
                <c:pt idx="7">
                  <c:v>0.36383881543931368</c:v>
                </c:pt>
                <c:pt idx="8">
                  <c:v>0.36383881543931368</c:v>
                </c:pt>
                <c:pt idx="9">
                  <c:v>0.36383881543931368</c:v>
                </c:pt>
                <c:pt idx="10">
                  <c:v>0.36383881543931368</c:v>
                </c:pt>
                <c:pt idx="11">
                  <c:v>0.36383881543931368</c:v>
                </c:pt>
                <c:pt idx="12">
                  <c:v>0.36383881543931368</c:v>
                </c:pt>
                <c:pt idx="13">
                  <c:v>0.36383881543931368</c:v>
                </c:pt>
                <c:pt idx="14">
                  <c:v>0.36383881543931368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2-4971-8F99-00399E3F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09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총괄!$A$3:$A$17</c:f>
              <c:strCache>
                <c:ptCount val="15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</c:strCache>
            </c:strRef>
          </c:cat>
          <c:val>
            <c:numRef>
              <c:f>총괄!$AG$3:$AG$17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0.44163626945706819</c:v>
                </c:pt>
                <c:pt idx="3">
                  <c:v>0.24576180411404511</c:v>
                </c:pt>
                <c:pt idx="4">
                  <c:v>0.27763924182473099</c:v>
                </c:pt>
                <c:pt idx="5">
                  <c:v>0.27776966747769666</c:v>
                </c:pt>
                <c:pt idx="6">
                  <c:v>0.41978223525325503</c:v>
                </c:pt>
                <c:pt idx="7">
                  <c:v>0.4819114411634704</c:v>
                </c:pt>
                <c:pt idx="8">
                  <c:v>0</c:v>
                </c:pt>
                <c:pt idx="9">
                  <c:v>5.1380471380471381E-2</c:v>
                </c:pt>
                <c:pt idx="10">
                  <c:v>0.32769053016146416</c:v>
                </c:pt>
                <c:pt idx="11">
                  <c:v>0.13888106416275431</c:v>
                </c:pt>
                <c:pt idx="12">
                  <c:v>0.31523270735524256</c:v>
                </c:pt>
                <c:pt idx="13">
                  <c:v>0.25413580246913586</c:v>
                </c:pt>
                <c:pt idx="14">
                  <c:v>0.22777170611221706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'05'!$L$6:$L$20</c:f>
              <c:numCache>
                <c:formatCode>_(* #,##0_);_(* \(#,##0\);_(* "-"_);_(@_)</c:formatCode>
                <c:ptCount val="15"/>
                <c:pt idx="2">
                  <c:v>2372</c:v>
                </c:pt>
                <c:pt idx="3">
                  <c:v>345</c:v>
                </c:pt>
                <c:pt idx="4">
                  <c:v>1696</c:v>
                </c:pt>
                <c:pt idx="5">
                  <c:v>5986</c:v>
                </c:pt>
                <c:pt idx="6">
                  <c:v>6139</c:v>
                </c:pt>
                <c:pt idx="7">
                  <c:v>5286</c:v>
                </c:pt>
                <c:pt idx="9">
                  <c:v>2466</c:v>
                </c:pt>
                <c:pt idx="12">
                  <c:v>4289</c:v>
                </c:pt>
                <c:pt idx="14">
                  <c:v>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8-4AEB-BD91-56C86846EF87}"/>
            </c:ext>
          </c:extLst>
        </c:ser>
        <c:ser>
          <c:idx val="1"/>
          <c:order val="1"/>
          <c:tx>
            <c:v>계획</c:v>
          </c:tx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2372</c:v>
                </c:pt>
                <c:pt idx="3">
                  <c:v>345</c:v>
                </c:pt>
                <c:pt idx="4">
                  <c:v>1700</c:v>
                </c:pt>
                <c:pt idx="5">
                  <c:v>5986</c:v>
                </c:pt>
                <c:pt idx="6">
                  <c:v>6140</c:v>
                </c:pt>
                <c:pt idx="7">
                  <c:v>5286</c:v>
                </c:pt>
                <c:pt idx="8">
                  <c:v>1068</c:v>
                </c:pt>
                <c:pt idx="9">
                  <c:v>2466</c:v>
                </c:pt>
                <c:pt idx="10">
                  <c:v>6560</c:v>
                </c:pt>
                <c:pt idx="11">
                  <c:v>710</c:v>
                </c:pt>
                <c:pt idx="12">
                  <c:v>4289</c:v>
                </c:pt>
                <c:pt idx="13">
                  <c:v>4285</c:v>
                </c:pt>
                <c:pt idx="14">
                  <c:v>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8-4AEB-BD91-56C86846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17%</c:v>
                </c:pt>
                <c:pt idx="4">
                  <c:v>25%</c:v>
                </c:pt>
                <c:pt idx="5">
                  <c:v>100%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50%</c:v>
                </c:pt>
                <c:pt idx="10">
                  <c:v>0%</c:v>
                </c:pt>
                <c:pt idx="11">
                  <c:v>0%</c:v>
                </c:pt>
                <c:pt idx="12">
                  <c:v>79%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0.24941176470588236</c:v>
                </c:pt>
                <c:pt idx="5">
                  <c:v>1</c:v>
                </c:pt>
                <c:pt idx="6">
                  <c:v>0.99983713355048864</c:v>
                </c:pt>
                <c:pt idx="7">
                  <c:v>1</c:v>
                </c:pt>
                <c:pt idx="8">
                  <c:v>0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0.79166666666666663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5-4E51-9DFC-D5C340D26E2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5-4E51-9DFC-D5C340D26E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'05'!$D$6:$D$20</c:f>
              <c:strCache>
                <c:ptCount val="14"/>
                <c:pt idx="2">
                  <c:v>LATCH</c:v>
                </c:pt>
                <c:pt idx="3">
                  <c:v>BASE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ACTUATOR</c:v>
                </c:pt>
              </c:strCache>
            </c:strRef>
          </c:cat>
          <c:val>
            <c:numRef>
              <c:f>'05'!$AE$6:$AE$20</c:f>
              <c:numCache>
                <c:formatCode>0%</c:formatCode>
                <c:ptCount val="15"/>
                <c:pt idx="0">
                  <c:v>0.36383881543931368</c:v>
                </c:pt>
                <c:pt idx="1">
                  <c:v>0.36383881543931368</c:v>
                </c:pt>
                <c:pt idx="2">
                  <c:v>0.36383881543931368</c:v>
                </c:pt>
                <c:pt idx="3">
                  <c:v>0.36383881543931368</c:v>
                </c:pt>
                <c:pt idx="4">
                  <c:v>0.36383881543931368</c:v>
                </c:pt>
                <c:pt idx="5">
                  <c:v>0.36383881543931368</c:v>
                </c:pt>
                <c:pt idx="6">
                  <c:v>0.36383881543931368</c:v>
                </c:pt>
                <c:pt idx="7">
                  <c:v>0.36383881543931368</c:v>
                </c:pt>
                <c:pt idx="8">
                  <c:v>0.36383881543931368</c:v>
                </c:pt>
                <c:pt idx="9">
                  <c:v>0.36383881543931368</c:v>
                </c:pt>
                <c:pt idx="10">
                  <c:v>0.36383881543931368</c:v>
                </c:pt>
                <c:pt idx="11">
                  <c:v>0.36383881543931368</c:v>
                </c:pt>
                <c:pt idx="12">
                  <c:v>0.36383881543931368</c:v>
                </c:pt>
                <c:pt idx="13">
                  <c:v>0.36383881543931368</c:v>
                </c:pt>
                <c:pt idx="14">
                  <c:v>0.36383881543931368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5-4E51-9DFC-D5C340D2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DE5-4572-9467-67749FBA8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5-4572-9467-67749FBA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E5-4572-9467-67749FBA8B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5-4572-9467-67749FBA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2779</c:v>
                </c:pt>
                <c:pt idx="3">
                  <c:v>1678</c:v>
                </c:pt>
                <c:pt idx="4">
                  <c:v>5260</c:v>
                </c:pt>
                <c:pt idx="5">
                  <c:v>707</c:v>
                </c:pt>
                <c:pt idx="6">
                  <c:v>6173</c:v>
                </c:pt>
                <c:pt idx="7">
                  <c:v>4997</c:v>
                </c:pt>
                <c:pt idx="9">
                  <c:v>329</c:v>
                </c:pt>
                <c:pt idx="12">
                  <c:v>1135</c:v>
                </c:pt>
                <c:pt idx="13">
                  <c:v>579</c:v>
                </c:pt>
                <c:pt idx="14">
                  <c:v>3547</c:v>
                </c:pt>
                <c:pt idx="15">
                  <c:v>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813-A22B-0EAB94F6B1CF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2779</c:v>
                </c:pt>
                <c:pt idx="3">
                  <c:v>1678</c:v>
                </c:pt>
                <c:pt idx="4">
                  <c:v>5260</c:v>
                </c:pt>
                <c:pt idx="5">
                  <c:v>707</c:v>
                </c:pt>
                <c:pt idx="6">
                  <c:v>6173</c:v>
                </c:pt>
                <c:pt idx="7">
                  <c:v>4997</c:v>
                </c:pt>
                <c:pt idx="8">
                  <c:v>1068</c:v>
                </c:pt>
                <c:pt idx="9">
                  <c:v>330</c:v>
                </c:pt>
                <c:pt idx="10">
                  <c:v>6560</c:v>
                </c:pt>
                <c:pt idx="11">
                  <c:v>710</c:v>
                </c:pt>
                <c:pt idx="12">
                  <c:v>1135</c:v>
                </c:pt>
                <c:pt idx="13">
                  <c:v>579</c:v>
                </c:pt>
                <c:pt idx="14">
                  <c:v>3547</c:v>
                </c:pt>
                <c:pt idx="15">
                  <c:v>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4-4813-A22B-0EAB94F6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67%</c:v>
                </c:pt>
                <c:pt idx="3">
                  <c:v>50%</c:v>
                </c:pt>
                <c:pt idx="4">
                  <c:v>33%</c:v>
                </c:pt>
                <c:pt idx="5">
                  <c:v>17%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8%</c:v>
                </c:pt>
                <c:pt idx="10">
                  <c:v>0%</c:v>
                </c:pt>
                <c:pt idx="11">
                  <c:v>0%</c:v>
                </c:pt>
                <c:pt idx="12">
                  <c:v>25%</c:v>
                </c:pt>
                <c:pt idx="13">
                  <c:v>17%</c:v>
                </c:pt>
                <c:pt idx="14">
                  <c:v>79%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8.3080808080808075E-2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0.16666666666666666</c:v>
                </c:pt>
                <c:pt idx="14">
                  <c:v>0.79166666666666663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7-4164-9C1E-E27BAC29FF5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97-4164-9C1E-E27BAC29FF5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0.35831649831649831</c:v>
                </c:pt>
                <c:pt idx="1">
                  <c:v>0.35831649831649831</c:v>
                </c:pt>
                <c:pt idx="2">
                  <c:v>0.35831649831649831</c:v>
                </c:pt>
                <c:pt idx="3">
                  <c:v>0.35831649831649831</c:v>
                </c:pt>
                <c:pt idx="4">
                  <c:v>0.35831649831649831</c:v>
                </c:pt>
                <c:pt idx="5">
                  <c:v>0.35831649831649831</c:v>
                </c:pt>
                <c:pt idx="6">
                  <c:v>0.35831649831649831</c:v>
                </c:pt>
                <c:pt idx="7">
                  <c:v>0.35831649831649831</c:v>
                </c:pt>
                <c:pt idx="8">
                  <c:v>0.35831649831649831</c:v>
                </c:pt>
                <c:pt idx="9">
                  <c:v>0.35831649831649831</c:v>
                </c:pt>
                <c:pt idx="10">
                  <c:v>0.35831649831649831</c:v>
                </c:pt>
                <c:pt idx="11">
                  <c:v>0.35831649831649831</c:v>
                </c:pt>
                <c:pt idx="12">
                  <c:v>0.35831649831649831</c:v>
                </c:pt>
                <c:pt idx="13">
                  <c:v>0.35831649831649831</c:v>
                </c:pt>
                <c:pt idx="14">
                  <c:v>0.35831649831649831</c:v>
                </c:pt>
                <c:pt idx="15">
                  <c:v>0.35831649831649831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7-4164-9C1E-E27BAC29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2">
                  <c:v>2779</c:v>
                </c:pt>
                <c:pt idx="3">
                  <c:v>1678</c:v>
                </c:pt>
                <c:pt idx="4">
                  <c:v>5260</c:v>
                </c:pt>
                <c:pt idx="5">
                  <c:v>707</c:v>
                </c:pt>
                <c:pt idx="6">
                  <c:v>6173</c:v>
                </c:pt>
                <c:pt idx="7">
                  <c:v>4997</c:v>
                </c:pt>
                <c:pt idx="9">
                  <c:v>329</c:v>
                </c:pt>
                <c:pt idx="12">
                  <c:v>1135</c:v>
                </c:pt>
                <c:pt idx="13">
                  <c:v>579</c:v>
                </c:pt>
                <c:pt idx="14">
                  <c:v>3547</c:v>
                </c:pt>
                <c:pt idx="15">
                  <c:v>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8-478C-8836-073B7CA84492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2779</c:v>
                </c:pt>
                <c:pt idx="3">
                  <c:v>1678</c:v>
                </c:pt>
                <c:pt idx="4">
                  <c:v>5260</c:v>
                </c:pt>
                <c:pt idx="5">
                  <c:v>707</c:v>
                </c:pt>
                <c:pt idx="6">
                  <c:v>6173</c:v>
                </c:pt>
                <c:pt idx="7">
                  <c:v>4997</c:v>
                </c:pt>
                <c:pt idx="8">
                  <c:v>1068</c:v>
                </c:pt>
                <c:pt idx="9">
                  <c:v>330</c:v>
                </c:pt>
                <c:pt idx="10">
                  <c:v>6560</c:v>
                </c:pt>
                <c:pt idx="11">
                  <c:v>710</c:v>
                </c:pt>
                <c:pt idx="12">
                  <c:v>1135</c:v>
                </c:pt>
                <c:pt idx="13">
                  <c:v>579</c:v>
                </c:pt>
                <c:pt idx="14">
                  <c:v>3547</c:v>
                </c:pt>
                <c:pt idx="15">
                  <c:v>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8-478C-8836-073B7CA84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67%</c:v>
                </c:pt>
                <c:pt idx="3">
                  <c:v>50%</c:v>
                </c:pt>
                <c:pt idx="4">
                  <c:v>33%</c:v>
                </c:pt>
                <c:pt idx="5">
                  <c:v>17%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8%</c:v>
                </c:pt>
                <c:pt idx="10">
                  <c:v>0%</c:v>
                </c:pt>
                <c:pt idx="11">
                  <c:v>0%</c:v>
                </c:pt>
                <c:pt idx="12">
                  <c:v>25%</c:v>
                </c:pt>
                <c:pt idx="13">
                  <c:v>17%</c:v>
                </c:pt>
                <c:pt idx="14">
                  <c:v>79%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0.5</c:v>
                </c:pt>
                <c:pt idx="4">
                  <c:v>0.33333333333333331</c:v>
                </c:pt>
                <c:pt idx="5">
                  <c:v>0.16666666666666666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8.3080808080808075E-2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0.16666666666666666</c:v>
                </c:pt>
                <c:pt idx="14">
                  <c:v>0.79166666666666663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F-4B00-AF50-0DFB8902730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9F-4B00-AF50-0DFB890273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3">
                  <c:v>BASE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LEAD GUIDE</c:v>
                </c:pt>
                <c:pt idx="11">
                  <c:v>ADAPTER</c:v>
                </c:pt>
                <c:pt idx="12">
                  <c:v>SPACER A,B</c:v>
                </c:pt>
                <c:pt idx="13">
                  <c:v>COVER</c:v>
                </c:pt>
                <c:pt idx="14">
                  <c:v>BASE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0.35831649831649831</c:v>
                </c:pt>
                <c:pt idx="1">
                  <c:v>0.35831649831649831</c:v>
                </c:pt>
                <c:pt idx="2">
                  <c:v>0.35831649831649831</c:v>
                </c:pt>
                <c:pt idx="3">
                  <c:v>0.35831649831649831</c:v>
                </c:pt>
                <c:pt idx="4">
                  <c:v>0.35831649831649831</c:v>
                </c:pt>
                <c:pt idx="5">
                  <c:v>0.35831649831649831</c:v>
                </c:pt>
                <c:pt idx="6">
                  <c:v>0.35831649831649831</c:v>
                </c:pt>
                <c:pt idx="7">
                  <c:v>0.35831649831649831</c:v>
                </c:pt>
                <c:pt idx="8">
                  <c:v>0.35831649831649831</c:v>
                </c:pt>
                <c:pt idx="9">
                  <c:v>0.35831649831649831</c:v>
                </c:pt>
                <c:pt idx="10">
                  <c:v>0.35831649831649831</c:v>
                </c:pt>
                <c:pt idx="11">
                  <c:v>0.35831649831649831</c:v>
                </c:pt>
                <c:pt idx="12">
                  <c:v>0.35831649831649831</c:v>
                </c:pt>
                <c:pt idx="13">
                  <c:v>0.35831649831649831</c:v>
                </c:pt>
                <c:pt idx="14">
                  <c:v>0.35831649831649831</c:v>
                </c:pt>
                <c:pt idx="15">
                  <c:v>0.35831649831649831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F-4B00-AF50-0DFB8902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8D3-48C3-BE1D-11FAFED69E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3-48C3-BE1D-11FAFED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D3-48C3-BE1D-11FAFED69EA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3-48C3-BE1D-11FAFED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'07'!$L$6:$L$23</c:f>
              <c:numCache>
                <c:formatCode>_(* #,##0_);_(* \(#,##0\);_(* "-"_);_(@_)</c:formatCode>
                <c:ptCount val="18"/>
                <c:pt idx="2">
                  <c:v>1662</c:v>
                </c:pt>
                <c:pt idx="3">
                  <c:v>1087</c:v>
                </c:pt>
                <c:pt idx="4">
                  <c:v>5586</c:v>
                </c:pt>
                <c:pt idx="5">
                  <c:v>100</c:v>
                </c:pt>
                <c:pt idx="7">
                  <c:v>2520</c:v>
                </c:pt>
                <c:pt idx="8">
                  <c:v>1455</c:v>
                </c:pt>
                <c:pt idx="9">
                  <c:v>5552</c:v>
                </c:pt>
                <c:pt idx="11">
                  <c:v>305</c:v>
                </c:pt>
                <c:pt idx="12">
                  <c:v>314</c:v>
                </c:pt>
                <c:pt idx="13">
                  <c:v>285</c:v>
                </c:pt>
                <c:pt idx="15">
                  <c:v>500</c:v>
                </c:pt>
                <c:pt idx="17">
                  <c:v>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8-4461-B607-E56083BD7FA0}"/>
            </c:ext>
          </c:extLst>
        </c:ser>
        <c:ser>
          <c:idx val="1"/>
          <c:order val="1"/>
          <c:tx>
            <c:v>계획</c:v>
          </c:tx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'07'!$J$6:$J$23</c:f>
              <c:numCache>
                <c:formatCode>_(* #,##0_);_(* \(#,##0\);_(* "-"_);_(@_)</c:formatCode>
                <c:ptCount val="18"/>
                <c:pt idx="0">
                  <c:v>36840</c:v>
                </c:pt>
                <c:pt idx="1">
                  <c:v>800</c:v>
                </c:pt>
                <c:pt idx="2">
                  <c:v>1662</c:v>
                </c:pt>
                <c:pt idx="3">
                  <c:v>1088</c:v>
                </c:pt>
                <c:pt idx="4">
                  <c:v>5586</c:v>
                </c:pt>
                <c:pt idx="5">
                  <c:v>100</c:v>
                </c:pt>
                <c:pt idx="6">
                  <c:v>5260</c:v>
                </c:pt>
                <c:pt idx="7">
                  <c:v>2520</c:v>
                </c:pt>
                <c:pt idx="8">
                  <c:v>1455</c:v>
                </c:pt>
                <c:pt idx="9">
                  <c:v>5552</c:v>
                </c:pt>
                <c:pt idx="10">
                  <c:v>1068</c:v>
                </c:pt>
                <c:pt idx="11">
                  <c:v>305</c:v>
                </c:pt>
                <c:pt idx="12">
                  <c:v>314</c:v>
                </c:pt>
                <c:pt idx="13">
                  <c:v>285</c:v>
                </c:pt>
                <c:pt idx="14">
                  <c:v>710</c:v>
                </c:pt>
                <c:pt idx="15">
                  <c:v>500</c:v>
                </c:pt>
                <c:pt idx="16">
                  <c:v>3547</c:v>
                </c:pt>
                <c:pt idx="17">
                  <c:v>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8-4461-B607-E56083BD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33%</c:v>
                </c:pt>
                <c:pt idx="4">
                  <c:v>100%</c:v>
                </c:pt>
                <c:pt idx="5">
                  <c:v>8%</c:v>
                </c:pt>
                <c:pt idx="6">
                  <c:v>0%</c:v>
                </c:pt>
                <c:pt idx="7">
                  <c:v>42%</c:v>
                </c:pt>
                <c:pt idx="8">
                  <c:v>33%</c:v>
                </c:pt>
                <c:pt idx="9">
                  <c:v>100%</c:v>
                </c:pt>
                <c:pt idx="10">
                  <c:v>0%</c:v>
                </c:pt>
                <c:pt idx="11">
                  <c:v>8%</c:v>
                </c:pt>
                <c:pt idx="12">
                  <c:v>13%</c:v>
                </c:pt>
                <c:pt idx="13">
                  <c:v>8%</c:v>
                </c:pt>
                <c:pt idx="14">
                  <c:v>0%</c:v>
                </c:pt>
                <c:pt idx="15">
                  <c:v>21%</c:v>
                </c:pt>
                <c:pt idx="16">
                  <c:v>0%</c:v>
                </c:pt>
                <c:pt idx="17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0.33302696078431371</c:v>
                </c:pt>
                <c:pt idx="4">
                  <c:v>1</c:v>
                </c:pt>
                <c:pt idx="5">
                  <c:v>8.3333333333333329E-2</c:v>
                </c:pt>
                <c:pt idx="6">
                  <c:v>0</c:v>
                </c:pt>
                <c:pt idx="7">
                  <c:v>0.41666666666666669</c:v>
                </c:pt>
                <c:pt idx="8">
                  <c:v>0.33333333333333331</c:v>
                </c:pt>
                <c:pt idx="9">
                  <c:v>1</c:v>
                </c:pt>
                <c:pt idx="10">
                  <c:v>0</c:v>
                </c:pt>
                <c:pt idx="11">
                  <c:v>8.3333333333333329E-2</c:v>
                </c:pt>
                <c:pt idx="12">
                  <c:v>0.125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0.20833333333333334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D68-8DD2-25B3436F14C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E-4D68-8DD2-25B3436F14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'07'!$AE$6:$AE$23</c:f>
              <c:numCache>
                <c:formatCode>0%</c:formatCode>
                <c:ptCount val="18"/>
                <c:pt idx="0">
                  <c:v>0.3388684640522876</c:v>
                </c:pt>
                <c:pt idx="1">
                  <c:v>0.3388684640522876</c:v>
                </c:pt>
                <c:pt idx="2">
                  <c:v>0.3388684640522876</c:v>
                </c:pt>
                <c:pt idx="3">
                  <c:v>0.3388684640522876</c:v>
                </c:pt>
                <c:pt idx="4">
                  <c:v>0.3388684640522876</c:v>
                </c:pt>
                <c:pt idx="5">
                  <c:v>0.3388684640522876</c:v>
                </c:pt>
                <c:pt idx="6">
                  <c:v>0.3388684640522876</c:v>
                </c:pt>
                <c:pt idx="7">
                  <c:v>0.3388684640522876</c:v>
                </c:pt>
                <c:pt idx="8">
                  <c:v>0.3388684640522876</c:v>
                </c:pt>
                <c:pt idx="9">
                  <c:v>0.3388684640522876</c:v>
                </c:pt>
                <c:pt idx="10">
                  <c:v>0.3388684640522876</c:v>
                </c:pt>
                <c:pt idx="11">
                  <c:v>0.3388684640522876</c:v>
                </c:pt>
                <c:pt idx="12">
                  <c:v>0.3388684640522876</c:v>
                </c:pt>
                <c:pt idx="13">
                  <c:v>0.3388684640522876</c:v>
                </c:pt>
                <c:pt idx="14">
                  <c:v>0.3388684640522876</c:v>
                </c:pt>
                <c:pt idx="15">
                  <c:v>0.3388684640522876</c:v>
                </c:pt>
                <c:pt idx="16">
                  <c:v>0.3388684640522876</c:v>
                </c:pt>
                <c:pt idx="17">
                  <c:v>0.3388684640522876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E-4D68-8DD2-25B3436F1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5126</c:v>
                </c:pt>
                <c:pt idx="3">
                  <c:v>640</c:v>
                </c:pt>
                <c:pt idx="5">
                  <c:v>6064</c:v>
                </c:pt>
                <c:pt idx="6">
                  <c:v>6302</c:v>
                </c:pt>
                <c:pt idx="9">
                  <c:v>500</c:v>
                </c:pt>
                <c:pt idx="10">
                  <c:v>5238</c:v>
                </c:pt>
                <c:pt idx="11">
                  <c:v>709</c:v>
                </c:pt>
                <c:pt idx="12">
                  <c:v>5678</c:v>
                </c:pt>
                <c:pt idx="13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0-4C36-8034-11F713D2336A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5126</c:v>
                </c:pt>
                <c:pt idx="3">
                  <c:v>640</c:v>
                </c:pt>
                <c:pt idx="4">
                  <c:v>903</c:v>
                </c:pt>
                <c:pt idx="5">
                  <c:v>6064</c:v>
                </c:pt>
                <c:pt idx="6">
                  <c:v>6302</c:v>
                </c:pt>
                <c:pt idx="7">
                  <c:v>1924</c:v>
                </c:pt>
                <c:pt idx="8">
                  <c:v>1068</c:v>
                </c:pt>
                <c:pt idx="9">
                  <c:v>500</c:v>
                </c:pt>
                <c:pt idx="10">
                  <c:v>5238</c:v>
                </c:pt>
                <c:pt idx="11">
                  <c:v>710</c:v>
                </c:pt>
                <c:pt idx="12">
                  <c:v>5680</c:v>
                </c:pt>
                <c:pt idx="13">
                  <c:v>1951</c:v>
                </c:pt>
                <c:pt idx="14">
                  <c:v>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0-4C36-8034-11F713D23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'07'!$L$6:$L$23</c:f>
              <c:numCache>
                <c:formatCode>_(* #,##0_);_(* \(#,##0\);_(* "-"_);_(@_)</c:formatCode>
                <c:ptCount val="18"/>
                <c:pt idx="2">
                  <c:v>1662</c:v>
                </c:pt>
                <c:pt idx="3">
                  <c:v>1087</c:v>
                </c:pt>
                <c:pt idx="4">
                  <c:v>5586</c:v>
                </c:pt>
                <c:pt idx="5">
                  <c:v>100</c:v>
                </c:pt>
                <c:pt idx="7">
                  <c:v>2520</c:v>
                </c:pt>
                <c:pt idx="8">
                  <c:v>1455</c:v>
                </c:pt>
                <c:pt idx="9">
                  <c:v>5552</c:v>
                </c:pt>
                <c:pt idx="11">
                  <c:v>305</c:v>
                </c:pt>
                <c:pt idx="12">
                  <c:v>314</c:v>
                </c:pt>
                <c:pt idx="13">
                  <c:v>285</c:v>
                </c:pt>
                <c:pt idx="15">
                  <c:v>500</c:v>
                </c:pt>
                <c:pt idx="17">
                  <c:v>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5-4B55-BFB9-0FC92CC01A6E}"/>
            </c:ext>
          </c:extLst>
        </c:ser>
        <c:ser>
          <c:idx val="1"/>
          <c:order val="1"/>
          <c:tx>
            <c:v>계획</c:v>
          </c:tx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'07'!$J$6:$J$23</c:f>
              <c:numCache>
                <c:formatCode>_(* #,##0_);_(* \(#,##0\);_(* "-"_);_(@_)</c:formatCode>
                <c:ptCount val="18"/>
                <c:pt idx="0">
                  <c:v>36840</c:v>
                </c:pt>
                <c:pt idx="1">
                  <c:v>800</c:v>
                </c:pt>
                <c:pt idx="2">
                  <c:v>1662</c:v>
                </c:pt>
                <c:pt idx="3">
                  <c:v>1088</c:v>
                </c:pt>
                <c:pt idx="4">
                  <c:v>5586</c:v>
                </c:pt>
                <c:pt idx="5">
                  <c:v>100</c:v>
                </c:pt>
                <c:pt idx="6">
                  <c:v>5260</c:v>
                </c:pt>
                <c:pt idx="7">
                  <c:v>2520</c:v>
                </c:pt>
                <c:pt idx="8">
                  <c:v>1455</c:v>
                </c:pt>
                <c:pt idx="9">
                  <c:v>5552</c:v>
                </c:pt>
                <c:pt idx="10">
                  <c:v>1068</c:v>
                </c:pt>
                <c:pt idx="11">
                  <c:v>305</c:v>
                </c:pt>
                <c:pt idx="12">
                  <c:v>314</c:v>
                </c:pt>
                <c:pt idx="13">
                  <c:v>285</c:v>
                </c:pt>
                <c:pt idx="14">
                  <c:v>710</c:v>
                </c:pt>
                <c:pt idx="15">
                  <c:v>500</c:v>
                </c:pt>
                <c:pt idx="16">
                  <c:v>3547</c:v>
                </c:pt>
                <c:pt idx="17">
                  <c:v>48544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5-4B55-BFB9-0FC92CC0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'07'!$AD$6:$AD$23</c:f>
              <c:strCache>
                <c:ptCount val="18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33%</c:v>
                </c:pt>
                <c:pt idx="4">
                  <c:v>100%</c:v>
                </c:pt>
                <c:pt idx="5">
                  <c:v>8%</c:v>
                </c:pt>
                <c:pt idx="6">
                  <c:v>0%</c:v>
                </c:pt>
                <c:pt idx="7">
                  <c:v>42%</c:v>
                </c:pt>
                <c:pt idx="8">
                  <c:v>33%</c:v>
                </c:pt>
                <c:pt idx="9">
                  <c:v>100%</c:v>
                </c:pt>
                <c:pt idx="10">
                  <c:v>0%</c:v>
                </c:pt>
                <c:pt idx="11">
                  <c:v>8%</c:v>
                </c:pt>
                <c:pt idx="12">
                  <c:v>13%</c:v>
                </c:pt>
                <c:pt idx="13">
                  <c:v>8%</c:v>
                </c:pt>
                <c:pt idx="14">
                  <c:v>0%</c:v>
                </c:pt>
                <c:pt idx="15">
                  <c:v>21%</c:v>
                </c:pt>
                <c:pt idx="16">
                  <c:v>0%</c:v>
                </c:pt>
                <c:pt idx="17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'07'!$AD$6:$AD$23</c:f>
              <c:numCache>
                <c:formatCode>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0.33302696078431371</c:v>
                </c:pt>
                <c:pt idx="4">
                  <c:v>1</c:v>
                </c:pt>
                <c:pt idx="5">
                  <c:v>8.3333333333333329E-2</c:v>
                </c:pt>
                <c:pt idx="6">
                  <c:v>0</c:v>
                </c:pt>
                <c:pt idx="7">
                  <c:v>0.41666666666666669</c:v>
                </c:pt>
                <c:pt idx="8">
                  <c:v>0.33333333333333331</c:v>
                </c:pt>
                <c:pt idx="9">
                  <c:v>1</c:v>
                </c:pt>
                <c:pt idx="10">
                  <c:v>0</c:v>
                </c:pt>
                <c:pt idx="11">
                  <c:v>8.3333333333333329E-2</c:v>
                </c:pt>
                <c:pt idx="12">
                  <c:v>0.125</c:v>
                </c:pt>
                <c:pt idx="13">
                  <c:v>8.3333333333333329E-2</c:v>
                </c:pt>
                <c:pt idx="14">
                  <c:v>0</c:v>
                </c:pt>
                <c:pt idx="15">
                  <c:v>0.20833333333333334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5-496A-8A6C-1BC41EE9D41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95-496A-8A6C-1BC41EE9D41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'07'!$D$6:$D$23</c:f>
              <c:strCache>
                <c:ptCount val="17"/>
                <c:pt idx="4">
                  <c:v>SLIDER</c:v>
                </c:pt>
                <c:pt idx="5">
                  <c:v>SLIDER</c:v>
                </c:pt>
                <c:pt idx="6">
                  <c:v>SEPARATOR</c:v>
                </c:pt>
                <c:pt idx="7">
                  <c:v>ADAPTER</c:v>
                </c:pt>
                <c:pt idx="8">
                  <c:v>STOPPER</c:v>
                </c:pt>
                <c:pt idx="9">
                  <c:v>BASE</c:v>
                </c:pt>
                <c:pt idx="10">
                  <c:v>BASE</c:v>
                </c:pt>
                <c:pt idx="12">
                  <c:v>BODY</c:v>
                </c:pt>
                <c:pt idx="13">
                  <c:v>BODY</c:v>
                </c:pt>
                <c:pt idx="14">
                  <c:v>ADAPTER</c:v>
                </c:pt>
                <c:pt idx="15">
                  <c:v>STOPPER</c:v>
                </c:pt>
                <c:pt idx="16">
                  <c:v>BASE</c:v>
                </c:pt>
              </c:strCache>
            </c:strRef>
          </c:cat>
          <c:val>
            <c:numRef>
              <c:f>'07'!$AE$6:$AE$23</c:f>
              <c:numCache>
                <c:formatCode>0%</c:formatCode>
                <c:ptCount val="18"/>
                <c:pt idx="0">
                  <c:v>0.3388684640522876</c:v>
                </c:pt>
                <c:pt idx="1">
                  <c:v>0.3388684640522876</c:v>
                </c:pt>
                <c:pt idx="2">
                  <c:v>0.3388684640522876</c:v>
                </c:pt>
                <c:pt idx="3">
                  <c:v>0.3388684640522876</c:v>
                </c:pt>
                <c:pt idx="4">
                  <c:v>0.3388684640522876</c:v>
                </c:pt>
                <c:pt idx="5">
                  <c:v>0.3388684640522876</c:v>
                </c:pt>
                <c:pt idx="6">
                  <c:v>0.3388684640522876</c:v>
                </c:pt>
                <c:pt idx="7">
                  <c:v>0.3388684640522876</c:v>
                </c:pt>
                <c:pt idx="8">
                  <c:v>0.3388684640522876</c:v>
                </c:pt>
                <c:pt idx="9">
                  <c:v>0.3388684640522876</c:v>
                </c:pt>
                <c:pt idx="10">
                  <c:v>0.3388684640522876</c:v>
                </c:pt>
                <c:pt idx="11">
                  <c:v>0.3388684640522876</c:v>
                </c:pt>
                <c:pt idx="12">
                  <c:v>0.3388684640522876</c:v>
                </c:pt>
                <c:pt idx="13">
                  <c:v>0.3388684640522876</c:v>
                </c:pt>
                <c:pt idx="14">
                  <c:v>0.3388684640522876</c:v>
                </c:pt>
                <c:pt idx="15">
                  <c:v>0.3388684640522876</c:v>
                </c:pt>
                <c:pt idx="16">
                  <c:v>0.3388684640522876</c:v>
                </c:pt>
                <c:pt idx="17">
                  <c:v>0.3388684640522876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5-496A-8A6C-1BC41EE9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518-47DD-A55C-5A2341D936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8-47DD-A55C-5A2341D9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18-47DD-A55C-5A2341D9363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8-47DD-A55C-5A2341D9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2">
                  <c:v>4985</c:v>
                </c:pt>
                <c:pt idx="3">
                  <c:v>5368</c:v>
                </c:pt>
                <c:pt idx="4">
                  <c:v>3654</c:v>
                </c:pt>
                <c:pt idx="5">
                  <c:v>1812</c:v>
                </c:pt>
                <c:pt idx="7">
                  <c:v>4940</c:v>
                </c:pt>
                <c:pt idx="12">
                  <c:v>0</c:v>
                </c:pt>
                <c:pt idx="13">
                  <c:v>1064</c:v>
                </c:pt>
                <c:pt idx="14">
                  <c:v>2100</c:v>
                </c:pt>
                <c:pt idx="15">
                  <c:v>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0-4D46-8D91-99F66458E9FD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4985</c:v>
                </c:pt>
                <c:pt idx="3">
                  <c:v>5368</c:v>
                </c:pt>
                <c:pt idx="4">
                  <c:v>3654</c:v>
                </c:pt>
                <c:pt idx="5">
                  <c:v>1812</c:v>
                </c:pt>
                <c:pt idx="6">
                  <c:v>1455</c:v>
                </c:pt>
                <c:pt idx="7">
                  <c:v>4940</c:v>
                </c:pt>
                <c:pt idx="8">
                  <c:v>1068</c:v>
                </c:pt>
                <c:pt idx="9">
                  <c:v>305</c:v>
                </c:pt>
                <c:pt idx="10">
                  <c:v>285</c:v>
                </c:pt>
                <c:pt idx="11">
                  <c:v>710</c:v>
                </c:pt>
                <c:pt idx="12">
                  <c:v>1064</c:v>
                </c:pt>
                <c:pt idx="13">
                  <c:v>1064</c:v>
                </c:pt>
                <c:pt idx="14">
                  <c:v>2100</c:v>
                </c:pt>
                <c:pt idx="15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0-4D46-8D91-99F66458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21%</c:v>
                </c:pt>
                <c:pt idx="5">
                  <c:v>42%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42%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0.20833333333333334</c:v>
                </c:pt>
                <c:pt idx="5">
                  <c:v>0.41666666666666669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0.99990909090909086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B-4997-B69C-A1F36DBC44B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B-4997-B69C-A1F36DBC44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0.35832727272727272</c:v>
                </c:pt>
                <c:pt idx="1">
                  <c:v>0.35832727272727272</c:v>
                </c:pt>
                <c:pt idx="2">
                  <c:v>0.35832727272727272</c:v>
                </c:pt>
                <c:pt idx="3">
                  <c:v>0.35832727272727272</c:v>
                </c:pt>
                <c:pt idx="4">
                  <c:v>0.35832727272727272</c:v>
                </c:pt>
                <c:pt idx="5">
                  <c:v>0.35832727272727272</c:v>
                </c:pt>
                <c:pt idx="6">
                  <c:v>0.35832727272727272</c:v>
                </c:pt>
                <c:pt idx="7">
                  <c:v>0.35832727272727272</c:v>
                </c:pt>
                <c:pt idx="8">
                  <c:v>0.35832727272727272</c:v>
                </c:pt>
                <c:pt idx="9">
                  <c:v>0.35832727272727272</c:v>
                </c:pt>
                <c:pt idx="10">
                  <c:v>0.35832727272727272</c:v>
                </c:pt>
                <c:pt idx="11">
                  <c:v>0.35832727272727272</c:v>
                </c:pt>
                <c:pt idx="12">
                  <c:v>0.35832727272727272</c:v>
                </c:pt>
                <c:pt idx="13">
                  <c:v>0.35832727272727272</c:v>
                </c:pt>
                <c:pt idx="14">
                  <c:v>0.35832727272727272</c:v>
                </c:pt>
                <c:pt idx="15">
                  <c:v>0.35832727272727272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B-4997-B69C-A1F36DBC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2">
                  <c:v>4985</c:v>
                </c:pt>
                <c:pt idx="3">
                  <c:v>5368</c:v>
                </c:pt>
                <c:pt idx="4">
                  <c:v>3654</c:v>
                </c:pt>
                <c:pt idx="5">
                  <c:v>1812</c:v>
                </c:pt>
                <c:pt idx="7">
                  <c:v>4940</c:v>
                </c:pt>
                <c:pt idx="12">
                  <c:v>0</c:v>
                </c:pt>
                <c:pt idx="13">
                  <c:v>1064</c:v>
                </c:pt>
                <c:pt idx="14">
                  <c:v>2100</c:v>
                </c:pt>
                <c:pt idx="15">
                  <c:v>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060-894A-3B568C019DFE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4985</c:v>
                </c:pt>
                <c:pt idx="3">
                  <c:v>5368</c:v>
                </c:pt>
                <c:pt idx="4">
                  <c:v>3654</c:v>
                </c:pt>
                <c:pt idx="5">
                  <c:v>1812</c:v>
                </c:pt>
                <c:pt idx="6">
                  <c:v>1455</c:v>
                </c:pt>
                <c:pt idx="7">
                  <c:v>4940</c:v>
                </c:pt>
                <c:pt idx="8">
                  <c:v>1068</c:v>
                </c:pt>
                <c:pt idx="9">
                  <c:v>305</c:v>
                </c:pt>
                <c:pt idx="10">
                  <c:v>285</c:v>
                </c:pt>
                <c:pt idx="11">
                  <c:v>710</c:v>
                </c:pt>
                <c:pt idx="12">
                  <c:v>1064</c:v>
                </c:pt>
                <c:pt idx="13">
                  <c:v>1064</c:v>
                </c:pt>
                <c:pt idx="14">
                  <c:v>2100</c:v>
                </c:pt>
                <c:pt idx="15">
                  <c:v>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060-894A-3B568C01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100%</c:v>
                </c:pt>
                <c:pt idx="4">
                  <c:v>21%</c:v>
                </c:pt>
                <c:pt idx="5">
                  <c:v>42%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42%</c:v>
                </c:pt>
                <c:pt idx="14">
                  <c:v>42%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1</c:v>
                </c:pt>
                <c:pt idx="4">
                  <c:v>0.20833333333333334</c:v>
                </c:pt>
                <c:pt idx="5">
                  <c:v>0.41666666666666669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0.41666666666666669</c:v>
                </c:pt>
                <c:pt idx="14">
                  <c:v>0.41666666666666669</c:v>
                </c:pt>
                <c:pt idx="15">
                  <c:v>0.99990909090909086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8-4A90-AEC4-55C9D8A2352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E8-4A90-AEC4-55C9D8A235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3"/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ADAPTER</c:v>
                </c:pt>
                <c:pt idx="12">
                  <c:v>ACTUATOR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0.35832727272727272</c:v>
                </c:pt>
                <c:pt idx="1">
                  <c:v>0.35832727272727272</c:v>
                </c:pt>
                <c:pt idx="2">
                  <c:v>0.35832727272727272</c:v>
                </c:pt>
                <c:pt idx="3">
                  <c:v>0.35832727272727272</c:v>
                </c:pt>
                <c:pt idx="4">
                  <c:v>0.35832727272727272</c:v>
                </c:pt>
                <c:pt idx="5">
                  <c:v>0.35832727272727272</c:v>
                </c:pt>
                <c:pt idx="6">
                  <c:v>0.35832727272727272</c:v>
                </c:pt>
                <c:pt idx="7">
                  <c:v>0.35832727272727272</c:v>
                </c:pt>
                <c:pt idx="8">
                  <c:v>0.35832727272727272</c:v>
                </c:pt>
                <c:pt idx="9">
                  <c:v>0.35832727272727272</c:v>
                </c:pt>
                <c:pt idx="10">
                  <c:v>0.35832727272727272</c:v>
                </c:pt>
                <c:pt idx="11">
                  <c:v>0.35832727272727272</c:v>
                </c:pt>
                <c:pt idx="12">
                  <c:v>0.35832727272727272</c:v>
                </c:pt>
                <c:pt idx="13">
                  <c:v>0.35832727272727272</c:v>
                </c:pt>
                <c:pt idx="14">
                  <c:v>0.35832727272727272</c:v>
                </c:pt>
                <c:pt idx="15">
                  <c:v>0.35832727272727272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8-4A90-AEC4-55C9D8A2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ED-4D28-88EC-50572A1E44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D28-88EC-50572A1E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ED-4D28-88EC-50572A1E44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D28-88EC-50572A1E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2">
                  <c:v>1679</c:v>
                </c:pt>
                <c:pt idx="3">
                  <c:v>548</c:v>
                </c:pt>
                <c:pt idx="4">
                  <c:v>503</c:v>
                </c:pt>
                <c:pt idx="5">
                  <c:v>9378</c:v>
                </c:pt>
                <c:pt idx="6">
                  <c:v>2739</c:v>
                </c:pt>
                <c:pt idx="8">
                  <c:v>4370</c:v>
                </c:pt>
                <c:pt idx="11">
                  <c:v>5656</c:v>
                </c:pt>
                <c:pt idx="15">
                  <c:v>30716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F-43CB-BD2A-0715E5D17C60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1680</c:v>
                </c:pt>
                <c:pt idx="3">
                  <c:v>548</c:v>
                </c:pt>
                <c:pt idx="4">
                  <c:v>503</c:v>
                </c:pt>
                <c:pt idx="5">
                  <c:v>9378</c:v>
                </c:pt>
                <c:pt idx="6">
                  <c:v>2740</c:v>
                </c:pt>
                <c:pt idx="7">
                  <c:v>1455</c:v>
                </c:pt>
                <c:pt idx="8">
                  <c:v>4370</c:v>
                </c:pt>
                <c:pt idx="9">
                  <c:v>1068</c:v>
                </c:pt>
                <c:pt idx="10">
                  <c:v>305</c:v>
                </c:pt>
                <c:pt idx="11">
                  <c:v>5656</c:v>
                </c:pt>
                <c:pt idx="12">
                  <c:v>710</c:v>
                </c:pt>
                <c:pt idx="13">
                  <c:v>1064</c:v>
                </c:pt>
                <c:pt idx="14">
                  <c:v>1064</c:v>
                </c:pt>
                <c:pt idx="15">
                  <c:v>30716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3CB-BD2A-0715E5D1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17%</c:v>
                </c:pt>
                <c:pt idx="4">
                  <c:v>17%</c:v>
                </c:pt>
                <c:pt idx="5">
                  <c:v>79%</c:v>
                </c:pt>
                <c:pt idx="6">
                  <c:v>67%</c:v>
                </c:pt>
                <c:pt idx="7">
                  <c:v>0%</c:v>
                </c:pt>
                <c:pt idx="8">
                  <c:v>88%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  <c:pt idx="15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0.41641865079365081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0.79166666666666663</c:v>
                </c:pt>
                <c:pt idx="6">
                  <c:v>0.66642335766423355</c:v>
                </c:pt>
                <c:pt idx="7">
                  <c:v>0</c:v>
                </c:pt>
                <c:pt idx="8">
                  <c:v>0.875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1-434A-97F3-66EEDF3B657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51-434A-97F3-66EEDF3B65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0.28885613389719228</c:v>
                </c:pt>
                <c:pt idx="1">
                  <c:v>0.28885613389719228</c:v>
                </c:pt>
                <c:pt idx="2">
                  <c:v>0.28885613389719228</c:v>
                </c:pt>
                <c:pt idx="3">
                  <c:v>0.28885613389719228</c:v>
                </c:pt>
                <c:pt idx="4">
                  <c:v>0.28885613389719228</c:v>
                </c:pt>
                <c:pt idx="5">
                  <c:v>0.28885613389719228</c:v>
                </c:pt>
                <c:pt idx="6">
                  <c:v>0.28885613389719228</c:v>
                </c:pt>
                <c:pt idx="7">
                  <c:v>0.28885613389719228</c:v>
                </c:pt>
                <c:pt idx="8">
                  <c:v>0.28885613389719228</c:v>
                </c:pt>
                <c:pt idx="9">
                  <c:v>0.28885613389719228</c:v>
                </c:pt>
                <c:pt idx="10">
                  <c:v>0.28885613389719228</c:v>
                </c:pt>
                <c:pt idx="11">
                  <c:v>0.28885613389719228</c:v>
                </c:pt>
                <c:pt idx="12">
                  <c:v>0.28885613389719228</c:v>
                </c:pt>
                <c:pt idx="13">
                  <c:v>0.28885613389719228</c:v>
                </c:pt>
                <c:pt idx="14">
                  <c:v>0.28885613389719228</c:v>
                </c:pt>
                <c:pt idx="15">
                  <c:v>0.28885613389719228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1-434A-97F3-66EEDF3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17%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17%</c:v>
                </c:pt>
                <c:pt idx="10">
                  <c:v>92%</c:v>
                </c:pt>
                <c:pt idx="11">
                  <c:v>17%</c:v>
                </c:pt>
                <c:pt idx="12">
                  <c:v>100%</c:v>
                </c:pt>
                <c:pt idx="13">
                  <c:v>42%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0.16666666666666666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0.91666666666666663</c:v>
                </c:pt>
                <c:pt idx="11">
                  <c:v>0.16643192488262909</c:v>
                </c:pt>
                <c:pt idx="12">
                  <c:v>0.99964788732394361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4301-A67E-B3786F2CDAB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26-4301-A67E-B3786F2CDAB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0.38051643192488266</c:v>
                </c:pt>
                <c:pt idx="1">
                  <c:v>0.38051643192488266</c:v>
                </c:pt>
                <c:pt idx="2">
                  <c:v>0.38051643192488266</c:v>
                </c:pt>
                <c:pt idx="3">
                  <c:v>0.38051643192488266</c:v>
                </c:pt>
                <c:pt idx="4">
                  <c:v>0.38051643192488266</c:v>
                </c:pt>
                <c:pt idx="5">
                  <c:v>0.38051643192488266</c:v>
                </c:pt>
                <c:pt idx="6">
                  <c:v>0.38051643192488266</c:v>
                </c:pt>
                <c:pt idx="7">
                  <c:v>0.38051643192488266</c:v>
                </c:pt>
                <c:pt idx="8">
                  <c:v>0.38051643192488266</c:v>
                </c:pt>
                <c:pt idx="9">
                  <c:v>0.38051643192488266</c:v>
                </c:pt>
                <c:pt idx="10">
                  <c:v>0.38051643192488266</c:v>
                </c:pt>
                <c:pt idx="11">
                  <c:v>0.38051643192488266</c:v>
                </c:pt>
                <c:pt idx="12">
                  <c:v>0.38051643192488266</c:v>
                </c:pt>
                <c:pt idx="13">
                  <c:v>0.38051643192488266</c:v>
                </c:pt>
                <c:pt idx="14">
                  <c:v>0.38051643192488266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6-4301-A67E-B3786F2C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'11'!$L$6:$L$21</c:f>
              <c:numCache>
                <c:formatCode>_(* #,##0_);_(* \(#,##0\);_(* "-"_);_(@_)</c:formatCode>
                <c:ptCount val="16"/>
                <c:pt idx="2">
                  <c:v>1679</c:v>
                </c:pt>
                <c:pt idx="3">
                  <c:v>548</c:v>
                </c:pt>
                <c:pt idx="4">
                  <c:v>503</c:v>
                </c:pt>
                <c:pt idx="5">
                  <c:v>9378</c:v>
                </c:pt>
                <c:pt idx="6">
                  <c:v>2739</c:v>
                </c:pt>
                <c:pt idx="8">
                  <c:v>4370</c:v>
                </c:pt>
                <c:pt idx="11">
                  <c:v>5656</c:v>
                </c:pt>
                <c:pt idx="15">
                  <c:v>30716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7-4409-93D7-8D84BB5817C1}"/>
            </c:ext>
          </c:extLst>
        </c:ser>
        <c:ser>
          <c:idx val="1"/>
          <c:order val="1"/>
          <c:tx>
            <c:v>계획</c:v>
          </c:tx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1680</c:v>
                </c:pt>
                <c:pt idx="3">
                  <c:v>548</c:v>
                </c:pt>
                <c:pt idx="4">
                  <c:v>503</c:v>
                </c:pt>
                <c:pt idx="5">
                  <c:v>9378</c:v>
                </c:pt>
                <c:pt idx="6">
                  <c:v>2740</c:v>
                </c:pt>
                <c:pt idx="7">
                  <c:v>1455</c:v>
                </c:pt>
                <c:pt idx="8">
                  <c:v>4370</c:v>
                </c:pt>
                <c:pt idx="9">
                  <c:v>1068</c:v>
                </c:pt>
                <c:pt idx="10">
                  <c:v>305</c:v>
                </c:pt>
                <c:pt idx="11">
                  <c:v>5656</c:v>
                </c:pt>
                <c:pt idx="12">
                  <c:v>710</c:v>
                </c:pt>
                <c:pt idx="13">
                  <c:v>1064</c:v>
                </c:pt>
                <c:pt idx="14">
                  <c:v>1064</c:v>
                </c:pt>
                <c:pt idx="15">
                  <c:v>30716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7-4409-93D7-8D84BB581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17%</c:v>
                </c:pt>
                <c:pt idx="4">
                  <c:v>17%</c:v>
                </c:pt>
                <c:pt idx="5">
                  <c:v>79%</c:v>
                </c:pt>
                <c:pt idx="6">
                  <c:v>67%</c:v>
                </c:pt>
                <c:pt idx="7">
                  <c:v>0%</c:v>
                </c:pt>
                <c:pt idx="8">
                  <c:v>88%</c:v>
                </c:pt>
                <c:pt idx="9">
                  <c:v>0%</c:v>
                </c:pt>
                <c:pt idx="10">
                  <c:v>0%</c:v>
                </c:pt>
                <c:pt idx="11">
                  <c:v>58%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  <c:pt idx="15">
                  <c:v>67%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0.41641865079365081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0.79166666666666663</c:v>
                </c:pt>
                <c:pt idx="6">
                  <c:v>0.66642335766423355</c:v>
                </c:pt>
                <c:pt idx="7">
                  <c:v>0</c:v>
                </c:pt>
                <c:pt idx="8">
                  <c:v>0.875</c:v>
                </c:pt>
                <c:pt idx="9">
                  <c:v>0</c:v>
                </c:pt>
                <c:pt idx="10">
                  <c:v>0</c:v>
                </c:pt>
                <c:pt idx="11">
                  <c:v>0.58333333333333337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405-A6DA-E669344DA0E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87-4405-A6DA-E669344DA0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'11'!$D$6:$D$21</c:f>
              <c:strCache>
                <c:ptCount val="14"/>
                <c:pt idx="3">
                  <c:v>SLIDER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</c:strCache>
            </c:strRef>
          </c:cat>
          <c:val>
            <c:numRef>
              <c:f>'11'!$AE$6:$AE$21</c:f>
              <c:numCache>
                <c:formatCode>0%</c:formatCode>
                <c:ptCount val="16"/>
                <c:pt idx="0">
                  <c:v>0.28885613389719228</c:v>
                </c:pt>
                <c:pt idx="1">
                  <c:v>0.28885613389719228</c:v>
                </c:pt>
                <c:pt idx="2">
                  <c:v>0.28885613389719228</c:v>
                </c:pt>
                <c:pt idx="3">
                  <c:v>0.28885613389719228</c:v>
                </c:pt>
                <c:pt idx="4">
                  <c:v>0.28885613389719228</c:v>
                </c:pt>
                <c:pt idx="5">
                  <c:v>0.28885613389719228</c:v>
                </c:pt>
                <c:pt idx="6">
                  <c:v>0.28885613389719228</c:v>
                </c:pt>
                <c:pt idx="7">
                  <c:v>0.28885613389719228</c:v>
                </c:pt>
                <c:pt idx="8">
                  <c:v>0.28885613389719228</c:v>
                </c:pt>
                <c:pt idx="9">
                  <c:v>0.28885613389719228</c:v>
                </c:pt>
                <c:pt idx="10">
                  <c:v>0.28885613389719228</c:v>
                </c:pt>
                <c:pt idx="11">
                  <c:v>0.28885613389719228</c:v>
                </c:pt>
                <c:pt idx="12">
                  <c:v>0.28885613389719228</c:v>
                </c:pt>
                <c:pt idx="13">
                  <c:v>0.28885613389719228</c:v>
                </c:pt>
                <c:pt idx="14">
                  <c:v>0.28885613389719228</c:v>
                </c:pt>
                <c:pt idx="15">
                  <c:v>0.28885613389719228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405-A6DA-E669344D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3D7-401C-ABBF-A4CEFD2F20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7-401C-ABBF-A4CEFD2F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D7-401C-ABBF-A4CEFD2F20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7-401C-ABBF-A4CEFD2F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4356</c:v>
                </c:pt>
                <c:pt idx="3">
                  <c:v>1433</c:v>
                </c:pt>
                <c:pt idx="4">
                  <c:v>2168</c:v>
                </c:pt>
                <c:pt idx="5">
                  <c:v>14640</c:v>
                </c:pt>
                <c:pt idx="6">
                  <c:v>1994</c:v>
                </c:pt>
                <c:pt idx="8">
                  <c:v>5340</c:v>
                </c:pt>
                <c:pt idx="11">
                  <c:v>11848</c:v>
                </c:pt>
                <c:pt idx="12">
                  <c:v>1641</c:v>
                </c:pt>
                <c:pt idx="13">
                  <c:v>776</c:v>
                </c:pt>
                <c:pt idx="14">
                  <c:v>796</c:v>
                </c:pt>
                <c:pt idx="15">
                  <c:v>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B-45D3-811E-B45BB3C3DD9B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4356</c:v>
                </c:pt>
                <c:pt idx="3">
                  <c:v>1433</c:v>
                </c:pt>
                <c:pt idx="4">
                  <c:v>2170</c:v>
                </c:pt>
                <c:pt idx="5">
                  <c:v>14640</c:v>
                </c:pt>
                <c:pt idx="6">
                  <c:v>1994</c:v>
                </c:pt>
                <c:pt idx="7">
                  <c:v>1455</c:v>
                </c:pt>
                <c:pt idx="8">
                  <c:v>5340</c:v>
                </c:pt>
                <c:pt idx="9">
                  <c:v>1068</c:v>
                </c:pt>
                <c:pt idx="10">
                  <c:v>305</c:v>
                </c:pt>
                <c:pt idx="11">
                  <c:v>11850</c:v>
                </c:pt>
                <c:pt idx="12">
                  <c:v>1641</c:v>
                </c:pt>
                <c:pt idx="13">
                  <c:v>776</c:v>
                </c:pt>
                <c:pt idx="14">
                  <c:v>796</c:v>
                </c:pt>
                <c:pt idx="15">
                  <c:v>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B-45D3-811E-B45BB3C3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42%</c:v>
                </c:pt>
                <c:pt idx="4">
                  <c:v>42%</c:v>
                </c:pt>
                <c:pt idx="5">
                  <c:v>100%</c:v>
                </c:pt>
                <c:pt idx="6">
                  <c:v>42%</c:v>
                </c:pt>
                <c:pt idx="7">
                  <c:v>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67%</c:v>
                </c:pt>
                <c:pt idx="13">
                  <c:v>17%</c:v>
                </c:pt>
                <c:pt idx="14">
                  <c:v>21%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0.41628264208909371</c:v>
                </c:pt>
                <c:pt idx="5">
                  <c:v>1</c:v>
                </c:pt>
                <c:pt idx="6">
                  <c:v>0.41666666666666669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0.99983122362869203</c:v>
                </c:pt>
                <c:pt idx="12">
                  <c:v>0.66666666666666663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1-4298-BFBE-024EE9B4735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1-4298-BFBE-024EE9B473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0.40829647993674129</c:v>
                </c:pt>
                <c:pt idx="1">
                  <c:v>0.40829647993674129</c:v>
                </c:pt>
                <c:pt idx="2">
                  <c:v>0.40829647993674129</c:v>
                </c:pt>
                <c:pt idx="3">
                  <c:v>0.40829647993674129</c:v>
                </c:pt>
                <c:pt idx="4">
                  <c:v>0.40829647993674129</c:v>
                </c:pt>
                <c:pt idx="5">
                  <c:v>0.40829647993674129</c:v>
                </c:pt>
                <c:pt idx="6">
                  <c:v>0.40829647993674129</c:v>
                </c:pt>
                <c:pt idx="7">
                  <c:v>0.40829647993674129</c:v>
                </c:pt>
                <c:pt idx="8">
                  <c:v>0.40829647993674129</c:v>
                </c:pt>
                <c:pt idx="9">
                  <c:v>0.40829647993674129</c:v>
                </c:pt>
                <c:pt idx="10">
                  <c:v>0.40829647993674129</c:v>
                </c:pt>
                <c:pt idx="11">
                  <c:v>0.40829647993674129</c:v>
                </c:pt>
                <c:pt idx="12">
                  <c:v>0.40829647993674129</c:v>
                </c:pt>
                <c:pt idx="13">
                  <c:v>0.40829647993674129</c:v>
                </c:pt>
                <c:pt idx="14">
                  <c:v>0.40829647993674129</c:v>
                </c:pt>
                <c:pt idx="15">
                  <c:v>0.40829647993674129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1-4298-BFBE-024EE9B4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4356</c:v>
                </c:pt>
                <c:pt idx="3">
                  <c:v>1433</c:v>
                </c:pt>
                <c:pt idx="4">
                  <c:v>2168</c:v>
                </c:pt>
                <c:pt idx="5">
                  <c:v>14640</c:v>
                </c:pt>
                <c:pt idx="6">
                  <c:v>1994</c:v>
                </c:pt>
                <c:pt idx="8">
                  <c:v>5340</c:v>
                </c:pt>
                <c:pt idx="11">
                  <c:v>11848</c:v>
                </c:pt>
                <c:pt idx="12">
                  <c:v>1641</c:v>
                </c:pt>
                <c:pt idx="13">
                  <c:v>776</c:v>
                </c:pt>
                <c:pt idx="14">
                  <c:v>796</c:v>
                </c:pt>
                <c:pt idx="15">
                  <c:v>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3-4793-AB53-3662E3E8FE91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4356</c:v>
                </c:pt>
                <c:pt idx="3">
                  <c:v>1433</c:v>
                </c:pt>
                <c:pt idx="4">
                  <c:v>2170</c:v>
                </c:pt>
                <c:pt idx="5">
                  <c:v>14640</c:v>
                </c:pt>
                <c:pt idx="6">
                  <c:v>1994</c:v>
                </c:pt>
                <c:pt idx="7">
                  <c:v>1455</c:v>
                </c:pt>
                <c:pt idx="8">
                  <c:v>5340</c:v>
                </c:pt>
                <c:pt idx="9">
                  <c:v>1068</c:v>
                </c:pt>
                <c:pt idx="10">
                  <c:v>305</c:v>
                </c:pt>
                <c:pt idx="11">
                  <c:v>11850</c:v>
                </c:pt>
                <c:pt idx="12">
                  <c:v>1641</c:v>
                </c:pt>
                <c:pt idx="13">
                  <c:v>776</c:v>
                </c:pt>
                <c:pt idx="14">
                  <c:v>796</c:v>
                </c:pt>
                <c:pt idx="15">
                  <c:v>19196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3-4793-AB53-3662E3E8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33%</c:v>
                </c:pt>
                <c:pt idx="3">
                  <c:v>42%</c:v>
                </c:pt>
                <c:pt idx="4">
                  <c:v>42%</c:v>
                </c:pt>
                <c:pt idx="5">
                  <c:v>100%</c:v>
                </c:pt>
                <c:pt idx="6">
                  <c:v>42%</c:v>
                </c:pt>
                <c:pt idx="7">
                  <c:v>0%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100%</c:v>
                </c:pt>
                <c:pt idx="12">
                  <c:v>67%</c:v>
                </c:pt>
                <c:pt idx="13">
                  <c:v>17%</c:v>
                </c:pt>
                <c:pt idx="14">
                  <c:v>21%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0.41628264208909371</c:v>
                </c:pt>
                <c:pt idx="5">
                  <c:v>1</c:v>
                </c:pt>
                <c:pt idx="6">
                  <c:v>0.41666666666666669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0.99983122362869203</c:v>
                </c:pt>
                <c:pt idx="12">
                  <c:v>0.66666666666666663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4287-97AE-5DECB32857D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60-4287-97AE-5DECB32857D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2">
                  <c:v>LATCH</c:v>
                </c:pt>
                <c:pt idx="3">
                  <c:v>COVER</c:v>
                </c:pt>
                <c:pt idx="4">
                  <c:v>BASE</c:v>
                </c:pt>
                <c:pt idx="5">
                  <c:v>SEPARATOR</c:v>
                </c:pt>
                <c:pt idx="6">
                  <c:v>ADAPTER</c:v>
                </c:pt>
                <c:pt idx="7">
                  <c:v>STOPPER</c:v>
                </c:pt>
                <c:pt idx="8">
                  <c:v>BASE</c:v>
                </c:pt>
                <c:pt idx="9">
                  <c:v>BASE</c:v>
                </c:pt>
                <c:pt idx="11">
                  <c:v>LATCH</c:v>
                </c:pt>
                <c:pt idx="12">
                  <c:v>ADAPTER</c:v>
                </c:pt>
                <c:pt idx="13">
                  <c:v>ACTUATOR</c:v>
                </c:pt>
                <c:pt idx="14">
                  <c:v>BASE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0.40829647993674129</c:v>
                </c:pt>
                <c:pt idx="1">
                  <c:v>0.40829647993674129</c:v>
                </c:pt>
                <c:pt idx="2">
                  <c:v>0.40829647993674129</c:v>
                </c:pt>
                <c:pt idx="3">
                  <c:v>0.40829647993674129</c:v>
                </c:pt>
                <c:pt idx="4">
                  <c:v>0.40829647993674129</c:v>
                </c:pt>
                <c:pt idx="5">
                  <c:v>0.40829647993674129</c:v>
                </c:pt>
                <c:pt idx="6">
                  <c:v>0.40829647993674129</c:v>
                </c:pt>
                <c:pt idx="7">
                  <c:v>0.40829647993674129</c:v>
                </c:pt>
                <c:pt idx="8">
                  <c:v>0.40829647993674129</c:v>
                </c:pt>
                <c:pt idx="9">
                  <c:v>0.40829647993674129</c:v>
                </c:pt>
                <c:pt idx="10">
                  <c:v>0.40829647993674129</c:v>
                </c:pt>
                <c:pt idx="11">
                  <c:v>0.40829647993674129</c:v>
                </c:pt>
                <c:pt idx="12">
                  <c:v>0.40829647993674129</c:v>
                </c:pt>
                <c:pt idx="13">
                  <c:v>0.40829647993674129</c:v>
                </c:pt>
                <c:pt idx="14">
                  <c:v>0.40829647993674129</c:v>
                </c:pt>
                <c:pt idx="15">
                  <c:v>0.40829647993674129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0-4287-97AE-5DECB328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73F-46A8-A766-FDB4572438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F-46A8-A766-FDB45724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3F-46A8-A766-FDB4572438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F-46A8-A766-FDB45724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'13'!$L$6:$L$22</c:f>
              <c:numCache>
                <c:formatCode>_(* #,##0_);_(* \(#,##0\);_(* "-"_);_(@_)</c:formatCode>
                <c:ptCount val="17"/>
                <c:pt idx="2">
                  <c:v>1306</c:v>
                </c:pt>
                <c:pt idx="3">
                  <c:v>1274</c:v>
                </c:pt>
                <c:pt idx="4">
                  <c:v>1646</c:v>
                </c:pt>
                <c:pt idx="5">
                  <c:v>2259</c:v>
                </c:pt>
                <c:pt idx="7">
                  <c:v>1176</c:v>
                </c:pt>
                <c:pt idx="8">
                  <c:v>5259</c:v>
                </c:pt>
                <c:pt idx="11">
                  <c:v>3640</c:v>
                </c:pt>
                <c:pt idx="12">
                  <c:v>1444</c:v>
                </c:pt>
                <c:pt idx="14">
                  <c:v>3105</c:v>
                </c:pt>
                <c:pt idx="16">
                  <c:v>21560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F-4A9E-88E1-D8B66CE362B6}"/>
            </c:ext>
          </c:extLst>
        </c:ser>
        <c:ser>
          <c:idx val="1"/>
          <c:order val="1"/>
          <c:tx>
            <c:v>계획</c:v>
          </c:tx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1306</c:v>
                </c:pt>
                <c:pt idx="3">
                  <c:v>1274</c:v>
                </c:pt>
                <c:pt idx="4">
                  <c:v>1646</c:v>
                </c:pt>
                <c:pt idx="5">
                  <c:v>2259</c:v>
                </c:pt>
                <c:pt idx="6">
                  <c:v>1994</c:v>
                </c:pt>
                <c:pt idx="7">
                  <c:v>1176</c:v>
                </c:pt>
                <c:pt idx="8">
                  <c:v>5260</c:v>
                </c:pt>
                <c:pt idx="9">
                  <c:v>1068</c:v>
                </c:pt>
                <c:pt idx="10">
                  <c:v>305</c:v>
                </c:pt>
                <c:pt idx="11">
                  <c:v>3640</c:v>
                </c:pt>
                <c:pt idx="12">
                  <c:v>1444</c:v>
                </c:pt>
                <c:pt idx="13">
                  <c:v>1641</c:v>
                </c:pt>
                <c:pt idx="14">
                  <c:v>3105</c:v>
                </c:pt>
                <c:pt idx="15">
                  <c:v>796</c:v>
                </c:pt>
                <c:pt idx="16">
                  <c:v>21560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F-4A9E-88E1-D8B66CE3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42%</c:v>
                </c:pt>
                <c:pt idx="4">
                  <c:v>42%</c:v>
                </c:pt>
                <c:pt idx="5">
                  <c:v>58%</c:v>
                </c:pt>
                <c:pt idx="6">
                  <c:v>0%</c:v>
                </c:pt>
                <c:pt idx="7">
                  <c:v>25%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25%</c:v>
                </c:pt>
                <c:pt idx="12">
                  <c:v>46%</c:v>
                </c:pt>
                <c:pt idx="13">
                  <c:v>0%</c:v>
                </c:pt>
                <c:pt idx="14">
                  <c:v>79%</c:v>
                </c:pt>
                <c:pt idx="15">
                  <c:v>0%</c:v>
                </c:pt>
                <c:pt idx="16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0.58333333333333337</c:v>
                </c:pt>
                <c:pt idx="6">
                  <c:v>0</c:v>
                </c:pt>
                <c:pt idx="7">
                  <c:v>0.25</c:v>
                </c:pt>
                <c:pt idx="8">
                  <c:v>0.99980988593155895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0.45833333333333331</c:v>
                </c:pt>
                <c:pt idx="13">
                  <c:v>0</c:v>
                </c:pt>
                <c:pt idx="14">
                  <c:v>0.79166666666666663</c:v>
                </c:pt>
                <c:pt idx="15">
                  <c:v>0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C-42D7-9D0D-30F6D05B3C2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2D7-9D0D-30F6D05B3C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'13'!$AE$6:$AE$22</c:f>
              <c:numCache>
                <c:formatCode>0%</c:formatCode>
                <c:ptCount val="17"/>
                <c:pt idx="0">
                  <c:v>0.33887621461765949</c:v>
                </c:pt>
                <c:pt idx="1">
                  <c:v>0.33887621461765949</c:v>
                </c:pt>
                <c:pt idx="2">
                  <c:v>0.33887621461765949</c:v>
                </c:pt>
                <c:pt idx="3">
                  <c:v>0.33887621461765949</c:v>
                </c:pt>
                <c:pt idx="4">
                  <c:v>0.33887621461765949</c:v>
                </c:pt>
                <c:pt idx="5">
                  <c:v>0.33887621461765949</c:v>
                </c:pt>
                <c:pt idx="6">
                  <c:v>0.33887621461765949</c:v>
                </c:pt>
                <c:pt idx="7">
                  <c:v>0.33887621461765949</c:v>
                </c:pt>
                <c:pt idx="8">
                  <c:v>0.33887621461765949</c:v>
                </c:pt>
                <c:pt idx="9">
                  <c:v>0.33887621461765949</c:v>
                </c:pt>
                <c:pt idx="10">
                  <c:v>0.33887621461765949</c:v>
                </c:pt>
                <c:pt idx="11">
                  <c:v>0.33887621461765949</c:v>
                </c:pt>
                <c:pt idx="12">
                  <c:v>0.33887621461765949</c:v>
                </c:pt>
                <c:pt idx="13">
                  <c:v>0.33887621461765949</c:v>
                </c:pt>
                <c:pt idx="14">
                  <c:v>0.33887621461765949</c:v>
                </c:pt>
                <c:pt idx="15">
                  <c:v>0.33887621461765949</c:v>
                </c:pt>
                <c:pt idx="16">
                  <c:v>0.33887621461765949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C-42D7-9D0D-30F6D05B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'01'!$L$6:$L$20</c:f>
              <c:numCache>
                <c:formatCode>_(* #,##0_);_(* \(#,##0\);_(* "-"_);_(@_)</c:formatCode>
                <c:ptCount val="15"/>
                <c:pt idx="2">
                  <c:v>5126</c:v>
                </c:pt>
                <c:pt idx="3">
                  <c:v>640</c:v>
                </c:pt>
                <c:pt idx="5">
                  <c:v>6064</c:v>
                </c:pt>
                <c:pt idx="6">
                  <c:v>6302</c:v>
                </c:pt>
                <c:pt idx="9">
                  <c:v>500</c:v>
                </c:pt>
                <c:pt idx="10">
                  <c:v>5238</c:v>
                </c:pt>
                <c:pt idx="11">
                  <c:v>709</c:v>
                </c:pt>
                <c:pt idx="12">
                  <c:v>5678</c:v>
                </c:pt>
                <c:pt idx="13">
                  <c:v>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3-48D9-8291-F598DF3FC0BA}"/>
            </c:ext>
          </c:extLst>
        </c:ser>
        <c:ser>
          <c:idx val="1"/>
          <c:order val="1"/>
          <c:tx>
            <c:v>계획</c:v>
          </c:tx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5126</c:v>
                </c:pt>
                <c:pt idx="3">
                  <c:v>640</c:v>
                </c:pt>
                <c:pt idx="4">
                  <c:v>903</c:v>
                </c:pt>
                <c:pt idx="5">
                  <c:v>6064</c:v>
                </c:pt>
                <c:pt idx="6">
                  <c:v>6302</c:v>
                </c:pt>
                <c:pt idx="7">
                  <c:v>1924</c:v>
                </c:pt>
                <c:pt idx="8">
                  <c:v>1068</c:v>
                </c:pt>
                <c:pt idx="9">
                  <c:v>500</c:v>
                </c:pt>
                <c:pt idx="10">
                  <c:v>5238</c:v>
                </c:pt>
                <c:pt idx="11">
                  <c:v>710</c:v>
                </c:pt>
                <c:pt idx="12">
                  <c:v>5680</c:v>
                </c:pt>
                <c:pt idx="13">
                  <c:v>1951</c:v>
                </c:pt>
                <c:pt idx="14">
                  <c:v>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3-48D9-8291-F598DF3FC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'13'!$L$6:$L$22</c:f>
              <c:numCache>
                <c:formatCode>_(* #,##0_);_(* \(#,##0\);_(* "-"_);_(@_)</c:formatCode>
                <c:ptCount val="17"/>
                <c:pt idx="2">
                  <c:v>1306</c:v>
                </c:pt>
                <c:pt idx="3">
                  <c:v>1274</c:v>
                </c:pt>
                <c:pt idx="4">
                  <c:v>1646</c:v>
                </c:pt>
                <c:pt idx="5">
                  <c:v>2259</c:v>
                </c:pt>
                <c:pt idx="7">
                  <c:v>1176</c:v>
                </c:pt>
                <c:pt idx="8">
                  <c:v>5259</c:v>
                </c:pt>
                <c:pt idx="11">
                  <c:v>3640</c:v>
                </c:pt>
                <c:pt idx="12">
                  <c:v>1444</c:v>
                </c:pt>
                <c:pt idx="14">
                  <c:v>3105</c:v>
                </c:pt>
                <c:pt idx="16">
                  <c:v>21560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C-4199-ADE5-E7F342EC9AE7}"/>
            </c:ext>
          </c:extLst>
        </c:ser>
        <c:ser>
          <c:idx val="1"/>
          <c:order val="1"/>
          <c:tx>
            <c:v>계획</c:v>
          </c:tx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1306</c:v>
                </c:pt>
                <c:pt idx="3">
                  <c:v>1274</c:v>
                </c:pt>
                <c:pt idx="4">
                  <c:v>1646</c:v>
                </c:pt>
                <c:pt idx="5">
                  <c:v>2259</c:v>
                </c:pt>
                <c:pt idx="6">
                  <c:v>1994</c:v>
                </c:pt>
                <c:pt idx="7">
                  <c:v>1176</c:v>
                </c:pt>
                <c:pt idx="8">
                  <c:v>5260</c:v>
                </c:pt>
                <c:pt idx="9">
                  <c:v>1068</c:v>
                </c:pt>
                <c:pt idx="10">
                  <c:v>305</c:v>
                </c:pt>
                <c:pt idx="11">
                  <c:v>3640</c:v>
                </c:pt>
                <c:pt idx="12">
                  <c:v>1444</c:v>
                </c:pt>
                <c:pt idx="13">
                  <c:v>1641</c:v>
                </c:pt>
                <c:pt idx="14">
                  <c:v>3105</c:v>
                </c:pt>
                <c:pt idx="15">
                  <c:v>796</c:v>
                </c:pt>
                <c:pt idx="16">
                  <c:v>21560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C-4199-ADE5-E7F342EC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42%</c:v>
                </c:pt>
                <c:pt idx="3">
                  <c:v>42%</c:v>
                </c:pt>
                <c:pt idx="4">
                  <c:v>42%</c:v>
                </c:pt>
                <c:pt idx="5">
                  <c:v>58%</c:v>
                </c:pt>
                <c:pt idx="6">
                  <c:v>0%</c:v>
                </c:pt>
                <c:pt idx="7">
                  <c:v>25%</c:v>
                </c:pt>
                <c:pt idx="8">
                  <c:v>100%</c:v>
                </c:pt>
                <c:pt idx="9">
                  <c:v>0%</c:v>
                </c:pt>
                <c:pt idx="10">
                  <c:v>0%</c:v>
                </c:pt>
                <c:pt idx="11">
                  <c:v>25%</c:v>
                </c:pt>
                <c:pt idx="12">
                  <c:v>46%</c:v>
                </c:pt>
                <c:pt idx="13">
                  <c:v>0%</c:v>
                </c:pt>
                <c:pt idx="14">
                  <c:v>79%</c:v>
                </c:pt>
                <c:pt idx="15">
                  <c:v>0%</c:v>
                </c:pt>
                <c:pt idx="16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0.41666666666666669</c:v>
                </c:pt>
                <c:pt idx="5">
                  <c:v>0.58333333333333337</c:v>
                </c:pt>
                <c:pt idx="6">
                  <c:v>0</c:v>
                </c:pt>
                <c:pt idx="7">
                  <c:v>0.25</c:v>
                </c:pt>
                <c:pt idx="8">
                  <c:v>0.99980988593155895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0.45833333333333331</c:v>
                </c:pt>
                <c:pt idx="13">
                  <c:v>0</c:v>
                </c:pt>
                <c:pt idx="14">
                  <c:v>0.79166666666666663</c:v>
                </c:pt>
                <c:pt idx="15">
                  <c:v>0</c:v>
                </c:pt>
                <c:pt idx="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58A-9877-5392820A6A3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EE-458A-9877-5392820A6A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'13'!$D$6:$D$22</c:f>
              <c:strCache>
                <c:ptCount val="16"/>
                <c:pt idx="2">
                  <c:v>BASE</c:v>
                </c:pt>
                <c:pt idx="3">
                  <c:v>BOTTOM</c:v>
                </c:pt>
                <c:pt idx="4">
                  <c:v>BASE</c:v>
                </c:pt>
                <c:pt idx="5">
                  <c:v>STOPPER</c:v>
                </c:pt>
                <c:pt idx="6">
                  <c:v>ADAPTER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1">
                  <c:v>LATCH/ROLLER</c:v>
                </c:pt>
                <c:pt idx="12">
                  <c:v>TOP</c:v>
                </c:pt>
                <c:pt idx="13">
                  <c:v>ADAPTER</c:v>
                </c:pt>
                <c:pt idx="14">
                  <c:v>ACTUATOR</c:v>
                </c:pt>
                <c:pt idx="15">
                  <c:v>BASE</c:v>
                </c:pt>
              </c:strCache>
            </c:strRef>
          </c:cat>
          <c:val>
            <c:numRef>
              <c:f>'13'!$AE$6:$AE$22</c:f>
              <c:numCache>
                <c:formatCode>0%</c:formatCode>
                <c:ptCount val="17"/>
                <c:pt idx="0">
                  <c:v>0.33887621461765949</c:v>
                </c:pt>
                <c:pt idx="1">
                  <c:v>0.33887621461765949</c:v>
                </c:pt>
                <c:pt idx="2">
                  <c:v>0.33887621461765949</c:v>
                </c:pt>
                <c:pt idx="3">
                  <c:v>0.33887621461765949</c:v>
                </c:pt>
                <c:pt idx="4">
                  <c:v>0.33887621461765949</c:v>
                </c:pt>
                <c:pt idx="5">
                  <c:v>0.33887621461765949</c:v>
                </c:pt>
                <c:pt idx="6">
                  <c:v>0.33887621461765949</c:v>
                </c:pt>
                <c:pt idx="7">
                  <c:v>0.33887621461765949</c:v>
                </c:pt>
                <c:pt idx="8">
                  <c:v>0.33887621461765949</c:v>
                </c:pt>
                <c:pt idx="9">
                  <c:v>0.33887621461765949</c:v>
                </c:pt>
                <c:pt idx="10">
                  <c:v>0.33887621461765949</c:v>
                </c:pt>
                <c:pt idx="11">
                  <c:v>0.33887621461765949</c:v>
                </c:pt>
                <c:pt idx="12">
                  <c:v>0.33887621461765949</c:v>
                </c:pt>
                <c:pt idx="13">
                  <c:v>0.33887621461765949</c:v>
                </c:pt>
                <c:pt idx="14">
                  <c:v>0.33887621461765949</c:v>
                </c:pt>
                <c:pt idx="15">
                  <c:v>0.33887621461765949</c:v>
                </c:pt>
                <c:pt idx="16">
                  <c:v>0.33887621461765949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E-458A-9877-5392820A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F10-4867-BAF7-341C2AE1A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867-BAF7-341C2AE1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10-4867-BAF7-341C2AE1A0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0-4867-BAF7-341C2AE1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2914</c:v>
                </c:pt>
                <c:pt idx="4">
                  <c:v>4901</c:v>
                </c:pt>
                <c:pt idx="6">
                  <c:v>2351</c:v>
                </c:pt>
                <c:pt idx="7">
                  <c:v>3405</c:v>
                </c:pt>
                <c:pt idx="12">
                  <c:v>4430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C-46F9-90FC-9B6D7C23C350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1274</c:v>
                </c:pt>
                <c:pt idx="3">
                  <c:v>2920</c:v>
                </c:pt>
                <c:pt idx="4">
                  <c:v>4901</c:v>
                </c:pt>
                <c:pt idx="5">
                  <c:v>1994</c:v>
                </c:pt>
                <c:pt idx="6">
                  <c:v>2351</c:v>
                </c:pt>
                <c:pt idx="7">
                  <c:v>3405</c:v>
                </c:pt>
                <c:pt idx="8">
                  <c:v>1068</c:v>
                </c:pt>
                <c:pt idx="9">
                  <c:v>305</c:v>
                </c:pt>
                <c:pt idx="10">
                  <c:v>1444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C-46F9-90FC-9B6D7C23C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71%</c:v>
                </c:pt>
                <c:pt idx="4">
                  <c:v>92%</c:v>
                </c:pt>
                <c:pt idx="5">
                  <c:v>0%</c:v>
                </c:pt>
                <c:pt idx="6">
                  <c:v>58%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0.70687785388127855</c:v>
                </c:pt>
                <c:pt idx="4">
                  <c:v>0.91666666666666663</c:v>
                </c:pt>
                <c:pt idx="5">
                  <c:v>0</c:v>
                </c:pt>
                <c:pt idx="6">
                  <c:v>0.58333333333333337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1-4264-88BC-D80FA273B8CD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A1-4264-88BC-D80FA273B8C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0.29712519025875195</c:v>
                </c:pt>
                <c:pt idx="1">
                  <c:v>0.29712519025875195</c:v>
                </c:pt>
                <c:pt idx="2">
                  <c:v>0.29712519025875195</c:v>
                </c:pt>
                <c:pt idx="3">
                  <c:v>0.29712519025875195</c:v>
                </c:pt>
                <c:pt idx="4">
                  <c:v>0.29712519025875195</c:v>
                </c:pt>
                <c:pt idx="5">
                  <c:v>0.29712519025875195</c:v>
                </c:pt>
                <c:pt idx="6">
                  <c:v>0.29712519025875195</c:v>
                </c:pt>
                <c:pt idx="7">
                  <c:v>0.29712519025875195</c:v>
                </c:pt>
                <c:pt idx="8">
                  <c:v>0.29712519025875195</c:v>
                </c:pt>
                <c:pt idx="9">
                  <c:v>0.29712519025875195</c:v>
                </c:pt>
                <c:pt idx="10">
                  <c:v>0.29712519025875195</c:v>
                </c:pt>
                <c:pt idx="11">
                  <c:v>0.29712519025875195</c:v>
                </c:pt>
                <c:pt idx="12">
                  <c:v>0.29712519025875195</c:v>
                </c:pt>
                <c:pt idx="13">
                  <c:v>0.29712519025875195</c:v>
                </c:pt>
                <c:pt idx="14">
                  <c:v>0.29712519025875195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1-4264-88BC-D80FA27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'14'!$L$6:$L$20</c:f>
              <c:numCache>
                <c:formatCode>_(* #,##0_);_(* \(#,##0\);_(* "-"_);_(@_)</c:formatCode>
                <c:ptCount val="15"/>
                <c:pt idx="3">
                  <c:v>2914</c:v>
                </c:pt>
                <c:pt idx="4">
                  <c:v>4901</c:v>
                </c:pt>
                <c:pt idx="6">
                  <c:v>2351</c:v>
                </c:pt>
                <c:pt idx="7">
                  <c:v>3405</c:v>
                </c:pt>
                <c:pt idx="12">
                  <c:v>4430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09F-9BA0-D0DDB7A1D0D4}"/>
            </c:ext>
          </c:extLst>
        </c:ser>
        <c:ser>
          <c:idx val="1"/>
          <c:order val="1"/>
          <c:tx>
            <c:v>계획</c:v>
          </c:tx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1274</c:v>
                </c:pt>
                <c:pt idx="3">
                  <c:v>2920</c:v>
                </c:pt>
                <c:pt idx="4">
                  <c:v>4901</c:v>
                </c:pt>
                <c:pt idx="5">
                  <c:v>1994</c:v>
                </c:pt>
                <c:pt idx="6">
                  <c:v>2351</c:v>
                </c:pt>
                <c:pt idx="7">
                  <c:v>3405</c:v>
                </c:pt>
                <c:pt idx="8">
                  <c:v>1068</c:v>
                </c:pt>
                <c:pt idx="9">
                  <c:v>305</c:v>
                </c:pt>
                <c:pt idx="10">
                  <c:v>1444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09F-9BA0-D0DDB7A1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71%</c:v>
                </c:pt>
                <c:pt idx="4">
                  <c:v>92%</c:v>
                </c:pt>
                <c:pt idx="5">
                  <c:v>0%</c:v>
                </c:pt>
                <c:pt idx="6">
                  <c:v>58%</c:v>
                </c:pt>
                <c:pt idx="7">
                  <c:v>75%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100%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0.70687785388127855</c:v>
                </c:pt>
                <c:pt idx="4">
                  <c:v>0.91666666666666663</c:v>
                </c:pt>
                <c:pt idx="5">
                  <c:v>0</c:v>
                </c:pt>
                <c:pt idx="6">
                  <c:v>0.58333333333333337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3-4468-8AC8-B83F47DFD6E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03-4468-8AC8-B83F47DFD6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TOP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'14'!$AE$6:$AE$20</c:f>
              <c:numCache>
                <c:formatCode>0%</c:formatCode>
                <c:ptCount val="15"/>
                <c:pt idx="0">
                  <c:v>0.29712519025875195</c:v>
                </c:pt>
                <c:pt idx="1">
                  <c:v>0.29712519025875195</c:v>
                </c:pt>
                <c:pt idx="2">
                  <c:v>0.29712519025875195</c:v>
                </c:pt>
                <c:pt idx="3">
                  <c:v>0.29712519025875195</c:v>
                </c:pt>
                <c:pt idx="4">
                  <c:v>0.29712519025875195</c:v>
                </c:pt>
                <c:pt idx="5">
                  <c:v>0.29712519025875195</c:v>
                </c:pt>
                <c:pt idx="6">
                  <c:v>0.29712519025875195</c:v>
                </c:pt>
                <c:pt idx="7">
                  <c:v>0.29712519025875195</c:v>
                </c:pt>
                <c:pt idx="8">
                  <c:v>0.29712519025875195</c:v>
                </c:pt>
                <c:pt idx="9">
                  <c:v>0.29712519025875195</c:v>
                </c:pt>
                <c:pt idx="10">
                  <c:v>0.29712519025875195</c:v>
                </c:pt>
                <c:pt idx="11">
                  <c:v>0.29712519025875195</c:v>
                </c:pt>
                <c:pt idx="12">
                  <c:v>0.29712519025875195</c:v>
                </c:pt>
                <c:pt idx="13">
                  <c:v>0.29712519025875195</c:v>
                </c:pt>
                <c:pt idx="14">
                  <c:v>0.29712519025875195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3-4468-8AC8-B83F47DF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E24-409B-8691-FE8A0EA07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4-409B-8691-FE8A0EA0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24-409B-8691-FE8A0EA079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24-409B-8691-FE8A0EA0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4">
                  <c:v>2930</c:v>
                </c:pt>
                <c:pt idx="6">
                  <c:v>2647</c:v>
                </c:pt>
                <c:pt idx="10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2-4D7B-83CC-E416BA1EFAD5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1274</c:v>
                </c:pt>
                <c:pt idx="3">
                  <c:v>2920</c:v>
                </c:pt>
                <c:pt idx="4">
                  <c:v>4901</c:v>
                </c:pt>
                <c:pt idx="5">
                  <c:v>1994</c:v>
                </c:pt>
                <c:pt idx="6">
                  <c:v>2351</c:v>
                </c:pt>
                <c:pt idx="7">
                  <c:v>3405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2-4D7B-83CC-E416BA1E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25%</c:v>
                </c:pt>
                <c:pt idx="5">
                  <c:v>0%</c:v>
                </c:pt>
                <c:pt idx="6">
                  <c:v>47%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0.24909882336938041</c:v>
                </c:pt>
                <c:pt idx="5">
                  <c:v>0</c:v>
                </c:pt>
                <c:pt idx="6">
                  <c:v>0.46912661278888418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5AD-8C5D-DCE6CE1977B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F8-45AD-8C5D-DCE6CE1977B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7.010391796610653E-2</c:v>
                </c:pt>
                <c:pt idx="1">
                  <c:v>7.010391796610653E-2</c:v>
                </c:pt>
                <c:pt idx="2">
                  <c:v>7.010391796610653E-2</c:v>
                </c:pt>
                <c:pt idx="3">
                  <c:v>7.010391796610653E-2</c:v>
                </c:pt>
                <c:pt idx="4">
                  <c:v>7.010391796610653E-2</c:v>
                </c:pt>
                <c:pt idx="5">
                  <c:v>7.010391796610653E-2</c:v>
                </c:pt>
                <c:pt idx="6">
                  <c:v>7.010391796610653E-2</c:v>
                </c:pt>
                <c:pt idx="7">
                  <c:v>7.010391796610653E-2</c:v>
                </c:pt>
                <c:pt idx="8">
                  <c:v>7.010391796610653E-2</c:v>
                </c:pt>
                <c:pt idx="9">
                  <c:v>7.010391796610653E-2</c:v>
                </c:pt>
                <c:pt idx="10">
                  <c:v>7.010391796610653E-2</c:v>
                </c:pt>
                <c:pt idx="11">
                  <c:v>7.010391796610653E-2</c:v>
                </c:pt>
                <c:pt idx="12">
                  <c:v>7.010391796610653E-2</c:v>
                </c:pt>
                <c:pt idx="13">
                  <c:v>7.010391796610653E-2</c:v>
                </c:pt>
                <c:pt idx="14">
                  <c:v>7.010391796610653E-2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8-45AD-8C5D-DCE6CE19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17%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0%</c:v>
                </c:pt>
                <c:pt idx="8">
                  <c:v>0%</c:v>
                </c:pt>
                <c:pt idx="9">
                  <c:v>17%</c:v>
                </c:pt>
                <c:pt idx="10">
                  <c:v>92%</c:v>
                </c:pt>
                <c:pt idx="11">
                  <c:v>17%</c:v>
                </c:pt>
                <c:pt idx="12">
                  <c:v>100%</c:v>
                </c:pt>
                <c:pt idx="13">
                  <c:v>42%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0.16666666666666666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0.91666666666666663</c:v>
                </c:pt>
                <c:pt idx="11">
                  <c:v>0.16643192488262909</c:v>
                </c:pt>
                <c:pt idx="12">
                  <c:v>0.99964788732394361</c:v>
                </c:pt>
                <c:pt idx="13">
                  <c:v>0.41666666666666669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F-47A2-A184-B6A17B70B74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BF-47A2-A184-B6A17B70B7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'01'!$D$6:$D$20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'01'!$AE$6:$AE$20</c:f>
              <c:numCache>
                <c:formatCode>0%</c:formatCode>
                <c:ptCount val="15"/>
                <c:pt idx="0">
                  <c:v>0.38051643192488266</c:v>
                </c:pt>
                <c:pt idx="1">
                  <c:v>0.38051643192488266</c:v>
                </c:pt>
                <c:pt idx="2">
                  <c:v>0.38051643192488266</c:v>
                </c:pt>
                <c:pt idx="3">
                  <c:v>0.38051643192488266</c:v>
                </c:pt>
                <c:pt idx="4">
                  <c:v>0.38051643192488266</c:v>
                </c:pt>
                <c:pt idx="5">
                  <c:v>0.38051643192488266</c:v>
                </c:pt>
                <c:pt idx="6">
                  <c:v>0.38051643192488266</c:v>
                </c:pt>
                <c:pt idx="7">
                  <c:v>0.38051643192488266</c:v>
                </c:pt>
                <c:pt idx="8">
                  <c:v>0.38051643192488266</c:v>
                </c:pt>
                <c:pt idx="9">
                  <c:v>0.38051643192488266</c:v>
                </c:pt>
                <c:pt idx="10">
                  <c:v>0.38051643192488266</c:v>
                </c:pt>
                <c:pt idx="11">
                  <c:v>0.38051643192488266</c:v>
                </c:pt>
                <c:pt idx="12">
                  <c:v>0.38051643192488266</c:v>
                </c:pt>
                <c:pt idx="13">
                  <c:v>0.38051643192488266</c:v>
                </c:pt>
                <c:pt idx="14">
                  <c:v>0.38051643192488266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F-47A2-A184-B6A17B70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'15'!$L$6:$L$20</c:f>
              <c:numCache>
                <c:formatCode>_(* #,##0_);_(* \(#,##0\);_(* "-"_);_(@_)</c:formatCode>
                <c:ptCount val="15"/>
                <c:pt idx="4">
                  <c:v>2930</c:v>
                </c:pt>
                <c:pt idx="6">
                  <c:v>2647</c:v>
                </c:pt>
                <c:pt idx="10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F-44D2-B9A1-1D72FE850063}"/>
            </c:ext>
          </c:extLst>
        </c:ser>
        <c:ser>
          <c:idx val="1"/>
          <c:order val="1"/>
          <c:tx>
            <c:v>계획</c:v>
          </c:tx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1274</c:v>
                </c:pt>
                <c:pt idx="3">
                  <c:v>2920</c:v>
                </c:pt>
                <c:pt idx="4">
                  <c:v>4901</c:v>
                </c:pt>
                <c:pt idx="5">
                  <c:v>1994</c:v>
                </c:pt>
                <c:pt idx="6">
                  <c:v>2351</c:v>
                </c:pt>
                <c:pt idx="7">
                  <c:v>3405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23324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F-44D2-B9A1-1D72FE850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'15'!$AD$6:$AD$20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25%</c:v>
                </c:pt>
                <c:pt idx="5">
                  <c:v>0%</c:v>
                </c:pt>
                <c:pt idx="6">
                  <c:v>47%</c:v>
                </c:pt>
                <c:pt idx="7">
                  <c:v>0%</c:v>
                </c:pt>
                <c:pt idx="8">
                  <c:v>0%</c:v>
                </c:pt>
                <c:pt idx="9">
                  <c:v>0%</c:v>
                </c:pt>
                <c:pt idx="10">
                  <c:v>33%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0.24909882336938041</c:v>
                </c:pt>
                <c:pt idx="5">
                  <c:v>0</c:v>
                </c:pt>
                <c:pt idx="6">
                  <c:v>0.46912661278888418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1-4092-AEB3-27B988FBD1C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41-4092-AEB3-27B988FBD1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'15'!$D$6:$D$20</c:f>
              <c:strCache>
                <c:ptCount val="14"/>
                <c:pt idx="2">
                  <c:v>BOTTOM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'15'!$AE$6:$AE$20</c:f>
              <c:numCache>
                <c:formatCode>0%</c:formatCode>
                <c:ptCount val="15"/>
                <c:pt idx="0">
                  <c:v>7.010391796610653E-2</c:v>
                </c:pt>
                <c:pt idx="1">
                  <c:v>7.010391796610653E-2</c:v>
                </c:pt>
                <c:pt idx="2">
                  <c:v>7.010391796610653E-2</c:v>
                </c:pt>
                <c:pt idx="3">
                  <c:v>7.010391796610653E-2</c:v>
                </c:pt>
                <c:pt idx="4">
                  <c:v>7.010391796610653E-2</c:v>
                </c:pt>
                <c:pt idx="5">
                  <c:v>7.010391796610653E-2</c:v>
                </c:pt>
                <c:pt idx="6">
                  <c:v>7.010391796610653E-2</c:v>
                </c:pt>
                <c:pt idx="7">
                  <c:v>7.010391796610653E-2</c:v>
                </c:pt>
                <c:pt idx="8">
                  <c:v>7.010391796610653E-2</c:v>
                </c:pt>
                <c:pt idx="9">
                  <c:v>7.010391796610653E-2</c:v>
                </c:pt>
                <c:pt idx="10">
                  <c:v>7.010391796610653E-2</c:v>
                </c:pt>
                <c:pt idx="11">
                  <c:v>7.010391796610653E-2</c:v>
                </c:pt>
                <c:pt idx="12">
                  <c:v>7.010391796610653E-2</c:v>
                </c:pt>
                <c:pt idx="13">
                  <c:v>7.010391796610653E-2</c:v>
                </c:pt>
                <c:pt idx="14">
                  <c:v>7.010391796610653E-2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1-4092-AEB3-27B988FBD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7BB-4BF1-9EC3-4BFA5411F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B-4BF1-9EC3-4BFA5411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BB-4BF1-9EC3-4BFA5411F3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B-4BF1-9EC3-4BFA5411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2">
                  <c:v>5684</c:v>
                </c:pt>
                <c:pt idx="4">
                  <c:v>5934</c:v>
                </c:pt>
                <c:pt idx="6">
                  <c:v>5277</c:v>
                </c:pt>
                <c:pt idx="7">
                  <c:v>4689</c:v>
                </c:pt>
                <c:pt idx="14">
                  <c:v>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4352-A351-4B05E5CA4445}"/>
            </c:ext>
          </c:extLst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5684</c:v>
                </c:pt>
                <c:pt idx="3">
                  <c:v>2920</c:v>
                </c:pt>
                <c:pt idx="4">
                  <c:v>5934</c:v>
                </c:pt>
                <c:pt idx="5">
                  <c:v>1994</c:v>
                </c:pt>
                <c:pt idx="6">
                  <c:v>5277</c:v>
                </c:pt>
                <c:pt idx="7">
                  <c:v>4690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1-4352-A351-4B05E5CA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0.99978678038379531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B69-9EC3-5FC80EC09AC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7-4B69-9EC3-5FC80EC09A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0.27498578535891965</c:v>
                </c:pt>
                <c:pt idx="1">
                  <c:v>0.27498578535891965</c:v>
                </c:pt>
                <c:pt idx="2">
                  <c:v>0.27498578535891965</c:v>
                </c:pt>
                <c:pt idx="3">
                  <c:v>0.27498578535891965</c:v>
                </c:pt>
                <c:pt idx="4">
                  <c:v>0.27498578535891965</c:v>
                </c:pt>
                <c:pt idx="5">
                  <c:v>0.27498578535891965</c:v>
                </c:pt>
                <c:pt idx="6">
                  <c:v>0.27498578535891965</c:v>
                </c:pt>
                <c:pt idx="7">
                  <c:v>0.27498578535891965</c:v>
                </c:pt>
                <c:pt idx="8">
                  <c:v>0.27498578535891965</c:v>
                </c:pt>
                <c:pt idx="9">
                  <c:v>0.27498578535891965</c:v>
                </c:pt>
                <c:pt idx="10">
                  <c:v>0.27498578535891965</c:v>
                </c:pt>
                <c:pt idx="11">
                  <c:v>0.27498578535891965</c:v>
                </c:pt>
                <c:pt idx="12">
                  <c:v>0.27498578535891965</c:v>
                </c:pt>
                <c:pt idx="13">
                  <c:v>0.27498578535891965</c:v>
                </c:pt>
                <c:pt idx="14">
                  <c:v>0.27498578535891965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7-4B69-9EC3-5FC80EC0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'17'!$L$6:$L$20</c:f>
              <c:numCache>
                <c:formatCode>_(* #,##0_);_(* \(#,##0\);_(* "-"_);_(@_)</c:formatCode>
                <c:ptCount val="15"/>
                <c:pt idx="2">
                  <c:v>5684</c:v>
                </c:pt>
                <c:pt idx="4">
                  <c:v>5934</c:v>
                </c:pt>
                <c:pt idx="6">
                  <c:v>5277</c:v>
                </c:pt>
                <c:pt idx="7">
                  <c:v>4689</c:v>
                </c:pt>
                <c:pt idx="14">
                  <c:v>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B-4858-99C7-E86CED0E9333}"/>
            </c:ext>
          </c:extLst>
        </c:ser>
        <c:ser>
          <c:idx val="1"/>
          <c:order val="1"/>
          <c:tx>
            <c:v>계획</c:v>
          </c:tx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5684</c:v>
                </c:pt>
                <c:pt idx="3">
                  <c:v>2920</c:v>
                </c:pt>
                <c:pt idx="4">
                  <c:v>5934</c:v>
                </c:pt>
                <c:pt idx="5">
                  <c:v>1994</c:v>
                </c:pt>
                <c:pt idx="6">
                  <c:v>5277</c:v>
                </c:pt>
                <c:pt idx="7">
                  <c:v>4690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796</c:v>
                </c:pt>
                <c:pt idx="14">
                  <c:v>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B-4858-99C7-E86CED0E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63%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0.99978678038379531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4301-BE6F-3B53C0B201A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0F-4301-BE6F-3B53C0B201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'17'!$AE$6:$AE$20</c:f>
              <c:numCache>
                <c:formatCode>0%</c:formatCode>
                <c:ptCount val="15"/>
                <c:pt idx="0">
                  <c:v>0.27498578535891965</c:v>
                </c:pt>
                <c:pt idx="1">
                  <c:v>0.27498578535891965</c:v>
                </c:pt>
                <c:pt idx="2">
                  <c:v>0.27498578535891965</c:v>
                </c:pt>
                <c:pt idx="3">
                  <c:v>0.27498578535891965</c:v>
                </c:pt>
                <c:pt idx="4">
                  <c:v>0.27498578535891965</c:v>
                </c:pt>
                <c:pt idx="5">
                  <c:v>0.27498578535891965</c:v>
                </c:pt>
                <c:pt idx="6">
                  <c:v>0.27498578535891965</c:v>
                </c:pt>
                <c:pt idx="7">
                  <c:v>0.27498578535891965</c:v>
                </c:pt>
                <c:pt idx="8">
                  <c:v>0.27498578535891965</c:v>
                </c:pt>
                <c:pt idx="9">
                  <c:v>0.27498578535891965</c:v>
                </c:pt>
                <c:pt idx="10">
                  <c:v>0.27498578535891965</c:v>
                </c:pt>
                <c:pt idx="11">
                  <c:v>0.27498578535891965</c:v>
                </c:pt>
                <c:pt idx="12">
                  <c:v>0.27498578535891965</c:v>
                </c:pt>
                <c:pt idx="13">
                  <c:v>0.27498578535891965</c:v>
                </c:pt>
                <c:pt idx="14">
                  <c:v>0.27498578535891965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F-4301-BE6F-3B53C0B2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F5E-4316-AC03-4F615E1FD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E-4316-AC03-4F615E1F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5E-4316-AC03-4F615E1FD3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E-4316-AC03-4F615E1F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12042</c:v>
                </c:pt>
                <c:pt idx="4">
                  <c:v>984</c:v>
                </c:pt>
                <c:pt idx="6">
                  <c:v>6037</c:v>
                </c:pt>
                <c:pt idx="7">
                  <c:v>3783</c:v>
                </c:pt>
                <c:pt idx="13">
                  <c:v>10016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6-4732-932E-A1EC11ACC6A1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12050</c:v>
                </c:pt>
                <c:pt idx="3">
                  <c:v>2920</c:v>
                </c:pt>
                <c:pt idx="4">
                  <c:v>1000</c:v>
                </c:pt>
                <c:pt idx="5">
                  <c:v>1994</c:v>
                </c:pt>
                <c:pt idx="6">
                  <c:v>6040</c:v>
                </c:pt>
                <c:pt idx="7">
                  <c:v>3783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10016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6-4732-932E-A1EC11AC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16%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96%</c:v>
                </c:pt>
                <c:pt idx="14">
                  <c:v>17%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0.9993360995850622</c:v>
                </c:pt>
                <c:pt idx="3">
                  <c:v>0</c:v>
                </c:pt>
                <c:pt idx="4">
                  <c:v>0.16399999999999998</c:v>
                </c:pt>
                <c:pt idx="5">
                  <c:v>0</c:v>
                </c:pt>
                <c:pt idx="6">
                  <c:v>0.99950331125827818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0.95833333333333337</c:v>
                </c:pt>
                <c:pt idx="14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3-4B5F-B01F-091F3968659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3-4B5F-B01F-091F396865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0.27196707183400043</c:v>
                </c:pt>
                <c:pt idx="1">
                  <c:v>0.27196707183400043</c:v>
                </c:pt>
                <c:pt idx="2">
                  <c:v>0.27196707183400043</c:v>
                </c:pt>
                <c:pt idx="3">
                  <c:v>0.27196707183400043</c:v>
                </c:pt>
                <c:pt idx="4">
                  <c:v>0.27196707183400043</c:v>
                </c:pt>
                <c:pt idx="5">
                  <c:v>0.27196707183400043</c:v>
                </c:pt>
                <c:pt idx="6">
                  <c:v>0.27196707183400043</c:v>
                </c:pt>
                <c:pt idx="7">
                  <c:v>0.27196707183400043</c:v>
                </c:pt>
                <c:pt idx="8">
                  <c:v>0.27196707183400043</c:v>
                </c:pt>
                <c:pt idx="9">
                  <c:v>0.27196707183400043</c:v>
                </c:pt>
                <c:pt idx="10">
                  <c:v>0.27196707183400043</c:v>
                </c:pt>
                <c:pt idx="11">
                  <c:v>0.27196707183400043</c:v>
                </c:pt>
                <c:pt idx="12">
                  <c:v>0.27196707183400043</c:v>
                </c:pt>
                <c:pt idx="13">
                  <c:v>0.27196707183400043</c:v>
                </c:pt>
                <c:pt idx="14">
                  <c:v>0.27196707183400043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3-4B5F-B01F-091F396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B88-43ED-B50A-22A6A9F403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8-43ED-B50A-22A6A9F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8-43ED-B50A-22A6A9F403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8-43ED-B50A-22A6A9F4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'18'!$L$6:$L$20</c:f>
              <c:numCache>
                <c:formatCode>_(* #,##0_);_(* \(#,##0\);_(* "-"_);_(@_)</c:formatCode>
                <c:ptCount val="15"/>
                <c:pt idx="2">
                  <c:v>12042</c:v>
                </c:pt>
                <c:pt idx="4">
                  <c:v>984</c:v>
                </c:pt>
                <c:pt idx="6">
                  <c:v>6037</c:v>
                </c:pt>
                <c:pt idx="7">
                  <c:v>3783</c:v>
                </c:pt>
                <c:pt idx="13">
                  <c:v>10016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A-4136-A995-B8BDC44B530B}"/>
            </c:ext>
          </c:extLst>
        </c:ser>
        <c:ser>
          <c:idx val="1"/>
          <c:order val="1"/>
          <c:tx>
            <c:v>계획</c:v>
          </c:tx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12050</c:v>
                </c:pt>
                <c:pt idx="3">
                  <c:v>2920</c:v>
                </c:pt>
                <c:pt idx="4">
                  <c:v>1000</c:v>
                </c:pt>
                <c:pt idx="5">
                  <c:v>1994</c:v>
                </c:pt>
                <c:pt idx="6">
                  <c:v>6040</c:v>
                </c:pt>
                <c:pt idx="7">
                  <c:v>3783</c:v>
                </c:pt>
                <c:pt idx="8">
                  <c:v>1068</c:v>
                </c:pt>
                <c:pt idx="9">
                  <c:v>305</c:v>
                </c:pt>
                <c:pt idx="10">
                  <c:v>2970</c:v>
                </c:pt>
                <c:pt idx="11">
                  <c:v>1641</c:v>
                </c:pt>
                <c:pt idx="12">
                  <c:v>4430</c:v>
                </c:pt>
                <c:pt idx="13">
                  <c:v>10016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A-4136-A995-B8BDC44B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16%</c:v>
                </c:pt>
                <c:pt idx="5">
                  <c:v>0%</c:v>
                </c:pt>
                <c:pt idx="6">
                  <c:v>100%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96%</c:v>
                </c:pt>
                <c:pt idx="14">
                  <c:v>17%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0.9993360995850622</c:v>
                </c:pt>
                <c:pt idx="3">
                  <c:v>0</c:v>
                </c:pt>
                <c:pt idx="4">
                  <c:v>0.16399999999999998</c:v>
                </c:pt>
                <c:pt idx="5">
                  <c:v>0</c:v>
                </c:pt>
                <c:pt idx="6">
                  <c:v>0.99950331125827818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0.95833333333333337</c:v>
                </c:pt>
                <c:pt idx="14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3-497C-BC1B-66E7FBC689B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23-497C-BC1B-66E7FBC689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'18'!$D$6:$D$20</c:f>
              <c:strCache>
                <c:ptCount val="14"/>
                <c:pt idx="2">
                  <c:v>STOPPER</c:v>
                </c:pt>
                <c:pt idx="3">
                  <c:v>BASE</c:v>
                </c:pt>
                <c:pt idx="4">
                  <c:v>STOPPER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LATCH</c:v>
                </c:pt>
                <c:pt idx="11">
                  <c:v>ADAPTER</c:v>
                </c:pt>
                <c:pt idx="12">
                  <c:v>ACTUATOR</c:v>
                </c:pt>
                <c:pt idx="13">
                  <c:v>BASE</c:v>
                </c:pt>
              </c:strCache>
            </c:strRef>
          </c:cat>
          <c:val>
            <c:numRef>
              <c:f>'18'!$AE$6:$AE$20</c:f>
              <c:numCache>
                <c:formatCode>0%</c:formatCode>
                <c:ptCount val="15"/>
                <c:pt idx="0">
                  <c:v>0.27196707183400043</c:v>
                </c:pt>
                <c:pt idx="1">
                  <c:v>0.27196707183400043</c:v>
                </c:pt>
                <c:pt idx="2">
                  <c:v>0.27196707183400043</c:v>
                </c:pt>
                <c:pt idx="3">
                  <c:v>0.27196707183400043</c:v>
                </c:pt>
                <c:pt idx="4">
                  <c:v>0.27196707183400043</c:v>
                </c:pt>
                <c:pt idx="5">
                  <c:v>0.27196707183400043</c:v>
                </c:pt>
                <c:pt idx="6">
                  <c:v>0.27196707183400043</c:v>
                </c:pt>
                <c:pt idx="7">
                  <c:v>0.27196707183400043</c:v>
                </c:pt>
                <c:pt idx="8">
                  <c:v>0.27196707183400043</c:v>
                </c:pt>
                <c:pt idx="9">
                  <c:v>0.27196707183400043</c:v>
                </c:pt>
                <c:pt idx="10">
                  <c:v>0.27196707183400043</c:v>
                </c:pt>
                <c:pt idx="11">
                  <c:v>0.27196707183400043</c:v>
                </c:pt>
                <c:pt idx="12">
                  <c:v>0.27196707183400043</c:v>
                </c:pt>
                <c:pt idx="13">
                  <c:v>0.27196707183400043</c:v>
                </c:pt>
                <c:pt idx="14">
                  <c:v>0.27196707183400043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3-497C-BC1B-66E7FBC6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0F1-4D8B-87FE-386387BA9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1-4D8B-87FE-386387BA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1-4D8B-87FE-386387BA90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1-4D8B-87FE-386387BA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3877</c:v>
                </c:pt>
                <c:pt idx="3">
                  <c:v>4221</c:v>
                </c:pt>
                <c:pt idx="4">
                  <c:v>18476</c:v>
                </c:pt>
                <c:pt idx="6">
                  <c:v>3260</c:v>
                </c:pt>
                <c:pt idx="7">
                  <c:v>4929</c:v>
                </c:pt>
                <c:pt idx="10">
                  <c:v>3793</c:v>
                </c:pt>
                <c:pt idx="11">
                  <c:v>3012</c:v>
                </c:pt>
                <c:pt idx="13">
                  <c:v>1792</c:v>
                </c:pt>
                <c:pt idx="14">
                  <c:v>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6-4435-893E-9B42B75EE543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3877</c:v>
                </c:pt>
                <c:pt idx="3">
                  <c:v>4221</c:v>
                </c:pt>
                <c:pt idx="4">
                  <c:v>18476</c:v>
                </c:pt>
                <c:pt idx="5">
                  <c:v>1994</c:v>
                </c:pt>
                <c:pt idx="6">
                  <c:v>3260</c:v>
                </c:pt>
                <c:pt idx="7">
                  <c:v>4930</c:v>
                </c:pt>
                <c:pt idx="8">
                  <c:v>1068</c:v>
                </c:pt>
                <c:pt idx="9">
                  <c:v>305</c:v>
                </c:pt>
                <c:pt idx="10">
                  <c:v>3800</c:v>
                </c:pt>
                <c:pt idx="11">
                  <c:v>3012</c:v>
                </c:pt>
                <c:pt idx="12">
                  <c:v>4430</c:v>
                </c:pt>
                <c:pt idx="13">
                  <c:v>1800</c:v>
                </c:pt>
                <c:pt idx="14">
                  <c:v>5258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6-4435-893E-9B42B75E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92%</c:v>
                </c:pt>
                <c:pt idx="4">
                  <c:v>92%</c:v>
                </c:pt>
                <c:pt idx="5">
                  <c:v>0%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75%</c:v>
                </c:pt>
                <c:pt idx="11">
                  <c:v>71%</c:v>
                </c:pt>
                <c:pt idx="12">
                  <c:v>0%</c:v>
                </c:pt>
                <c:pt idx="13">
                  <c:v>21%</c:v>
                </c:pt>
                <c:pt idx="14">
                  <c:v>58%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</c:v>
                </c:pt>
                <c:pt idx="6">
                  <c:v>0.79166666666666663</c:v>
                </c:pt>
                <c:pt idx="7">
                  <c:v>0.9997971602434077</c:v>
                </c:pt>
                <c:pt idx="8">
                  <c:v>0</c:v>
                </c:pt>
                <c:pt idx="9">
                  <c:v>0</c:v>
                </c:pt>
                <c:pt idx="10">
                  <c:v>0.74861842105263166</c:v>
                </c:pt>
                <c:pt idx="11">
                  <c:v>0.70833333333333337</c:v>
                </c:pt>
                <c:pt idx="12">
                  <c:v>0</c:v>
                </c:pt>
                <c:pt idx="13">
                  <c:v>0.2074074074074074</c:v>
                </c:pt>
                <c:pt idx="14">
                  <c:v>0.58333333333333337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A-49CE-AE27-28779A06AFD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2A-49CE-AE27-28779A06AF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0.44983264369134079</c:v>
                </c:pt>
                <c:pt idx="1">
                  <c:v>0.44983264369134079</c:v>
                </c:pt>
                <c:pt idx="2">
                  <c:v>0.44983264369134079</c:v>
                </c:pt>
                <c:pt idx="3">
                  <c:v>0.44983264369134079</c:v>
                </c:pt>
                <c:pt idx="4">
                  <c:v>0.44983264369134079</c:v>
                </c:pt>
                <c:pt idx="5">
                  <c:v>0.44983264369134079</c:v>
                </c:pt>
                <c:pt idx="6">
                  <c:v>0.44983264369134079</c:v>
                </c:pt>
                <c:pt idx="7">
                  <c:v>0.44983264369134079</c:v>
                </c:pt>
                <c:pt idx="8">
                  <c:v>0.44983264369134079</c:v>
                </c:pt>
                <c:pt idx="9">
                  <c:v>0.44983264369134079</c:v>
                </c:pt>
                <c:pt idx="10">
                  <c:v>0.44983264369134079</c:v>
                </c:pt>
                <c:pt idx="11">
                  <c:v>0.44983264369134079</c:v>
                </c:pt>
                <c:pt idx="12">
                  <c:v>0.44983264369134079</c:v>
                </c:pt>
                <c:pt idx="13">
                  <c:v>0.44983264369134079</c:v>
                </c:pt>
                <c:pt idx="14">
                  <c:v>0.44983264369134079</c:v>
                </c:pt>
                <c:pt idx="15">
                  <c:v>0.44983264369134079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A-49CE-AE27-28779A06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3877</c:v>
                </c:pt>
                <c:pt idx="3">
                  <c:v>4221</c:v>
                </c:pt>
                <c:pt idx="4">
                  <c:v>18476</c:v>
                </c:pt>
                <c:pt idx="6">
                  <c:v>3260</c:v>
                </c:pt>
                <c:pt idx="7">
                  <c:v>4929</c:v>
                </c:pt>
                <c:pt idx="10">
                  <c:v>3793</c:v>
                </c:pt>
                <c:pt idx="11">
                  <c:v>3012</c:v>
                </c:pt>
                <c:pt idx="13">
                  <c:v>1792</c:v>
                </c:pt>
                <c:pt idx="14">
                  <c:v>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F-458C-B5E3-8D82DB5CEF5B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36840</c:v>
                </c:pt>
                <c:pt idx="1">
                  <c:v>800</c:v>
                </c:pt>
                <c:pt idx="2">
                  <c:v>3877</c:v>
                </c:pt>
                <c:pt idx="3">
                  <c:v>4221</c:v>
                </c:pt>
                <c:pt idx="4">
                  <c:v>18476</c:v>
                </c:pt>
                <c:pt idx="5">
                  <c:v>1994</c:v>
                </c:pt>
                <c:pt idx="6">
                  <c:v>3260</c:v>
                </c:pt>
                <c:pt idx="7">
                  <c:v>4930</c:v>
                </c:pt>
                <c:pt idx="8">
                  <c:v>1068</c:v>
                </c:pt>
                <c:pt idx="9">
                  <c:v>305</c:v>
                </c:pt>
                <c:pt idx="10">
                  <c:v>3800</c:v>
                </c:pt>
                <c:pt idx="11">
                  <c:v>3012</c:v>
                </c:pt>
                <c:pt idx="12">
                  <c:v>4430</c:v>
                </c:pt>
                <c:pt idx="13">
                  <c:v>1800</c:v>
                </c:pt>
                <c:pt idx="14">
                  <c:v>5258</c:v>
                </c:pt>
                <c:pt idx="15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F-458C-B5E3-8D82DB5C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92%</c:v>
                </c:pt>
                <c:pt idx="4">
                  <c:v>92%</c:v>
                </c:pt>
                <c:pt idx="5">
                  <c:v>0%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75%</c:v>
                </c:pt>
                <c:pt idx="11">
                  <c:v>71%</c:v>
                </c:pt>
                <c:pt idx="12">
                  <c:v>0%</c:v>
                </c:pt>
                <c:pt idx="13">
                  <c:v>21%</c:v>
                </c:pt>
                <c:pt idx="14">
                  <c:v>58%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</c:v>
                </c:pt>
                <c:pt idx="6">
                  <c:v>0.79166666666666663</c:v>
                </c:pt>
                <c:pt idx="7">
                  <c:v>0.9997971602434077</c:v>
                </c:pt>
                <c:pt idx="8">
                  <c:v>0</c:v>
                </c:pt>
                <c:pt idx="9">
                  <c:v>0</c:v>
                </c:pt>
                <c:pt idx="10">
                  <c:v>0.74861842105263166</c:v>
                </c:pt>
                <c:pt idx="11">
                  <c:v>0.70833333333333337</c:v>
                </c:pt>
                <c:pt idx="12">
                  <c:v>0</c:v>
                </c:pt>
                <c:pt idx="13">
                  <c:v>0.2074074074074074</c:v>
                </c:pt>
                <c:pt idx="14">
                  <c:v>0.58333333333333337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412-BEF1-823ADA1C794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CD-4412-BEF1-823ADA1C794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ACTUATOR</c:v>
                </c:pt>
                <c:pt idx="13">
                  <c:v>BASE</c:v>
                </c:pt>
                <c:pt idx="14">
                  <c:v>LATCH PLATE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0.44983264369134079</c:v>
                </c:pt>
                <c:pt idx="1">
                  <c:v>0.44983264369134079</c:v>
                </c:pt>
                <c:pt idx="2">
                  <c:v>0.44983264369134079</c:v>
                </c:pt>
                <c:pt idx="3">
                  <c:v>0.44983264369134079</c:v>
                </c:pt>
                <c:pt idx="4">
                  <c:v>0.44983264369134079</c:v>
                </c:pt>
                <c:pt idx="5">
                  <c:v>0.44983264369134079</c:v>
                </c:pt>
                <c:pt idx="6">
                  <c:v>0.44983264369134079</c:v>
                </c:pt>
                <c:pt idx="7">
                  <c:v>0.44983264369134079</c:v>
                </c:pt>
                <c:pt idx="8">
                  <c:v>0.44983264369134079</c:v>
                </c:pt>
                <c:pt idx="9">
                  <c:v>0.44983264369134079</c:v>
                </c:pt>
                <c:pt idx="10">
                  <c:v>0.44983264369134079</c:v>
                </c:pt>
                <c:pt idx="11">
                  <c:v>0.44983264369134079</c:v>
                </c:pt>
                <c:pt idx="12">
                  <c:v>0.44983264369134079</c:v>
                </c:pt>
                <c:pt idx="13">
                  <c:v>0.44983264369134079</c:v>
                </c:pt>
                <c:pt idx="14">
                  <c:v>0.44983264369134079</c:v>
                </c:pt>
                <c:pt idx="15">
                  <c:v>0.44983264369134079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412-BEF1-823ADA1C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534-400B-AC28-3D89203A2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4-400B-AC28-3D89203A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34-400B-AC28-3D89203A22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4-400B-AC28-3D89203A2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2">
                  <c:v>5128</c:v>
                </c:pt>
                <c:pt idx="3">
                  <c:v>3147</c:v>
                </c:pt>
                <c:pt idx="4">
                  <c:v>20620</c:v>
                </c:pt>
                <c:pt idx="5">
                  <c:v>3410</c:v>
                </c:pt>
                <c:pt idx="6">
                  <c:v>4720</c:v>
                </c:pt>
                <c:pt idx="7">
                  <c:v>3804</c:v>
                </c:pt>
                <c:pt idx="10">
                  <c:v>5289</c:v>
                </c:pt>
                <c:pt idx="11">
                  <c:v>2941</c:v>
                </c:pt>
                <c:pt idx="12">
                  <c:v>4727</c:v>
                </c:pt>
                <c:pt idx="13">
                  <c:v>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C19-A1F5-9E40354C5295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5128</c:v>
                </c:pt>
                <c:pt idx="3">
                  <c:v>3147</c:v>
                </c:pt>
                <c:pt idx="4">
                  <c:v>20620</c:v>
                </c:pt>
                <c:pt idx="5">
                  <c:v>3410</c:v>
                </c:pt>
                <c:pt idx="6">
                  <c:v>4720</c:v>
                </c:pt>
                <c:pt idx="7">
                  <c:v>3804</c:v>
                </c:pt>
                <c:pt idx="8">
                  <c:v>1068</c:v>
                </c:pt>
                <c:pt idx="9">
                  <c:v>305</c:v>
                </c:pt>
                <c:pt idx="10">
                  <c:v>5289</c:v>
                </c:pt>
                <c:pt idx="11">
                  <c:v>2941</c:v>
                </c:pt>
                <c:pt idx="12">
                  <c:v>4727</c:v>
                </c:pt>
                <c:pt idx="13">
                  <c:v>9064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8-4C19-A1F5-9E40354C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100%</c:v>
                </c:pt>
                <c:pt idx="5">
                  <c:v>75%</c:v>
                </c:pt>
                <c:pt idx="6">
                  <c:v>88%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58%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0.75</c:v>
                </c:pt>
                <c:pt idx="6">
                  <c:v>0.875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0.58333333333333337</c:v>
                </c:pt>
                <c:pt idx="12">
                  <c:v>0.95833333333333337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3BE-B73D-F2C5C7E3DDD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8-43BE-B73D-F2C5C7E3DD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0.57499999999999996</c:v>
                </c:pt>
                <c:pt idx="1">
                  <c:v>0.57499999999999996</c:v>
                </c:pt>
                <c:pt idx="2">
                  <c:v>0.57499999999999996</c:v>
                </c:pt>
                <c:pt idx="3">
                  <c:v>0.57499999999999996</c:v>
                </c:pt>
                <c:pt idx="4">
                  <c:v>0.57499999999999996</c:v>
                </c:pt>
                <c:pt idx="5">
                  <c:v>0.57499999999999996</c:v>
                </c:pt>
                <c:pt idx="6">
                  <c:v>0.57499999999999996</c:v>
                </c:pt>
                <c:pt idx="7">
                  <c:v>0.57499999999999996</c:v>
                </c:pt>
                <c:pt idx="8">
                  <c:v>0.57499999999999996</c:v>
                </c:pt>
                <c:pt idx="9">
                  <c:v>0.57499999999999996</c:v>
                </c:pt>
                <c:pt idx="10">
                  <c:v>0.57499999999999996</c:v>
                </c:pt>
                <c:pt idx="11">
                  <c:v>0.57499999999999996</c:v>
                </c:pt>
                <c:pt idx="12">
                  <c:v>0.57499999999999996</c:v>
                </c:pt>
                <c:pt idx="13">
                  <c:v>0.57499999999999996</c:v>
                </c:pt>
                <c:pt idx="14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8-43BE-B73D-F2C5C7E3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'03'!$L$6:$L$20</c:f>
              <c:numCache>
                <c:formatCode>_(* #,##0_);_(* \(#,##0\);_(* "-"_);_(@_)</c:formatCode>
                <c:ptCount val="15"/>
                <c:pt idx="2">
                  <c:v>5823</c:v>
                </c:pt>
                <c:pt idx="5">
                  <c:v>5221</c:v>
                </c:pt>
                <c:pt idx="6">
                  <c:v>5982</c:v>
                </c:pt>
                <c:pt idx="7">
                  <c:v>544</c:v>
                </c:pt>
                <c:pt idx="10">
                  <c:v>3891</c:v>
                </c:pt>
                <c:pt idx="12">
                  <c:v>3647</c:v>
                </c:pt>
                <c:pt idx="13">
                  <c:v>4285</c:v>
                </c:pt>
                <c:pt idx="14">
                  <c:v>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4-4093-B876-F58B37BAF196}"/>
            </c:ext>
          </c:extLst>
        </c:ser>
        <c:ser>
          <c:idx val="1"/>
          <c:order val="1"/>
          <c:tx>
            <c:v>계획</c:v>
          </c:tx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5823</c:v>
                </c:pt>
                <c:pt idx="3">
                  <c:v>640</c:v>
                </c:pt>
                <c:pt idx="4">
                  <c:v>903</c:v>
                </c:pt>
                <c:pt idx="5">
                  <c:v>5221</c:v>
                </c:pt>
                <c:pt idx="6">
                  <c:v>5982</c:v>
                </c:pt>
                <c:pt idx="7">
                  <c:v>544</c:v>
                </c:pt>
                <c:pt idx="8">
                  <c:v>1068</c:v>
                </c:pt>
                <c:pt idx="9">
                  <c:v>500</c:v>
                </c:pt>
                <c:pt idx="10">
                  <c:v>3891</c:v>
                </c:pt>
                <c:pt idx="11">
                  <c:v>710</c:v>
                </c:pt>
                <c:pt idx="12">
                  <c:v>3647</c:v>
                </c:pt>
                <c:pt idx="13">
                  <c:v>4285</c:v>
                </c:pt>
                <c:pt idx="14">
                  <c:v>21900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4-4093-B876-F58B37BA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'20'!$L$6:$L$20</c:f>
              <c:numCache>
                <c:formatCode>_(* #,##0_);_(* \(#,##0\);_(* "-"_);_(@_)</c:formatCode>
                <c:ptCount val="15"/>
                <c:pt idx="2">
                  <c:v>5128</c:v>
                </c:pt>
                <c:pt idx="3">
                  <c:v>3147</c:v>
                </c:pt>
                <c:pt idx="4">
                  <c:v>20620</c:v>
                </c:pt>
                <c:pt idx="5">
                  <c:v>3410</c:v>
                </c:pt>
                <c:pt idx="6">
                  <c:v>4720</c:v>
                </c:pt>
                <c:pt idx="7">
                  <c:v>3804</c:v>
                </c:pt>
                <c:pt idx="10">
                  <c:v>5289</c:v>
                </c:pt>
                <c:pt idx="11">
                  <c:v>2941</c:v>
                </c:pt>
                <c:pt idx="12">
                  <c:v>4727</c:v>
                </c:pt>
                <c:pt idx="13">
                  <c:v>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9-425A-BFDB-B7B698055003}"/>
            </c:ext>
          </c:extLst>
        </c:ser>
        <c:ser>
          <c:idx val="1"/>
          <c:order val="1"/>
          <c:tx>
            <c:v>계획</c:v>
          </c:tx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5128</c:v>
                </c:pt>
                <c:pt idx="3">
                  <c:v>3147</c:v>
                </c:pt>
                <c:pt idx="4">
                  <c:v>20620</c:v>
                </c:pt>
                <c:pt idx="5">
                  <c:v>3410</c:v>
                </c:pt>
                <c:pt idx="6">
                  <c:v>4720</c:v>
                </c:pt>
                <c:pt idx="7">
                  <c:v>3804</c:v>
                </c:pt>
                <c:pt idx="8">
                  <c:v>1068</c:v>
                </c:pt>
                <c:pt idx="9">
                  <c:v>305</c:v>
                </c:pt>
                <c:pt idx="10">
                  <c:v>5289</c:v>
                </c:pt>
                <c:pt idx="11">
                  <c:v>2941</c:v>
                </c:pt>
                <c:pt idx="12">
                  <c:v>4727</c:v>
                </c:pt>
                <c:pt idx="13">
                  <c:v>9064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9-425A-BFDB-B7B698055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67%</c:v>
                </c:pt>
                <c:pt idx="4">
                  <c:v>100%</c:v>
                </c:pt>
                <c:pt idx="5">
                  <c:v>75%</c:v>
                </c:pt>
                <c:pt idx="6">
                  <c:v>88%</c:v>
                </c:pt>
                <c:pt idx="7">
                  <c:v>79%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58%</c:v>
                </c:pt>
                <c:pt idx="12">
                  <c:v>96%</c:v>
                </c:pt>
                <c:pt idx="13">
                  <c:v>100%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0.75</c:v>
                </c:pt>
                <c:pt idx="6">
                  <c:v>0.875</c:v>
                </c:pt>
                <c:pt idx="7">
                  <c:v>0.79166666666666663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0.58333333333333337</c:v>
                </c:pt>
                <c:pt idx="12">
                  <c:v>0.95833333333333337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4183-AB43-DC8B149B5D8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92-4183-AB43-DC8B149B5D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'20'!$D$6:$D$20</c:f>
              <c:strCache>
                <c:ptCount val="14"/>
                <c:pt idx="2">
                  <c:v>COVER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'20'!$AE$6:$AE$20</c:f>
              <c:numCache>
                <c:formatCode>0%</c:formatCode>
                <c:ptCount val="15"/>
                <c:pt idx="0">
                  <c:v>0.57499999999999996</c:v>
                </c:pt>
                <c:pt idx="1">
                  <c:v>0.57499999999999996</c:v>
                </c:pt>
                <c:pt idx="2">
                  <c:v>0.57499999999999996</c:v>
                </c:pt>
                <c:pt idx="3">
                  <c:v>0.57499999999999996</c:v>
                </c:pt>
                <c:pt idx="4">
                  <c:v>0.57499999999999996</c:v>
                </c:pt>
                <c:pt idx="5">
                  <c:v>0.57499999999999996</c:v>
                </c:pt>
                <c:pt idx="6">
                  <c:v>0.57499999999999996</c:v>
                </c:pt>
                <c:pt idx="7">
                  <c:v>0.57499999999999996</c:v>
                </c:pt>
                <c:pt idx="8">
                  <c:v>0.57499999999999996</c:v>
                </c:pt>
                <c:pt idx="9">
                  <c:v>0.57499999999999996</c:v>
                </c:pt>
                <c:pt idx="10">
                  <c:v>0.57499999999999996</c:v>
                </c:pt>
                <c:pt idx="11">
                  <c:v>0.57499999999999996</c:v>
                </c:pt>
                <c:pt idx="12">
                  <c:v>0.57499999999999996</c:v>
                </c:pt>
                <c:pt idx="13">
                  <c:v>0.57499999999999996</c:v>
                </c:pt>
                <c:pt idx="14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2-4183-AB43-DC8B149B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A67-466B-B871-62008E4885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7-466B-B871-62008E48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67-466B-B871-62008E4885E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7-466B-B871-62008E48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10132</c:v>
                </c:pt>
                <c:pt idx="3">
                  <c:v>3226</c:v>
                </c:pt>
                <c:pt idx="4">
                  <c:v>17546</c:v>
                </c:pt>
                <c:pt idx="6">
                  <c:v>3841</c:v>
                </c:pt>
                <c:pt idx="7">
                  <c:v>2130</c:v>
                </c:pt>
                <c:pt idx="10">
                  <c:v>2810</c:v>
                </c:pt>
                <c:pt idx="11">
                  <c:v>4054</c:v>
                </c:pt>
                <c:pt idx="12">
                  <c:v>4828</c:v>
                </c:pt>
                <c:pt idx="13">
                  <c:v>10434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9-486B-A618-F6169A26BEFB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10132</c:v>
                </c:pt>
                <c:pt idx="3">
                  <c:v>3226</c:v>
                </c:pt>
                <c:pt idx="4">
                  <c:v>17546</c:v>
                </c:pt>
                <c:pt idx="5">
                  <c:v>3410</c:v>
                </c:pt>
                <c:pt idx="6">
                  <c:v>3841</c:v>
                </c:pt>
                <c:pt idx="7">
                  <c:v>2130</c:v>
                </c:pt>
                <c:pt idx="8">
                  <c:v>1068</c:v>
                </c:pt>
                <c:pt idx="9">
                  <c:v>305</c:v>
                </c:pt>
                <c:pt idx="10">
                  <c:v>2810</c:v>
                </c:pt>
                <c:pt idx="11">
                  <c:v>4054</c:v>
                </c:pt>
                <c:pt idx="12">
                  <c:v>4828</c:v>
                </c:pt>
                <c:pt idx="13">
                  <c:v>10434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9-486B-A618-F6169A26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75%</c:v>
                </c:pt>
                <c:pt idx="4">
                  <c:v>83%</c:v>
                </c:pt>
                <c:pt idx="5">
                  <c:v>0%</c:v>
                </c:pt>
                <c:pt idx="6">
                  <c:v>75%</c:v>
                </c:pt>
                <c:pt idx="7">
                  <c:v>46%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79%</c:v>
                </c:pt>
                <c:pt idx="12">
                  <c:v>100%</c:v>
                </c:pt>
                <c:pt idx="13">
                  <c:v>88%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0.75</c:v>
                </c:pt>
                <c:pt idx="4">
                  <c:v>0.83333333333333337</c:v>
                </c:pt>
                <c:pt idx="5">
                  <c:v>0</c:v>
                </c:pt>
                <c:pt idx="6">
                  <c:v>0.75</c:v>
                </c:pt>
                <c:pt idx="7">
                  <c:v>0.45833333333333331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0.79166666666666663</c:v>
                </c:pt>
                <c:pt idx="12">
                  <c:v>1</c:v>
                </c:pt>
                <c:pt idx="13">
                  <c:v>0.875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E59-8B85-63178C891C0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51-4E59-8B85-63178C891C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0.46111111111111114</c:v>
                </c:pt>
                <c:pt idx="1">
                  <c:v>0.46111111111111114</c:v>
                </c:pt>
                <c:pt idx="2">
                  <c:v>0.46111111111111114</c:v>
                </c:pt>
                <c:pt idx="3">
                  <c:v>0.46111111111111114</c:v>
                </c:pt>
                <c:pt idx="4">
                  <c:v>0.46111111111111114</c:v>
                </c:pt>
                <c:pt idx="5">
                  <c:v>0.46111111111111114</c:v>
                </c:pt>
                <c:pt idx="6">
                  <c:v>0.46111111111111114</c:v>
                </c:pt>
                <c:pt idx="7">
                  <c:v>0.46111111111111114</c:v>
                </c:pt>
                <c:pt idx="8">
                  <c:v>0.46111111111111114</c:v>
                </c:pt>
                <c:pt idx="9">
                  <c:v>0.46111111111111114</c:v>
                </c:pt>
                <c:pt idx="10">
                  <c:v>0.46111111111111114</c:v>
                </c:pt>
                <c:pt idx="11">
                  <c:v>0.46111111111111114</c:v>
                </c:pt>
                <c:pt idx="12">
                  <c:v>0.46111111111111114</c:v>
                </c:pt>
                <c:pt idx="13">
                  <c:v>0.46111111111111114</c:v>
                </c:pt>
                <c:pt idx="14">
                  <c:v>0.46111111111111114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1-4E59-8B85-63178C891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'21'!$L$6:$L$20</c:f>
              <c:numCache>
                <c:formatCode>_(* #,##0_);_(* \(#,##0\);_(* "-"_);_(@_)</c:formatCode>
                <c:ptCount val="15"/>
                <c:pt idx="2">
                  <c:v>10132</c:v>
                </c:pt>
                <c:pt idx="3">
                  <c:v>3226</c:v>
                </c:pt>
                <c:pt idx="4">
                  <c:v>17546</c:v>
                </c:pt>
                <c:pt idx="6">
                  <c:v>3841</c:v>
                </c:pt>
                <c:pt idx="7">
                  <c:v>2130</c:v>
                </c:pt>
                <c:pt idx="10">
                  <c:v>2810</c:v>
                </c:pt>
                <c:pt idx="11">
                  <c:v>4054</c:v>
                </c:pt>
                <c:pt idx="12">
                  <c:v>4828</c:v>
                </c:pt>
                <c:pt idx="13">
                  <c:v>10434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7-41B9-9799-D075FD096FFB}"/>
            </c:ext>
          </c:extLst>
        </c:ser>
        <c:ser>
          <c:idx val="1"/>
          <c:order val="1"/>
          <c:tx>
            <c:v>계획</c:v>
          </c:tx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10132</c:v>
                </c:pt>
                <c:pt idx="3">
                  <c:v>3226</c:v>
                </c:pt>
                <c:pt idx="4">
                  <c:v>17546</c:v>
                </c:pt>
                <c:pt idx="5">
                  <c:v>3410</c:v>
                </c:pt>
                <c:pt idx="6">
                  <c:v>3841</c:v>
                </c:pt>
                <c:pt idx="7">
                  <c:v>2130</c:v>
                </c:pt>
                <c:pt idx="8">
                  <c:v>1068</c:v>
                </c:pt>
                <c:pt idx="9">
                  <c:v>305</c:v>
                </c:pt>
                <c:pt idx="10">
                  <c:v>2810</c:v>
                </c:pt>
                <c:pt idx="11">
                  <c:v>4054</c:v>
                </c:pt>
                <c:pt idx="12">
                  <c:v>4828</c:v>
                </c:pt>
                <c:pt idx="13">
                  <c:v>10434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41B9-9799-D075FD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88%</c:v>
                </c:pt>
                <c:pt idx="3">
                  <c:v>75%</c:v>
                </c:pt>
                <c:pt idx="4">
                  <c:v>83%</c:v>
                </c:pt>
                <c:pt idx="5">
                  <c:v>0%</c:v>
                </c:pt>
                <c:pt idx="6">
                  <c:v>75%</c:v>
                </c:pt>
                <c:pt idx="7">
                  <c:v>46%</c:v>
                </c:pt>
                <c:pt idx="8">
                  <c:v>0%</c:v>
                </c:pt>
                <c:pt idx="9">
                  <c:v>0%</c:v>
                </c:pt>
                <c:pt idx="10">
                  <c:v>58%</c:v>
                </c:pt>
                <c:pt idx="11">
                  <c:v>79%</c:v>
                </c:pt>
                <c:pt idx="12">
                  <c:v>100%</c:v>
                </c:pt>
                <c:pt idx="13">
                  <c:v>88%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0.875</c:v>
                </c:pt>
                <c:pt idx="3">
                  <c:v>0.75</c:v>
                </c:pt>
                <c:pt idx="4">
                  <c:v>0.83333333333333337</c:v>
                </c:pt>
                <c:pt idx="5">
                  <c:v>0</c:v>
                </c:pt>
                <c:pt idx="6">
                  <c:v>0.75</c:v>
                </c:pt>
                <c:pt idx="7">
                  <c:v>0.45833333333333331</c:v>
                </c:pt>
                <c:pt idx="8">
                  <c:v>0</c:v>
                </c:pt>
                <c:pt idx="9">
                  <c:v>0</c:v>
                </c:pt>
                <c:pt idx="10">
                  <c:v>0.58333333333333337</c:v>
                </c:pt>
                <c:pt idx="11">
                  <c:v>0.79166666666666663</c:v>
                </c:pt>
                <c:pt idx="12">
                  <c:v>1</c:v>
                </c:pt>
                <c:pt idx="13">
                  <c:v>0.875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3-4CF2-87C3-E1D623F33C0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43-4CF2-87C3-E1D623F33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ADAPTER</c:v>
                </c:pt>
                <c:pt idx="6">
                  <c:v>STOPPER</c:v>
                </c:pt>
                <c:pt idx="7">
                  <c:v>LEAD GUIDE</c:v>
                </c:pt>
                <c:pt idx="8">
                  <c:v>BASE</c:v>
                </c:pt>
                <c:pt idx="10">
                  <c:v>BODY</c:v>
                </c:pt>
                <c:pt idx="11">
                  <c:v>F/ADAPTER</c:v>
                </c:pt>
                <c:pt idx="12">
                  <c:v>BASE</c:v>
                </c:pt>
                <c:pt idx="13">
                  <c:v>LATCH PLATE</c:v>
                </c:pt>
              </c:strCache>
            </c:strRef>
          </c:cat>
          <c:val>
            <c:numRef>
              <c:f>'21'!$AE$6:$AE$20</c:f>
              <c:numCache>
                <c:formatCode>0%</c:formatCode>
                <c:ptCount val="15"/>
                <c:pt idx="0">
                  <c:v>0.46111111111111114</c:v>
                </c:pt>
                <c:pt idx="1">
                  <c:v>0.46111111111111114</c:v>
                </c:pt>
                <c:pt idx="2">
                  <c:v>0.46111111111111114</c:v>
                </c:pt>
                <c:pt idx="3">
                  <c:v>0.46111111111111114</c:v>
                </c:pt>
                <c:pt idx="4">
                  <c:v>0.46111111111111114</c:v>
                </c:pt>
                <c:pt idx="5">
                  <c:v>0.46111111111111114</c:v>
                </c:pt>
                <c:pt idx="6">
                  <c:v>0.46111111111111114</c:v>
                </c:pt>
                <c:pt idx="7">
                  <c:v>0.46111111111111114</c:v>
                </c:pt>
                <c:pt idx="8">
                  <c:v>0.46111111111111114</c:v>
                </c:pt>
                <c:pt idx="9">
                  <c:v>0.46111111111111114</c:v>
                </c:pt>
                <c:pt idx="10">
                  <c:v>0.46111111111111114</c:v>
                </c:pt>
                <c:pt idx="11">
                  <c:v>0.46111111111111114</c:v>
                </c:pt>
                <c:pt idx="12">
                  <c:v>0.46111111111111114</c:v>
                </c:pt>
                <c:pt idx="13">
                  <c:v>0.46111111111111114</c:v>
                </c:pt>
                <c:pt idx="14">
                  <c:v>0.46111111111111114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3-4CF2-87C3-E1D623F3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E6A-493D-BCF5-7FA3E426C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A-493D-BCF5-7FA3E426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6A-493D-BCF5-7FA3E426C7E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A-493D-BCF5-7FA3E426C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2">
                  <c:v>11782</c:v>
                </c:pt>
                <c:pt idx="3">
                  <c:v>5248</c:v>
                </c:pt>
                <c:pt idx="5">
                  <c:v>5687</c:v>
                </c:pt>
                <c:pt idx="6">
                  <c:v>5543</c:v>
                </c:pt>
                <c:pt idx="7">
                  <c:v>4333</c:v>
                </c:pt>
                <c:pt idx="10">
                  <c:v>1168</c:v>
                </c:pt>
                <c:pt idx="11">
                  <c:v>3687</c:v>
                </c:pt>
                <c:pt idx="12">
                  <c:v>4404</c:v>
                </c:pt>
                <c:pt idx="13">
                  <c:v>4340</c:v>
                </c:pt>
                <c:pt idx="14">
                  <c:v>1336</c:v>
                </c:pt>
                <c:pt idx="15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2-446E-A979-0F33C4B16C08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11782</c:v>
                </c:pt>
                <c:pt idx="3">
                  <c:v>5248</c:v>
                </c:pt>
                <c:pt idx="4">
                  <c:v>17546</c:v>
                </c:pt>
                <c:pt idx="5">
                  <c:v>5687</c:v>
                </c:pt>
                <c:pt idx="6">
                  <c:v>5543</c:v>
                </c:pt>
                <c:pt idx="7">
                  <c:v>4333</c:v>
                </c:pt>
                <c:pt idx="8">
                  <c:v>1068</c:v>
                </c:pt>
                <c:pt idx="9">
                  <c:v>305</c:v>
                </c:pt>
                <c:pt idx="10">
                  <c:v>1168</c:v>
                </c:pt>
                <c:pt idx="11">
                  <c:v>3687</c:v>
                </c:pt>
                <c:pt idx="12">
                  <c:v>4404</c:v>
                </c:pt>
                <c:pt idx="13">
                  <c:v>4340</c:v>
                </c:pt>
                <c:pt idx="14">
                  <c:v>1336</c:v>
                </c:pt>
                <c:pt idx="15">
                  <c:v>4420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2-446E-A979-0F33C4B1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96%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25%</c:v>
                </c:pt>
                <c:pt idx="11">
                  <c:v>71%</c:v>
                </c:pt>
                <c:pt idx="12">
                  <c:v>83%</c:v>
                </c:pt>
                <c:pt idx="13">
                  <c:v>88%</c:v>
                </c:pt>
                <c:pt idx="14">
                  <c:v>13%</c:v>
                </c:pt>
                <c:pt idx="15">
                  <c:v>75%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0.95833333333333337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0.83333333333333337</c:v>
                </c:pt>
                <c:pt idx="13">
                  <c:v>0.875</c:v>
                </c:pt>
                <c:pt idx="14">
                  <c:v>0.125</c:v>
                </c:pt>
                <c:pt idx="15">
                  <c:v>0.75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A-4A0F-B5EB-084B46737FD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0A-4A0F-B5EB-084B46737FD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0.55833333333333335</c:v>
                </c:pt>
                <c:pt idx="1">
                  <c:v>0.55833333333333335</c:v>
                </c:pt>
                <c:pt idx="2">
                  <c:v>0.55833333333333335</c:v>
                </c:pt>
                <c:pt idx="3">
                  <c:v>0.55833333333333335</c:v>
                </c:pt>
                <c:pt idx="4">
                  <c:v>0.55833333333333335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0.55833333333333335</c:v>
                </c:pt>
                <c:pt idx="10">
                  <c:v>0.55833333333333335</c:v>
                </c:pt>
                <c:pt idx="11">
                  <c:v>0.55833333333333335</c:v>
                </c:pt>
                <c:pt idx="12">
                  <c:v>0.55833333333333335</c:v>
                </c:pt>
                <c:pt idx="13">
                  <c:v>0.55833333333333335</c:v>
                </c:pt>
                <c:pt idx="14">
                  <c:v>0.55833333333333335</c:v>
                </c:pt>
                <c:pt idx="15">
                  <c:v>0.55833333333333335</c:v>
                </c:pt>
                <c:pt idx="16">
                  <c:v>0.55833333333333335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A-4A0F-B5EB-084B4673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100%</c:v>
                </c:pt>
                <c:pt idx="6">
                  <c:v>100%</c:v>
                </c:pt>
                <c:pt idx="7">
                  <c:v>17%</c:v>
                </c:pt>
                <c:pt idx="8">
                  <c:v>0%</c:v>
                </c:pt>
                <c:pt idx="9">
                  <c:v>0%</c:v>
                </c:pt>
                <c:pt idx="10">
                  <c:v>79%</c:v>
                </c:pt>
                <c:pt idx="11">
                  <c:v>0%</c:v>
                </c:pt>
                <c:pt idx="12">
                  <c:v>75%</c:v>
                </c:pt>
                <c:pt idx="13">
                  <c:v>88%</c:v>
                </c:pt>
                <c:pt idx="14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0.79166666666666663</c:v>
                </c:pt>
                <c:pt idx="11">
                  <c:v>0</c:v>
                </c:pt>
                <c:pt idx="12">
                  <c:v>0.75</c:v>
                </c:pt>
                <c:pt idx="13">
                  <c:v>0.875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3-4785-8051-43A39C5B31B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73-4785-8051-43A39C5B31B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'03'!$D$6:$D$20</c:f>
              <c:strCache>
                <c:ptCount val="14"/>
                <c:pt idx="2">
                  <c:v>STOPPER</c:v>
                </c:pt>
                <c:pt idx="3">
                  <c:v>SLIDER</c:v>
                </c:pt>
                <c:pt idx="4">
                  <c:v>ACTUATOR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9">
                  <c:v>ADAPTER</c:v>
                </c:pt>
                <c:pt idx="10">
                  <c:v>LEAD GUIDE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</c:strCache>
            </c:strRef>
          </c:cat>
          <c:val>
            <c:numRef>
              <c:f>'03'!$AE$6:$AE$20</c:f>
              <c:numCache>
                <c:formatCode>0%</c:formatCode>
                <c:ptCount val="15"/>
                <c:pt idx="0">
                  <c:v>0.40555555555555556</c:v>
                </c:pt>
                <c:pt idx="1">
                  <c:v>0.40555555555555556</c:v>
                </c:pt>
                <c:pt idx="2">
                  <c:v>0.40555555555555556</c:v>
                </c:pt>
                <c:pt idx="3">
                  <c:v>0.40555555555555556</c:v>
                </c:pt>
                <c:pt idx="4">
                  <c:v>0.40555555555555556</c:v>
                </c:pt>
                <c:pt idx="5">
                  <c:v>0.40555555555555556</c:v>
                </c:pt>
                <c:pt idx="6">
                  <c:v>0.40555555555555556</c:v>
                </c:pt>
                <c:pt idx="7">
                  <c:v>0.40555555555555556</c:v>
                </c:pt>
                <c:pt idx="8">
                  <c:v>0.40555555555555556</c:v>
                </c:pt>
                <c:pt idx="9">
                  <c:v>0.40555555555555556</c:v>
                </c:pt>
                <c:pt idx="10">
                  <c:v>0.40555555555555556</c:v>
                </c:pt>
                <c:pt idx="11">
                  <c:v>0.40555555555555556</c:v>
                </c:pt>
                <c:pt idx="12">
                  <c:v>0.40555555555555556</c:v>
                </c:pt>
                <c:pt idx="13">
                  <c:v>0.40555555555555556</c:v>
                </c:pt>
                <c:pt idx="14">
                  <c:v>0.40555555555555556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3-4785-8051-43A39C5B3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'27'!$L$6:$L$22</c:f>
              <c:numCache>
                <c:formatCode>_(* #,##0_);_(* \(#,##0\);_(* "-"_);_(@_)</c:formatCode>
                <c:ptCount val="17"/>
                <c:pt idx="2">
                  <c:v>11782</c:v>
                </c:pt>
                <c:pt idx="3">
                  <c:v>5248</c:v>
                </c:pt>
                <c:pt idx="5">
                  <c:v>5687</c:v>
                </c:pt>
                <c:pt idx="6">
                  <c:v>5543</c:v>
                </c:pt>
                <c:pt idx="7">
                  <c:v>4333</c:v>
                </c:pt>
                <c:pt idx="10">
                  <c:v>1168</c:v>
                </c:pt>
                <c:pt idx="11">
                  <c:v>3687</c:v>
                </c:pt>
                <c:pt idx="12">
                  <c:v>4404</c:v>
                </c:pt>
                <c:pt idx="13">
                  <c:v>4340</c:v>
                </c:pt>
                <c:pt idx="14">
                  <c:v>1336</c:v>
                </c:pt>
                <c:pt idx="15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7-4E58-BD4A-F69A212EF5DE}"/>
            </c:ext>
          </c:extLst>
        </c:ser>
        <c:ser>
          <c:idx val="1"/>
          <c:order val="1"/>
          <c:tx>
            <c:v>계획</c:v>
          </c:tx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'27'!$J$6:$J$22</c:f>
              <c:numCache>
                <c:formatCode>_(* #,##0_);_(* \(#,##0\);_(* "-"_);_(@_)</c:formatCode>
                <c:ptCount val="17"/>
                <c:pt idx="0">
                  <c:v>36840</c:v>
                </c:pt>
                <c:pt idx="1">
                  <c:v>800</c:v>
                </c:pt>
                <c:pt idx="2">
                  <c:v>11782</c:v>
                </c:pt>
                <c:pt idx="3">
                  <c:v>5248</c:v>
                </c:pt>
                <c:pt idx="4">
                  <c:v>17546</c:v>
                </c:pt>
                <c:pt idx="5">
                  <c:v>5687</c:v>
                </c:pt>
                <c:pt idx="6">
                  <c:v>5543</c:v>
                </c:pt>
                <c:pt idx="7">
                  <c:v>4333</c:v>
                </c:pt>
                <c:pt idx="8">
                  <c:v>1068</c:v>
                </c:pt>
                <c:pt idx="9">
                  <c:v>305</c:v>
                </c:pt>
                <c:pt idx="10">
                  <c:v>1168</c:v>
                </c:pt>
                <c:pt idx="11">
                  <c:v>3687</c:v>
                </c:pt>
                <c:pt idx="12">
                  <c:v>4404</c:v>
                </c:pt>
                <c:pt idx="13">
                  <c:v>4340</c:v>
                </c:pt>
                <c:pt idx="14">
                  <c:v>1336</c:v>
                </c:pt>
                <c:pt idx="15">
                  <c:v>4420</c:v>
                </c:pt>
                <c:pt idx="16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7-4E58-BD4A-F69A212EF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100%</c:v>
                </c:pt>
                <c:pt idx="4">
                  <c:v>0%</c:v>
                </c:pt>
                <c:pt idx="5">
                  <c:v>100%</c:v>
                </c:pt>
                <c:pt idx="6">
                  <c:v>96%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25%</c:v>
                </c:pt>
                <c:pt idx="11">
                  <c:v>71%</c:v>
                </c:pt>
                <c:pt idx="12">
                  <c:v>83%</c:v>
                </c:pt>
                <c:pt idx="13">
                  <c:v>88%</c:v>
                </c:pt>
                <c:pt idx="14">
                  <c:v>13%</c:v>
                </c:pt>
                <c:pt idx="15">
                  <c:v>75%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0.95833333333333337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0.70833333333333337</c:v>
                </c:pt>
                <c:pt idx="12">
                  <c:v>0.83333333333333337</c:v>
                </c:pt>
                <c:pt idx="13">
                  <c:v>0.875</c:v>
                </c:pt>
                <c:pt idx="14">
                  <c:v>0.125</c:v>
                </c:pt>
                <c:pt idx="15">
                  <c:v>0.75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E-474D-8DE1-7A52BE8583AA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3E-474D-8DE1-7A52BE8583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'27'!$D$6:$D$22</c:f>
              <c:strCache>
                <c:ptCount val="16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STOPPER</c:v>
                </c:pt>
                <c:pt idx="11">
                  <c:v>COVER</c:v>
                </c:pt>
                <c:pt idx="12">
                  <c:v>F/ADAPTER</c:v>
                </c:pt>
                <c:pt idx="13">
                  <c:v>SLIDER</c:v>
                </c:pt>
                <c:pt idx="14">
                  <c:v>LATCH PLATE</c:v>
                </c:pt>
                <c:pt idx="15">
                  <c:v>LEAD GUIDE</c:v>
                </c:pt>
              </c:strCache>
            </c:strRef>
          </c:cat>
          <c:val>
            <c:numRef>
              <c:f>'27'!$AE$6:$AE$22</c:f>
              <c:numCache>
                <c:formatCode>0%</c:formatCode>
                <c:ptCount val="17"/>
                <c:pt idx="0">
                  <c:v>0.55833333333333335</c:v>
                </c:pt>
                <c:pt idx="1">
                  <c:v>0.55833333333333335</c:v>
                </c:pt>
                <c:pt idx="2">
                  <c:v>0.55833333333333335</c:v>
                </c:pt>
                <c:pt idx="3">
                  <c:v>0.55833333333333335</c:v>
                </c:pt>
                <c:pt idx="4">
                  <c:v>0.55833333333333335</c:v>
                </c:pt>
                <c:pt idx="5">
                  <c:v>0.55833333333333335</c:v>
                </c:pt>
                <c:pt idx="6">
                  <c:v>0.55833333333333335</c:v>
                </c:pt>
                <c:pt idx="7">
                  <c:v>0.55833333333333335</c:v>
                </c:pt>
                <c:pt idx="8">
                  <c:v>0.55833333333333335</c:v>
                </c:pt>
                <c:pt idx="9">
                  <c:v>0.55833333333333335</c:v>
                </c:pt>
                <c:pt idx="10">
                  <c:v>0.55833333333333335</c:v>
                </c:pt>
                <c:pt idx="11">
                  <c:v>0.55833333333333335</c:v>
                </c:pt>
                <c:pt idx="12">
                  <c:v>0.55833333333333335</c:v>
                </c:pt>
                <c:pt idx="13">
                  <c:v>0.55833333333333335</c:v>
                </c:pt>
                <c:pt idx="14">
                  <c:v>0.55833333333333335</c:v>
                </c:pt>
                <c:pt idx="15">
                  <c:v>0.55833333333333335</c:v>
                </c:pt>
                <c:pt idx="16">
                  <c:v>0.55833333333333335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E-474D-8DE1-7A52BE85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D13-4355-8607-A9A82A06B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3-4355-8607-A9A82A06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13-4355-8607-A9A82A06B60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3-4355-8607-A9A82A06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13156</c:v>
                </c:pt>
                <c:pt idx="5">
                  <c:v>2357</c:v>
                </c:pt>
                <c:pt idx="6">
                  <c:v>2850</c:v>
                </c:pt>
                <c:pt idx="7">
                  <c:v>5489</c:v>
                </c:pt>
                <c:pt idx="10">
                  <c:v>5870</c:v>
                </c:pt>
                <c:pt idx="11">
                  <c:v>2081</c:v>
                </c:pt>
                <c:pt idx="12">
                  <c:v>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8-46AF-A90D-E4812B8E16E2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13156</c:v>
                </c:pt>
                <c:pt idx="3">
                  <c:v>5248</c:v>
                </c:pt>
                <c:pt idx="4">
                  <c:v>17546</c:v>
                </c:pt>
                <c:pt idx="5">
                  <c:v>2357</c:v>
                </c:pt>
                <c:pt idx="6">
                  <c:v>2850</c:v>
                </c:pt>
                <c:pt idx="7">
                  <c:v>5490</c:v>
                </c:pt>
                <c:pt idx="8">
                  <c:v>1068</c:v>
                </c:pt>
                <c:pt idx="9">
                  <c:v>305</c:v>
                </c:pt>
                <c:pt idx="10">
                  <c:v>5870</c:v>
                </c:pt>
                <c:pt idx="11">
                  <c:v>2081</c:v>
                </c:pt>
                <c:pt idx="12">
                  <c:v>5496</c:v>
                </c:pt>
                <c:pt idx="13">
                  <c:v>4420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8-46AF-A90D-E4812B8E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50%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42%</c:v>
                </c:pt>
                <c:pt idx="12">
                  <c:v>100%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0.58333333333333337</c:v>
                </c:pt>
                <c:pt idx="7">
                  <c:v>0.99981785063752282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0.41666666666666669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F74-85F5-E357A766105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E0-4F74-85F5-E357A76610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0.36665452337583487</c:v>
                </c:pt>
                <c:pt idx="1">
                  <c:v>0.36665452337583487</c:v>
                </c:pt>
                <c:pt idx="2">
                  <c:v>0.36665452337583487</c:v>
                </c:pt>
                <c:pt idx="3">
                  <c:v>0.36665452337583487</c:v>
                </c:pt>
                <c:pt idx="4">
                  <c:v>0.36665452337583487</c:v>
                </c:pt>
                <c:pt idx="5">
                  <c:v>0.36665452337583487</c:v>
                </c:pt>
                <c:pt idx="6">
                  <c:v>0.36665452337583487</c:v>
                </c:pt>
                <c:pt idx="7">
                  <c:v>0.36665452337583487</c:v>
                </c:pt>
                <c:pt idx="8">
                  <c:v>0.36665452337583487</c:v>
                </c:pt>
                <c:pt idx="9">
                  <c:v>0.36665452337583487</c:v>
                </c:pt>
                <c:pt idx="10">
                  <c:v>0.36665452337583487</c:v>
                </c:pt>
                <c:pt idx="11">
                  <c:v>0.36665452337583487</c:v>
                </c:pt>
                <c:pt idx="12">
                  <c:v>0.36665452337583487</c:v>
                </c:pt>
                <c:pt idx="13">
                  <c:v>0.36665452337583487</c:v>
                </c:pt>
                <c:pt idx="14">
                  <c:v>0.36665452337583487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0-4F74-85F5-E357A766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'28'!$L$6:$L$20</c:f>
              <c:numCache>
                <c:formatCode>_(* #,##0_);_(* \(#,##0\);_(* "-"_);_(@_)</c:formatCode>
                <c:ptCount val="15"/>
                <c:pt idx="2">
                  <c:v>13156</c:v>
                </c:pt>
                <c:pt idx="5">
                  <c:v>2357</c:v>
                </c:pt>
                <c:pt idx="6">
                  <c:v>2850</c:v>
                </c:pt>
                <c:pt idx="7">
                  <c:v>5489</c:v>
                </c:pt>
                <c:pt idx="10">
                  <c:v>5870</c:v>
                </c:pt>
                <c:pt idx="11">
                  <c:v>2081</c:v>
                </c:pt>
                <c:pt idx="12">
                  <c:v>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2-450E-B44E-E6998BD74F8F}"/>
            </c:ext>
          </c:extLst>
        </c:ser>
        <c:ser>
          <c:idx val="1"/>
          <c:order val="1"/>
          <c:tx>
            <c:v>계획</c:v>
          </c:tx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'28'!$J$6:$J$20</c:f>
              <c:numCache>
                <c:formatCode>_(* #,##0_);_(* \(#,##0\);_(* "-"_);_(@_)</c:formatCode>
                <c:ptCount val="15"/>
                <c:pt idx="0">
                  <c:v>36840</c:v>
                </c:pt>
                <c:pt idx="1">
                  <c:v>800</c:v>
                </c:pt>
                <c:pt idx="2">
                  <c:v>13156</c:v>
                </c:pt>
                <c:pt idx="3">
                  <c:v>5248</c:v>
                </c:pt>
                <c:pt idx="4">
                  <c:v>17546</c:v>
                </c:pt>
                <c:pt idx="5">
                  <c:v>2357</c:v>
                </c:pt>
                <c:pt idx="6">
                  <c:v>2850</c:v>
                </c:pt>
                <c:pt idx="7">
                  <c:v>5490</c:v>
                </c:pt>
                <c:pt idx="8">
                  <c:v>1068</c:v>
                </c:pt>
                <c:pt idx="9">
                  <c:v>305</c:v>
                </c:pt>
                <c:pt idx="10">
                  <c:v>5870</c:v>
                </c:pt>
                <c:pt idx="11">
                  <c:v>2081</c:v>
                </c:pt>
                <c:pt idx="12">
                  <c:v>5496</c:v>
                </c:pt>
                <c:pt idx="13">
                  <c:v>4420</c:v>
                </c:pt>
                <c:pt idx="14">
                  <c:v>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2-450E-B44E-E6998BD7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'28'!$AD$6:$AD$20</c:f>
              <c:strCache>
                <c:ptCount val="15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50%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42%</c:v>
                </c:pt>
                <c:pt idx="12">
                  <c:v>100%</c:v>
                </c:pt>
                <c:pt idx="13">
                  <c:v>0%</c:v>
                </c:pt>
                <c:pt idx="14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'28'!$AD$6:$AD$20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0.58333333333333337</c:v>
                </c:pt>
                <c:pt idx="7">
                  <c:v>0.99981785063752282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0.41666666666666669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2F9-A717-2A32105620F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2B-42F9-A717-2A32105620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'28'!$D$6:$D$20</c:f>
              <c:strCache>
                <c:ptCount val="14"/>
                <c:pt idx="2">
                  <c:v>LATCH</c:v>
                </c:pt>
                <c:pt idx="3">
                  <c:v>SLIDER</c:v>
                </c:pt>
                <c:pt idx="4">
                  <c:v>SEPARATOR</c:v>
                </c:pt>
                <c:pt idx="5">
                  <c:v>SLIDER</c:v>
                </c:pt>
                <c:pt idx="6">
                  <c:v>STOPPER</c:v>
                </c:pt>
                <c:pt idx="7">
                  <c:v>BASE</c:v>
                </c:pt>
                <c:pt idx="8">
                  <c:v>BASE</c:v>
                </c:pt>
                <c:pt idx="10">
                  <c:v>COVER</c:v>
                </c:pt>
                <c:pt idx="11">
                  <c:v>F/ADAPTER</c:v>
                </c:pt>
                <c:pt idx="12">
                  <c:v>SLIDER</c:v>
                </c:pt>
                <c:pt idx="13">
                  <c:v>LEAD GUIDE</c:v>
                </c:pt>
              </c:strCache>
            </c:strRef>
          </c:cat>
          <c:val>
            <c:numRef>
              <c:f>'28'!$AE$6:$AE$20</c:f>
              <c:numCache>
                <c:formatCode>0%</c:formatCode>
                <c:ptCount val="15"/>
                <c:pt idx="0">
                  <c:v>0.36665452337583487</c:v>
                </c:pt>
                <c:pt idx="1">
                  <c:v>0.36665452337583487</c:v>
                </c:pt>
                <c:pt idx="2">
                  <c:v>0.36665452337583487</c:v>
                </c:pt>
                <c:pt idx="3">
                  <c:v>0.36665452337583487</c:v>
                </c:pt>
                <c:pt idx="4">
                  <c:v>0.36665452337583487</c:v>
                </c:pt>
                <c:pt idx="5">
                  <c:v>0.36665452337583487</c:v>
                </c:pt>
                <c:pt idx="6">
                  <c:v>0.36665452337583487</c:v>
                </c:pt>
                <c:pt idx="7">
                  <c:v>0.36665452337583487</c:v>
                </c:pt>
                <c:pt idx="8">
                  <c:v>0.36665452337583487</c:v>
                </c:pt>
                <c:pt idx="9">
                  <c:v>0.36665452337583487</c:v>
                </c:pt>
                <c:pt idx="10">
                  <c:v>0.36665452337583487</c:v>
                </c:pt>
                <c:pt idx="11">
                  <c:v>0.36665452337583487</c:v>
                </c:pt>
                <c:pt idx="12">
                  <c:v>0.36665452337583487</c:v>
                </c:pt>
                <c:pt idx="13">
                  <c:v>0.36665452337583487</c:v>
                </c:pt>
                <c:pt idx="14">
                  <c:v>0.36665452337583487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2F9-A717-2A321056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09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총괄!$A$18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E95-4D70-911C-F698C292B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총괄!$B$18:$AG$18</c:f>
              <c:numCache>
                <c:formatCode>0%</c:formatCode>
                <c:ptCount val="32"/>
                <c:pt idx="0">
                  <c:v>0.38051643192488266</c:v>
                </c:pt>
                <c:pt idx="2">
                  <c:v>0.40555555555555556</c:v>
                </c:pt>
                <c:pt idx="3">
                  <c:v>0.41928710513296785</c:v>
                </c:pt>
                <c:pt idx="4">
                  <c:v>0.36383881543931368</c:v>
                </c:pt>
                <c:pt idx="5">
                  <c:v>0.35831649831649831</c:v>
                </c:pt>
                <c:pt idx="6">
                  <c:v>0.3388684640522876</c:v>
                </c:pt>
                <c:pt idx="9">
                  <c:v>0.35832727272727272</c:v>
                </c:pt>
                <c:pt idx="10">
                  <c:v>0.28885613389719228</c:v>
                </c:pt>
                <c:pt idx="11">
                  <c:v>0.40829647993674129</c:v>
                </c:pt>
                <c:pt idx="12">
                  <c:v>0.33887621461765949</c:v>
                </c:pt>
                <c:pt idx="13">
                  <c:v>0.29712519025875195</c:v>
                </c:pt>
                <c:pt idx="14">
                  <c:v>7.010391796610653E-2</c:v>
                </c:pt>
                <c:pt idx="16">
                  <c:v>0.27498578535891965</c:v>
                </c:pt>
                <c:pt idx="17">
                  <c:v>0.27196707183400043</c:v>
                </c:pt>
                <c:pt idx="18">
                  <c:v>0.44983264369134079</c:v>
                </c:pt>
                <c:pt idx="19">
                  <c:v>0.57499999999999996</c:v>
                </c:pt>
                <c:pt idx="20">
                  <c:v>0.46111111111111114</c:v>
                </c:pt>
                <c:pt idx="26">
                  <c:v>0.55833333333333335</c:v>
                </c:pt>
                <c:pt idx="27">
                  <c:v>0.36665452337583487</c:v>
                </c:pt>
                <c:pt idx="31">
                  <c:v>0.23286175161765901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5-4D70-911C-F698C292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spPr/>
              <c:txPr>
                <a:bodyPr/>
                <a:lstStyle/>
                <a:p>
                  <a:pPr>
                    <a:defRPr sz="20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5-4D70-911C-F698C292B6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총괄!$B$19:$AG$19</c:f>
              <c:numCache>
                <c:formatCode>0%</c:formatCode>
                <c:ptCount val="3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5-4D70-911C-F698C292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16</xdr:col>
      <xdr:colOff>66675</xdr:colOff>
      <xdr:row>31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19</xdr:row>
      <xdr:rowOff>123825</xdr:rowOff>
    </xdr:from>
    <xdr:to>
      <xdr:col>32</xdr:col>
      <xdr:colOff>371474</xdr:colOff>
      <xdr:row>31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E872EF-DE7B-4C3F-B553-BBE399E3D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2AE269E-D449-4D02-B9BD-19466C62A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015638C-2E4B-47D5-A736-B6176E7E5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09957A4-46E3-41BA-B126-582FD673A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3CF94B-C0F7-4A7D-946B-6C1EA46E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4F1F561-8711-43A6-B1B9-F64C9C457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0C56B7C-028D-4E85-9E63-A8DE6CD7E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0F331C-387C-432D-A308-96BC97AD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B1D5AD5-C2A5-4542-833F-721290F7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AFEFA89-2F8A-48B3-BB95-D5DA01CA0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16D59-1656-41BB-9216-986DC46BE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492ABFA-B5C4-4D3C-9EFB-7957D350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0F62212-6A25-4825-8F79-C932DFD4B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EA7AB6-45FE-43E3-946F-0E90C2521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31CB6-49CD-439D-BF1B-A8287A4E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660B83D-CDBC-46BD-A554-E3DB1D3A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98F34AE-ED3C-4241-8F12-F0D68891B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57CB5BD-4589-485E-93FE-BD55B70A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846929F-A4A1-42D8-B7FC-7F14057CC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6C2DB8A-B1EA-4A98-8294-3E6C80743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BD82799-81AE-4BF7-BB7D-226F16A88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212F46-D50E-47E0-ADA5-E0AF9BAC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CE01C65-77B8-434D-B704-2DE8945D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2CC8B3E-1489-4D10-812F-DBFAA0629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37421A6-ADC4-4291-B327-F2E4CDCF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94FF756-7F60-416A-8127-CBBB58ECD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1BD72752-B0B7-4785-9AFC-9967DCE56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FA3D07C-C0BF-463B-8690-B7FFB8B0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E0C71E-4378-47D0-8CDC-B70FD8C1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53CA0C-61FF-4775-B205-B53B06ADC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35C0C5C-C41A-46D4-9F21-AB2BA6BB3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3E73FD-90BB-48B7-9C37-EB7B1BCD9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04F939-1CB0-4A47-9A03-C62AA7687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F136E0D-5C87-40C5-BAFA-43991706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16AE55F-2753-48D0-B22C-FFE97A81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949A84-8FF8-4676-9271-B5395BC5F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8157F43-6D95-40CC-9E1A-49FB3F66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CB40FB0-6BE6-4271-82AF-90BF85294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157BD5-5F73-47BF-9B81-79FBDEE3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57B20C3-7E74-4DEC-881C-EE1DA829C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F1E2F10-3609-4E0F-9AF4-14C9E8CB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476BB6C-2A8E-4401-8811-2F5F9B79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809883-416A-4E92-9662-A3698BBF5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E8C4BE-0363-4D79-AC22-65582763B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DD14215-65C5-4A16-914B-2B2500E59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87EA7E-2133-4C38-8D6C-F90E2971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E3182C-718B-4F46-85AE-501049B5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3594685-7154-429C-A533-02A2EDC39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3DBF105-33F7-4875-A172-0D3C307BA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C00E421-D672-4D8C-9C96-61A9F829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0B0ED0-B67D-432D-9337-66EC94B69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DE45539-7009-4688-B14F-3C1015319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E7089EB-46EC-4CDC-8545-972CE45F0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B79B373-475F-4E9C-B0F5-4421746D1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B0F6B22-85C9-4CD7-8896-CF78EEDCB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9A966C2-2779-486B-8264-9A5DE1F9D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34B7D4-A7FD-402F-BBC1-D00EB7FA8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1A2A7F4-955E-4182-A348-2EB367F2F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95DE3C3-5A66-4413-B71E-0B30410F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09932EF-4068-4DA5-A8D3-2D91F56D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DFBC33-3BCB-4063-82B3-FB7A1166B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55CEE6B-0685-4470-B82B-89F92EE66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FE6138F-F291-466A-8B2C-1B8853ED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EC514F-DA71-4AF0-B2C5-AD4A5FE9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05A879-4EAF-4FE7-B5EE-8A2E9102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459F094-9EED-47B4-8D60-58AD9FC24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BF1EE2-7410-4CE7-9E98-9F13A5FEE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0007669-EF8A-4210-B890-B2EA6E89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0D279BE-92F9-4EF0-B08E-131AF7751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7658E9A-14E8-4549-BCFC-95F45038B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2AC690-FD66-4AC0-9092-864BEB1BC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F3A6C8-FC2D-4ABF-B8E6-6FF0E016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1A419F5-8011-44FF-A076-42B58A7C4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B6E6E35-4CC8-48D3-9939-D33868FE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5CF5A5E-86B4-44D5-881F-DB5CDABF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F86CA36-4CD5-40D3-96D0-788A4658C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D11547-EC55-4DD3-A1CA-4778B7CCC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BAEB6B-FFB0-4B0E-AE4F-8146552DF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6B1BC2F-2660-424F-B224-B89FEC36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E1198E9-DC53-4283-A916-D291EAB77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CA6E5D-0DAC-4D9F-AE57-529D7B87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9781418-CE9F-4AE5-B9D1-B2E464871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2B1AED1-DE92-41C6-A44B-AB1DA3038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59FAD90-81AE-41AD-AB84-C3A51EEF9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91EA65-2332-4CB9-BA9B-08FEB161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9BE2B4-F6A7-4C23-A112-1FADB91F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10AD13C-F65C-4C85-ADAB-305040B1E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4EBC28-AFC7-43E6-9FF4-1852CE07E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418FC73-666E-4D3C-82B6-D3FBBE504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7877D0A-663F-4F97-8BD8-A8BB160F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F4AEBF-5ECF-4389-B69E-8A94A3804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49B168-CA34-4017-988D-8FF176B72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B7D22E-FDB6-4CD3-9D94-275F19597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1C4165A-5647-4880-8E9B-C170A6F85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21A15A-51E2-4829-A553-2578B74A9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B9C9746-BC17-4EE2-A680-0561F24A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0286E90B-107D-42C2-8FAC-46179D03A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117C18A-429F-4640-8F5D-AA84A541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D80DF9-7A16-4EFD-B3E1-847B5D61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B1F6FE0-01A9-4D8C-96F4-7E6A9740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605D87B-341A-43DA-8952-BE6AE7308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E92D6BA-ACC2-4D39-81F4-2EA9E303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F07C53-1D14-400E-B956-EF5202E3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34B62BC-A4F5-4E1E-8E01-058BA35C9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1E94FA7-1E0B-4C76-AED6-8458CEBF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26458</xdr:colOff>
      <xdr:row>52</xdr:row>
      <xdr:rowOff>251354</xdr:rowOff>
    </xdr:from>
    <xdr:to>
      <xdr:col>26</xdr:col>
      <xdr:colOff>171979</xdr:colOff>
      <xdr:row>58</xdr:row>
      <xdr:rowOff>105833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BF5EC1-6A1B-4A65-B99D-E93644E40D46}"/>
            </a:ext>
          </a:extLst>
        </xdr:cNvPr>
        <xdr:cNvSpPr txBox="1"/>
      </xdr:nvSpPr>
      <xdr:spPr>
        <a:xfrm>
          <a:off x="13877396" y="16576146"/>
          <a:ext cx="6548437" cy="1918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800" b="1"/>
            <a:t>셈플작업</a:t>
          </a:r>
          <a:endParaRPr lang="en-US" altLang="ko-KR" sz="1800" b="1"/>
        </a:p>
        <a:p>
          <a:pPr algn="ctr"/>
          <a:r>
            <a:rPr lang="en-US" altLang="ko-KR" sz="1800" b="1"/>
            <a:t>HICON 3</a:t>
          </a:r>
          <a:r>
            <a:rPr lang="ko-KR" altLang="en-US" sz="1800" b="1"/>
            <a:t>종</a:t>
          </a:r>
          <a:endParaRPr lang="en-US" altLang="ko-KR" sz="1800" b="1"/>
        </a:p>
        <a:p>
          <a:pPr algn="ctr"/>
          <a:r>
            <a:rPr lang="en-US" altLang="ko-KR" sz="1800" b="1"/>
            <a:t>SST</a:t>
          </a:r>
          <a:r>
            <a:rPr lang="en-US" altLang="ko-KR" sz="1800" b="1" baseline="0"/>
            <a:t> 2</a:t>
          </a:r>
          <a:r>
            <a:rPr lang="ko-KR" altLang="en-US" sz="1800" b="1" baseline="0"/>
            <a:t>종</a:t>
          </a:r>
          <a:endParaRPr lang="en-US" altLang="ko-KR" sz="1800" b="1" baseline="0"/>
        </a:p>
      </xdr:txBody>
    </xdr:sp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DC0F80-9AA7-4DB9-8834-66BB224B2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01E569-03BC-467A-96A8-A93FDF28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055329B-4EAD-4559-A219-686D6184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FEB434-F811-46CB-90A2-9D1A0BB8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A7C8333-BAE8-4DAE-80F4-F99DA3FD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B050CB7-8CAA-4919-9BA4-338355E7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0E06A42-FFC0-4E32-9206-566F5F56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CBC473-5D9B-4FD1-AFCD-B91D9CDFB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F3E6404-B2D8-4E3C-A05B-DBDC46BC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D3BC206-83CE-4949-B78F-016DCA86F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17FC52-756F-47A1-B0CA-95307647A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72F93BF-B4BB-4305-84FF-F592E29C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8830A02-CF04-4384-ADBF-97E933AC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8156F6D-739A-427E-B50C-718FDF24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5F76F8-7A93-4710-B610-E4DE1AC0D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790580-7FEC-4702-8A03-FA0823A4B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4BECA7C-8F40-4DBB-9D6B-1C89448B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E49155C-E0E7-49D5-A1B5-68B520E8E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82CE633-9B8B-412B-B4F4-400A5FD89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63C7D3C-B263-4332-9D85-AA604F02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179AF5-C0D3-4347-8631-502021DCD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84DE4E-4A64-4731-AFF8-46B05259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157E73-E6F7-43A0-87EE-3AF234F4F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E97956EC-048A-4B05-ABEE-6BEF3315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23</xdr:row>
      <xdr:rowOff>0</xdr:rowOff>
    </xdr:from>
    <xdr:to>
      <xdr:col>12</xdr:col>
      <xdr:colOff>1199028</xdr:colOff>
      <xdr:row>36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1E4DD4-A168-467C-AD38-E9E8489F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29</xdr:col>
      <xdr:colOff>457200</xdr:colOff>
      <xdr:row>36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0617B3C-FC5E-4B7F-8A4E-7FDD0E998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9672739-929E-45DF-A020-6C0A0714C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0178" y="54428"/>
          <a:ext cx="3111953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37</xdr:row>
      <xdr:rowOff>13607</xdr:rowOff>
    </xdr:from>
    <xdr:to>
      <xdr:col>29</xdr:col>
      <xdr:colOff>476250</xdr:colOff>
      <xdr:row>45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CFBA519-F63E-4ACB-A1FA-1947690F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19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6" sqref="AE6"/>
    </sheetView>
  </sheetViews>
  <sheetFormatPr defaultRowHeight="13.5"/>
  <cols>
    <col min="1" max="1" width="7.5" style="74" bestFit="1" customWidth="1"/>
    <col min="2" max="17" width="5.5" style="74" bestFit="1" customWidth="1"/>
    <col min="18" max="18" width="6" style="74" customWidth="1"/>
    <col min="19" max="33" width="5.5" style="74" bestFit="1" customWidth="1"/>
    <col min="34" max="16384" width="9" style="74"/>
  </cols>
  <sheetData>
    <row r="1" spans="1:33" ht="33.75" customHeight="1" thickBot="1">
      <c r="A1" s="325" t="s">
        <v>171</v>
      </c>
      <c r="B1" s="325"/>
      <c r="C1" s="325"/>
      <c r="D1" s="325"/>
      <c r="E1" s="325"/>
      <c r="F1" s="325"/>
      <c r="G1" s="325"/>
      <c r="H1" s="325"/>
    </row>
    <row r="2" spans="1:33" ht="21.75" customHeight="1" thickBot="1">
      <c r="A2" s="95" t="s">
        <v>59</v>
      </c>
      <c r="B2" s="97" t="s">
        <v>74</v>
      </c>
      <c r="C2" s="98" t="s">
        <v>75</v>
      </c>
      <c r="D2" s="98" t="s">
        <v>76</v>
      </c>
      <c r="E2" s="98" t="s">
        <v>77</v>
      </c>
      <c r="F2" s="98" t="s">
        <v>78</v>
      </c>
      <c r="G2" s="98" t="s">
        <v>79</v>
      </c>
      <c r="H2" s="98" t="s">
        <v>80</v>
      </c>
      <c r="I2" s="98" t="s">
        <v>81</v>
      </c>
      <c r="J2" s="98" t="s">
        <v>82</v>
      </c>
      <c r="K2" s="98" t="s">
        <v>83</v>
      </c>
      <c r="L2" s="98" t="s">
        <v>84</v>
      </c>
      <c r="M2" s="98" t="s">
        <v>85</v>
      </c>
      <c r="N2" s="98" t="s">
        <v>86</v>
      </c>
      <c r="O2" s="98" t="s">
        <v>87</v>
      </c>
      <c r="P2" s="98" t="s">
        <v>88</v>
      </c>
      <c r="Q2" s="98" t="s">
        <v>89</v>
      </c>
      <c r="R2" s="98" t="s">
        <v>90</v>
      </c>
      <c r="S2" s="98" t="s">
        <v>91</v>
      </c>
      <c r="T2" s="98" t="s">
        <v>92</v>
      </c>
      <c r="U2" s="98" t="s">
        <v>93</v>
      </c>
      <c r="V2" s="98" t="s">
        <v>94</v>
      </c>
      <c r="W2" s="98" t="s">
        <v>95</v>
      </c>
      <c r="X2" s="98" t="s">
        <v>96</v>
      </c>
      <c r="Y2" s="98" t="s">
        <v>97</v>
      </c>
      <c r="Z2" s="98" t="s">
        <v>98</v>
      </c>
      <c r="AA2" s="98" t="s">
        <v>99</v>
      </c>
      <c r="AB2" s="98" t="s">
        <v>100</v>
      </c>
      <c r="AC2" s="98" t="s">
        <v>101</v>
      </c>
      <c r="AD2" s="98" t="s">
        <v>102</v>
      </c>
      <c r="AE2" s="98" t="s">
        <v>103</v>
      </c>
      <c r="AF2" s="99" t="s">
        <v>104</v>
      </c>
      <c r="AG2" s="95" t="s">
        <v>106</v>
      </c>
    </row>
    <row r="3" spans="1:33" ht="21.75" customHeight="1">
      <c r="A3" s="115" t="s">
        <v>60</v>
      </c>
      <c r="B3" s="110">
        <f>'01'!AD6</f>
        <v>0</v>
      </c>
      <c r="C3" s="110"/>
      <c r="D3" s="103">
        <f>'03'!AD6</f>
        <v>0</v>
      </c>
      <c r="E3" s="103">
        <f>'04'!AD6</f>
        <v>0</v>
      </c>
      <c r="F3" s="103">
        <f>'05'!AD6</f>
        <v>0</v>
      </c>
      <c r="G3" s="103">
        <f>'06'!AD6</f>
        <v>0</v>
      </c>
      <c r="H3" s="103">
        <f>'07'!AD6</f>
        <v>0</v>
      </c>
      <c r="I3" s="103"/>
      <c r="J3" s="103"/>
      <c r="K3" s="103">
        <f>'10'!AD6</f>
        <v>0</v>
      </c>
      <c r="L3" s="103">
        <f>'11'!AD6</f>
        <v>0</v>
      </c>
      <c r="M3" s="103">
        <f>'12'!AD6</f>
        <v>0</v>
      </c>
      <c r="N3" s="121">
        <f>'13'!AD6</f>
        <v>0</v>
      </c>
      <c r="O3" s="103">
        <f>'14'!AD6</f>
        <v>0</v>
      </c>
      <c r="P3" s="103">
        <f>'15'!AD6</f>
        <v>0</v>
      </c>
      <c r="Q3" s="103"/>
      <c r="R3" s="103">
        <f>'17'!AD6</f>
        <v>0</v>
      </c>
      <c r="S3" s="103">
        <f>'18'!AD6</f>
        <v>0</v>
      </c>
      <c r="T3" s="103">
        <f>'19'!AD6</f>
        <v>0</v>
      </c>
      <c r="U3" s="103">
        <f>'20'!AD6</f>
        <v>0</v>
      </c>
      <c r="V3" s="103">
        <f>'21'!AD6</f>
        <v>0</v>
      </c>
      <c r="W3" s="121"/>
      <c r="X3" s="103"/>
      <c r="Y3" s="103"/>
      <c r="Z3" s="103"/>
      <c r="AA3" s="103"/>
      <c r="AB3" s="103">
        <f>'27'!AD6</f>
        <v>0</v>
      </c>
      <c r="AC3" s="103">
        <f>'28'!AD6</f>
        <v>0</v>
      </c>
      <c r="AD3" s="103"/>
      <c r="AE3" s="103"/>
      <c r="AF3" s="104"/>
      <c r="AG3" s="106">
        <f>SUM(B3:AF3)/30</f>
        <v>0</v>
      </c>
    </row>
    <row r="4" spans="1:33" ht="21.75" customHeight="1">
      <c r="A4" s="116" t="s">
        <v>61</v>
      </c>
      <c r="B4" s="111">
        <f>'01'!AD7</f>
        <v>0</v>
      </c>
      <c r="C4" s="111"/>
      <c r="D4" s="80">
        <f>'03'!AD7</f>
        <v>0</v>
      </c>
      <c r="E4" s="80">
        <f>'04'!AD7</f>
        <v>0</v>
      </c>
      <c r="F4" s="80">
        <f>'05'!AD7</f>
        <v>0</v>
      </c>
      <c r="G4" s="80">
        <f>'06'!AD7</f>
        <v>0</v>
      </c>
      <c r="H4" s="80">
        <f>'07'!AD7</f>
        <v>0</v>
      </c>
      <c r="I4" s="80"/>
      <c r="J4" s="80"/>
      <c r="K4" s="80">
        <f>'10'!AD7</f>
        <v>0</v>
      </c>
      <c r="L4" s="80">
        <f>'11'!AD7</f>
        <v>0</v>
      </c>
      <c r="M4" s="80">
        <f>'12'!AD7</f>
        <v>0</v>
      </c>
      <c r="N4" s="80">
        <f>'13'!AD7</f>
        <v>0</v>
      </c>
      <c r="O4" s="80">
        <f>'14'!AD7</f>
        <v>0</v>
      </c>
      <c r="P4" s="80">
        <f>'15'!AD7</f>
        <v>0</v>
      </c>
      <c r="Q4" s="80"/>
      <c r="R4" s="80">
        <f>'17'!AD7</f>
        <v>0</v>
      </c>
      <c r="S4" s="80">
        <f>'18'!AD7</f>
        <v>0</v>
      </c>
      <c r="T4" s="80">
        <f>'19'!AD7</f>
        <v>0</v>
      </c>
      <c r="U4" s="80">
        <f>'20'!AD7</f>
        <v>0</v>
      </c>
      <c r="V4" s="80">
        <f>'21'!AD7</f>
        <v>0</v>
      </c>
      <c r="W4" s="80"/>
      <c r="X4" s="80"/>
      <c r="Y4" s="80"/>
      <c r="Z4" s="80"/>
      <c r="AA4" s="80"/>
      <c r="AB4" s="80">
        <f>'27'!AD7</f>
        <v>0</v>
      </c>
      <c r="AC4" s="80">
        <f>'28'!AD7</f>
        <v>0</v>
      </c>
      <c r="AD4" s="80"/>
      <c r="AE4" s="80"/>
      <c r="AF4" s="81"/>
      <c r="AG4" s="82">
        <f t="shared" ref="AG4:AG18" si="0">SUM(B4:AF4)/30</f>
        <v>0</v>
      </c>
    </row>
    <row r="5" spans="1:33" ht="21.75" customHeight="1">
      <c r="A5" s="117" t="s">
        <v>62</v>
      </c>
      <c r="B5" s="112">
        <f>'01'!AD8</f>
        <v>0.875</v>
      </c>
      <c r="C5" s="112"/>
      <c r="D5" s="83">
        <f>'03'!AD8</f>
        <v>1</v>
      </c>
      <c r="E5" s="83">
        <f>'04'!AD8</f>
        <v>0.75</v>
      </c>
      <c r="F5" s="83">
        <f>'05'!AD8</f>
        <v>0.25</v>
      </c>
      <c r="G5" s="83">
        <f>'06'!AD8</f>
        <v>0.66666666666666663</v>
      </c>
      <c r="H5" s="83">
        <f>'07'!AD8</f>
        <v>0.41666666666666669</v>
      </c>
      <c r="I5" s="83"/>
      <c r="J5" s="83"/>
      <c r="K5" s="83">
        <f>'10'!AD8</f>
        <v>0.91666666666666663</v>
      </c>
      <c r="L5" s="83">
        <f>'11'!AD8</f>
        <v>0.41641865079365081</v>
      </c>
      <c r="M5" s="83">
        <f>'12'!AD8+'12'!AD9</f>
        <v>0.75</v>
      </c>
      <c r="N5" s="83">
        <f>'13'!AD8+'13'!AD9</f>
        <v>0.83333333333333337</v>
      </c>
      <c r="O5" s="83">
        <f>'14'!AD8</f>
        <v>0</v>
      </c>
      <c r="P5" s="83">
        <f>'15'!AD8</f>
        <v>0</v>
      </c>
      <c r="Q5" s="83"/>
      <c r="R5" s="83">
        <f>'17'!AD8</f>
        <v>0.625</v>
      </c>
      <c r="S5" s="83">
        <f>'18'!AD8</f>
        <v>0.9993360995850622</v>
      </c>
      <c r="T5" s="83">
        <f>'19'!AD8</f>
        <v>0.875</v>
      </c>
      <c r="U5" s="83">
        <f>'20'!AD8</f>
        <v>1</v>
      </c>
      <c r="V5" s="83">
        <f>'21'!AD8</f>
        <v>0.875</v>
      </c>
      <c r="W5" s="122"/>
      <c r="X5" s="83"/>
      <c r="Y5" s="83"/>
      <c r="Z5" s="83"/>
      <c r="AA5" s="83"/>
      <c r="AB5" s="83">
        <f>'27'!AD8</f>
        <v>1</v>
      </c>
      <c r="AC5" s="83">
        <f>'28'!AD8</f>
        <v>1</v>
      </c>
      <c r="AD5" s="83"/>
      <c r="AE5" s="83"/>
      <c r="AF5" s="84"/>
      <c r="AG5" s="85">
        <f t="shared" si="0"/>
        <v>0.44163626945706819</v>
      </c>
    </row>
    <row r="6" spans="1:33" ht="21.75" customHeight="1">
      <c r="A6" s="118" t="s">
        <v>63</v>
      </c>
      <c r="B6" s="113">
        <f>'01'!AD9</f>
        <v>0.16666666666666666</v>
      </c>
      <c r="C6" s="113"/>
      <c r="D6" s="86">
        <f>'03'!AD9</f>
        <v>0</v>
      </c>
      <c r="E6" s="86">
        <f>'04'!AD9</f>
        <v>0</v>
      </c>
      <c r="F6" s="86">
        <f>'05'!AD9</f>
        <v>0.16666666666666666</v>
      </c>
      <c r="G6" s="86">
        <f>'06'!AD9</f>
        <v>0.5</v>
      </c>
      <c r="H6" s="86">
        <f>'07'!AD9</f>
        <v>0.33302696078431371</v>
      </c>
      <c r="I6" s="86"/>
      <c r="J6" s="86"/>
      <c r="K6" s="86">
        <f>'10'!AD9</f>
        <v>1</v>
      </c>
      <c r="L6" s="86">
        <f>'11'!AD9+'11'!AD9</f>
        <v>0.33333333333333331</v>
      </c>
      <c r="M6" s="86">
        <f>'12'!AD10</f>
        <v>0.41628264208909371</v>
      </c>
      <c r="N6" s="86">
        <f>'13'!AD10</f>
        <v>0.41666666666666669</v>
      </c>
      <c r="O6" s="86">
        <f>'14'!AD9</f>
        <v>0.70687785388127855</v>
      </c>
      <c r="P6" s="86">
        <f>'15'!AD9</f>
        <v>0</v>
      </c>
      <c r="Q6" s="86"/>
      <c r="R6" s="86">
        <f>'17'!AD9</f>
        <v>0</v>
      </c>
      <c r="S6" s="86">
        <f>'18'!AD9</f>
        <v>0</v>
      </c>
      <c r="T6" s="86">
        <f>'19'!AD9</f>
        <v>0.91666666666666663</v>
      </c>
      <c r="U6" s="86">
        <f>'20'!AD9</f>
        <v>0.66666666666666663</v>
      </c>
      <c r="V6" s="86">
        <f>'21'!AD9</f>
        <v>0.75</v>
      </c>
      <c r="W6" s="86"/>
      <c r="X6" s="86"/>
      <c r="Y6" s="86"/>
      <c r="Z6" s="86"/>
      <c r="AA6" s="86"/>
      <c r="AB6" s="86">
        <f>'27'!AD9</f>
        <v>1</v>
      </c>
      <c r="AC6" s="86">
        <f>'28'!AD9</f>
        <v>0</v>
      </c>
      <c r="AD6" s="86"/>
      <c r="AE6" s="86"/>
      <c r="AF6" s="87"/>
      <c r="AG6" s="88">
        <f t="shared" si="0"/>
        <v>0.24576180411404511</v>
      </c>
    </row>
    <row r="7" spans="1:33" ht="21.75" customHeight="1">
      <c r="A7" s="118" t="s">
        <v>64</v>
      </c>
      <c r="B7" s="113">
        <f>'01'!AD10</f>
        <v>0</v>
      </c>
      <c r="C7" s="113"/>
      <c r="D7" s="86">
        <f>'03'!AD10</f>
        <v>0</v>
      </c>
      <c r="E7" s="86">
        <f>'04'!AD10</f>
        <v>0</v>
      </c>
      <c r="F7" s="86">
        <f>'05'!AD10</f>
        <v>0.24941176470588236</v>
      </c>
      <c r="G7" s="86">
        <f>'06'!AD10</f>
        <v>0.33333333333333331</v>
      </c>
      <c r="H7" s="86">
        <f>'07'!AD11+'07'!AD12</f>
        <v>8.3333333333333329E-2</v>
      </c>
      <c r="I7" s="86"/>
      <c r="J7" s="86"/>
      <c r="K7" s="86">
        <f>'10'!AD10</f>
        <v>0.20833333333333334</v>
      </c>
      <c r="L7" s="86">
        <f>'11'!AD11</f>
        <v>0.79166666666666663</v>
      </c>
      <c r="M7" s="86">
        <f>'12'!AD11</f>
        <v>1</v>
      </c>
      <c r="N7" s="86">
        <f>'13'!AD11</f>
        <v>0.58333333333333337</v>
      </c>
      <c r="O7" s="86">
        <f>'14'!AD10</f>
        <v>0.91666666666666663</v>
      </c>
      <c r="P7" s="86">
        <f>'15'!AD10</f>
        <v>0.24909882336938041</v>
      </c>
      <c r="Q7" s="86"/>
      <c r="R7" s="86">
        <f>'17'!AD10</f>
        <v>1</v>
      </c>
      <c r="S7" s="86">
        <f>'18'!AD10</f>
        <v>0.16399999999999998</v>
      </c>
      <c r="T7" s="86">
        <f>'19'!AD10</f>
        <v>0.91666666666666663</v>
      </c>
      <c r="U7" s="86">
        <f>'20'!AD10</f>
        <v>1</v>
      </c>
      <c r="V7" s="86">
        <f>'21'!AD10</f>
        <v>0.83333333333333337</v>
      </c>
      <c r="W7" s="86"/>
      <c r="X7" s="86"/>
      <c r="Y7" s="86"/>
      <c r="Z7" s="86"/>
      <c r="AA7" s="86"/>
      <c r="AB7" s="86">
        <f>'27'!AD10</f>
        <v>0</v>
      </c>
      <c r="AC7" s="86">
        <f>'28'!AD10</f>
        <v>0</v>
      </c>
      <c r="AD7" s="86"/>
      <c r="AE7" s="86"/>
      <c r="AF7" s="87"/>
      <c r="AG7" s="88">
        <f t="shared" si="0"/>
        <v>0.27763924182473099</v>
      </c>
    </row>
    <row r="8" spans="1:33" ht="21.75" customHeight="1">
      <c r="A8" s="118" t="s">
        <v>65</v>
      </c>
      <c r="B8" s="113">
        <f>'01'!AD11</f>
        <v>1</v>
      </c>
      <c r="C8" s="113"/>
      <c r="D8" s="86">
        <f>'03'!AD11</f>
        <v>1</v>
      </c>
      <c r="E8" s="86">
        <f>'04'!AD11</f>
        <v>1</v>
      </c>
      <c r="F8" s="86">
        <f>'05'!AD11</f>
        <v>1</v>
      </c>
      <c r="G8" s="86">
        <f>'06'!AD11</f>
        <v>0.16666666666666666</v>
      </c>
      <c r="H8" s="86">
        <f>'07'!AD13</f>
        <v>0.41666666666666669</v>
      </c>
      <c r="I8" s="86"/>
      <c r="J8" s="86"/>
      <c r="K8" s="86">
        <f>'10'!AD11</f>
        <v>0.41666666666666669</v>
      </c>
      <c r="L8" s="86">
        <f>'11'!AD12</f>
        <v>0.66642335766423355</v>
      </c>
      <c r="M8" s="86">
        <f>'12'!AD12</f>
        <v>0.41666666666666669</v>
      </c>
      <c r="N8" s="86">
        <f>'13'!AD12</f>
        <v>0</v>
      </c>
      <c r="O8" s="86">
        <f>'14'!AD11</f>
        <v>0</v>
      </c>
      <c r="P8" s="86">
        <f>'15'!AD11</f>
        <v>0</v>
      </c>
      <c r="Q8" s="86"/>
      <c r="R8" s="86">
        <f>'17'!AD11</f>
        <v>0</v>
      </c>
      <c r="S8" s="86">
        <f>'18'!AD11</f>
        <v>0</v>
      </c>
      <c r="T8" s="86">
        <f>'19'!AD11</f>
        <v>0</v>
      </c>
      <c r="U8" s="86">
        <f>'20'!AD11</f>
        <v>0.75</v>
      </c>
      <c r="V8" s="86">
        <f>'21'!AD11</f>
        <v>0</v>
      </c>
      <c r="W8" s="86"/>
      <c r="X8" s="86"/>
      <c r="Y8" s="86"/>
      <c r="Z8" s="86"/>
      <c r="AA8" s="86"/>
      <c r="AB8" s="86">
        <f>'27'!AD11</f>
        <v>1</v>
      </c>
      <c r="AC8" s="86">
        <f>'28'!AD11</f>
        <v>0.5</v>
      </c>
      <c r="AD8" s="86"/>
      <c r="AE8" s="86"/>
      <c r="AF8" s="87"/>
      <c r="AG8" s="88">
        <f t="shared" si="0"/>
        <v>0.27776966747769666</v>
      </c>
    </row>
    <row r="9" spans="1:33" ht="21.75" customHeight="1">
      <c r="A9" s="118" t="s">
        <v>66</v>
      </c>
      <c r="B9" s="113">
        <f>'01'!AD12</f>
        <v>1</v>
      </c>
      <c r="C9" s="113"/>
      <c r="D9" s="86">
        <f>'03'!AD12</f>
        <v>1</v>
      </c>
      <c r="E9" s="86">
        <f>'04'!AD12</f>
        <v>1</v>
      </c>
      <c r="F9" s="86">
        <f>'05'!AD12</f>
        <v>0.99983713355048864</v>
      </c>
      <c r="G9" s="86">
        <f>'06'!AD12</f>
        <v>1</v>
      </c>
      <c r="H9" s="86">
        <f>'07'!AD14</f>
        <v>0.33333333333333331</v>
      </c>
      <c r="I9" s="86"/>
      <c r="J9" s="86"/>
      <c r="K9" s="86">
        <f>'10'!AD12</f>
        <v>0</v>
      </c>
      <c r="L9" s="86">
        <f>'11'!AD13</f>
        <v>0</v>
      </c>
      <c r="M9" s="86">
        <f>'12'!AD13</f>
        <v>0</v>
      </c>
      <c r="N9" s="86">
        <f>'13'!AD13</f>
        <v>0.25</v>
      </c>
      <c r="O9" s="86">
        <f>'14'!AD12</f>
        <v>0.58333333333333337</v>
      </c>
      <c r="P9" s="86">
        <f>'15'!AD12</f>
        <v>0.46912661278888418</v>
      </c>
      <c r="Q9" s="86"/>
      <c r="R9" s="86">
        <f>'17'!AD12</f>
        <v>1</v>
      </c>
      <c r="S9" s="86">
        <f>'18'!AD12</f>
        <v>0.99950331125827818</v>
      </c>
      <c r="T9" s="86">
        <f>'19'!AD12</f>
        <v>0.79166666666666663</v>
      </c>
      <c r="U9" s="86">
        <f>'20'!AD12</f>
        <v>0.875</v>
      </c>
      <c r="V9" s="86">
        <f>'21'!AD12</f>
        <v>0.75</v>
      </c>
      <c r="W9" s="86"/>
      <c r="X9" s="86"/>
      <c r="Y9" s="86"/>
      <c r="Z9" s="86"/>
      <c r="AA9" s="86"/>
      <c r="AB9" s="86">
        <f>'27'!AD12</f>
        <v>0.95833333333333337</v>
      </c>
      <c r="AC9" s="86">
        <f>'28'!AD12</f>
        <v>0.58333333333333337</v>
      </c>
      <c r="AD9" s="86"/>
      <c r="AE9" s="86"/>
      <c r="AF9" s="87"/>
      <c r="AG9" s="88">
        <f t="shared" si="0"/>
        <v>0.41978223525325503</v>
      </c>
    </row>
    <row r="10" spans="1:33" ht="21.75" customHeight="1">
      <c r="A10" s="118" t="s">
        <v>67</v>
      </c>
      <c r="B10" s="113">
        <f>'01'!AD13</f>
        <v>0</v>
      </c>
      <c r="C10" s="113"/>
      <c r="D10" s="86">
        <f>'03'!AD13</f>
        <v>0.16666666666666666</v>
      </c>
      <c r="E10" s="86">
        <f>'04'!AD13</f>
        <v>0.83313155770782898</v>
      </c>
      <c r="F10" s="86">
        <f>'05'!AD13</f>
        <v>1</v>
      </c>
      <c r="G10" s="86">
        <f>'06'!AD13</f>
        <v>0.91666666666666663</v>
      </c>
      <c r="H10" s="86">
        <f>'07'!AD15</f>
        <v>1</v>
      </c>
      <c r="I10" s="86"/>
      <c r="J10" s="86"/>
      <c r="K10" s="86">
        <f>'10'!AD13</f>
        <v>1</v>
      </c>
      <c r="L10" s="86">
        <f>'11'!AD14</f>
        <v>0.875</v>
      </c>
      <c r="M10" s="86">
        <f>'12'!AD14</f>
        <v>1</v>
      </c>
      <c r="N10" s="86">
        <f>'13'!AD14</f>
        <v>0.99980988593155895</v>
      </c>
      <c r="O10" s="86">
        <f>'14'!AD13</f>
        <v>0.75</v>
      </c>
      <c r="P10" s="86">
        <f>'15'!AD13</f>
        <v>0</v>
      </c>
      <c r="Q10" s="86"/>
      <c r="R10" s="86">
        <f>'17'!AD13</f>
        <v>0.99978678038379531</v>
      </c>
      <c r="S10" s="86">
        <f>'18'!AD13</f>
        <v>0.79166666666666663</v>
      </c>
      <c r="T10" s="86">
        <f>'19'!AD13</f>
        <v>0.9997971602434077</v>
      </c>
      <c r="U10" s="86">
        <f>'20'!AD13</f>
        <v>0.79166666666666663</v>
      </c>
      <c r="V10" s="86">
        <f>'21'!AD13</f>
        <v>0.45833333333333331</v>
      </c>
      <c r="W10" s="86"/>
      <c r="X10" s="86"/>
      <c r="Y10" s="86"/>
      <c r="Z10" s="86"/>
      <c r="AA10" s="86"/>
      <c r="AB10" s="86">
        <f>'27'!AD13</f>
        <v>0.875</v>
      </c>
      <c r="AC10" s="86">
        <f>'28'!AD13</f>
        <v>0.99981785063752282</v>
      </c>
      <c r="AD10" s="86"/>
      <c r="AE10" s="86"/>
      <c r="AF10" s="87"/>
      <c r="AG10" s="88">
        <f t="shared" si="0"/>
        <v>0.4819114411634704</v>
      </c>
    </row>
    <row r="11" spans="1:33" ht="21.75" customHeight="1">
      <c r="A11" s="117" t="s">
        <v>68</v>
      </c>
      <c r="B11" s="112">
        <f>'01'!AD14</f>
        <v>0</v>
      </c>
      <c r="C11" s="112"/>
      <c r="D11" s="83">
        <f>'03'!AD14</f>
        <v>0</v>
      </c>
      <c r="E11" s="83">
        <f>'04'!AD14</f>
        <v>0</v>
      </c>
      <c r="F11" s="83">
        <f>'05'!AD14</f>
        <v>0</v>
      </c>
      <c r="G11" s="83">
        <f>'06'!AD14</f>
        <v>0</v>
      </c>
      <c r="H11" s="83">
        <f>'07'!AD16</f>
        <v>0</v>
      </c>
      <c r="I11" s="83"/>
      <c r="J11" s="83"/>
      <c r="K11" s="83">
        <f>'10'!AD14</f>
        <v>0</v>
      </c>
      <c r="L11" s="83">
        <f>'11'!AD15</f>
        <v>0</v>
      </c>
      <c r="M11" s="83">
        <f>'12'!AD15</f>
        <v>0</v>
      </c>
      <c r="N11" s="83">
        <f>'13'!AD15</f>
        <v>0</v>
      </c>
      <c r="O11" s="83">
        <f>'14'!AD14</f>
        <v>0</v>
      </c>
      <c r="P11" s="83">
        <f>'15'!AD14</f>
        <v>0</v>
      </c>
      <c r="Q11" s="83"/>
      <c r="R11" s="83">
        <f>'17'!AD14</f>
        <v>0</v>
      </c>
      <c r="S11" s="83">
        <f>'18'!AD14</f>
        <v>0</v>
      </c>
      <c r="T11" s="83">
        <f>'19'!AD14</f>
        <v>0</v>
      </c>
      <c r="U11" s="83">
        <f>'20'!AD14</f>
        <v>0</v>
      </c>
      <c r="V11" s="83">
        <f>'21'!AD14</f>
        <v>0</v>
      </c>
      <c r="W11" s="83"/>
      <c r="X11" s="83"/>
      <c r="Y11" s="83"/>
      <c r="Z11" s="83"/>
      <c r="AA11" s="83"/>
      <c r="AB11" s="83">
        <f>'27'!AD14</f>
        <v>0</v>
      </c>
      <c r="AC11" s="83">
        <f>'28'!AD14</f>
        <v>0</v>
      </c>
      <c r="AD11" s="83"/>
      <c r="AE11" s="83"/>
      <c r="AF11" s="84"/>
      <c r="AG11" s="85">
        <f t="shared" si="0"/>
        <v>0</v>
      </c>
    </row>
    <row r="12" spans="1:33" ht="21.75" customHeight="1">
      <c r="A12" s="117" t="s">
        <v>69</v>
      </c>
      <c r="B12" s="112">
        <f>'01'!AD15</f>
        <v>0.16666666666666666</v>
      </c>
      <c r="C12" s="112"/>
      <c r="D12" s="83">
        <f>'03'!AD15</f>
        <v>0</v>
      </c>
      <c r="E12" s="83">
        <f>'04'!AD15</f>
        <v>0.70833333333333337</v>
      </c>
      <c r="F12" s="83">
        <f>'05'!AD15</f>
        <v>0.5</v>
      </c>
      <c r="G12" s="83">
        <f>'06'!AD15</f>
        <v>8.3080808080808075E-2</v>
      </c>
      <c r="H12" s="83">
        <f>'07'!AD17</f>
        <v>8.3333333333333329E-2</v>
      </c>
      <c r="I12" s="83"/>
      <c r="J12" s="83"/>
      <c r="K12" s="83">
        <f>'10'!AD15</f>
        <v>0</v>
      </c>
      <c r="L12" s="83">
        <f>'11'!AD16</f>
        <v>0</v>
      </c>
      <c r="M12" s="83">
        <f>'12'!AD16</f>
        <v>0</v>
      </c>
      <c r="N12" s="83">
        <f>'13'!AD16</f>
        <v>0</v>
      </c>
      <c r="O12" s="83">
        <f>'14'!AD15</f>
        <v>0</v>
      </c>
      <c r="P12" s="83">
        <f>'15'!AD15</f>
        <v>0</v>
      </c>
      <c r="Q12" s="83"/>
      <c r="R12" s="83">
        <f>'17'!AD15</f>
        <v>0</v>
      </c>
      <c r="S12" s="83">
        <f>'18'!AD15</f>
        <v>0</v>
      </c>
      <c r="T12" s="83">
        <f>'19'!AD15</f>
        <v>0</v>
      </c>
      <c r="U12" s="83">
        <f>'20'!AD15</f>
        <v>0</v>
      </c>
      <c r="V12" s="83">
        <f>'21'!AD15</f>
        <v>0</v>
      </c>
      <c r="W12" s="83"/>
      <c r="X12" s="83"/>
      <c r="Y12" s="83"/>
      <c r="Z12" s="83"/>
      <c r="AA12" s="83"/>
      <c r="AB12" s="83">
        <f>'27'!AD15</f>
        <v>0</v>
      </c>
      <c r="AC12" s="83">
        <f>'28'!AD15</f>
        <v>0</v>
      </c>
      <c r="AD12" s="83"/>
      <c r="AE12" s="83"/>
      <c r="AF12" s="84"/>
      <c r="AG12" s="85">
        <f t="shared" si="0"/>
        <v>5.1380471380471381E-2</v>
      </c>
    </row>
    <row r="13" spans="1:33" ht="21.75" customHeight="1">
      <c r="A13" s="117" t="s">
        <v>70</v>
      </c>
      <c r="B13" s="112">
        <f>'01'!AD16</f>
        <v>0.91666666666666663</v>
      </c>
      <c r="C13" s="112"/>
      <c r="D13" s="83">
        <f>'03'!AD16</f>
        <v>0.79166666666666663</v>
      </c>
      <c r="E13" s="83">
        <f>'04'!AD16</f>
        <v>0.99893292682926826</v>
      </c>
      <c r="F13" s="83">
        <f>'05'!AD16</f>
        <v>0</v>
      </c>
      <c r="G13" s="83">
        <f>'06'!AD16</f>
        <v>0</v>
      </c>
      <c r="H13" s="83">
        <f>'07'!AD18+'07'!AD19</f>
        <v>0.20833333333333331</v>
      </c>
      <c r="I13" s="83"/>
      <c r="J13" s="83"/>
      <c r="K13" s="83">
        <f>'10'!AD16</f>
        <v>0</v>
      </c>
      <c r="L13" s="83">
        <f>'11'!AD17</f>
        <v>0.58333333333333337</v>
      </c>
      <c r="M13" s="83">
        <f>'12'!AD17</f>
        <v>0.99983122362869203</v>
      </c>
      <c r="N13" s="83">
        <f>'13'!AD17+'13'!AD18</f>
        <v>0.70833333333333326</v>
      </c>
      <c r="O13" s="83">
        <f>'14'!AD16</f>
        <v>0</v>
      </c>
      <c r="P13" s="83">
        <f>'15'!AD16</f>
        <v>0.33333333333333331</v>
      </c>
      <c r="Q13" s="83"/>
      <c r="R13" s="83">
        <f>'17'!AD16</f>
        <v>0</v>
      </c>
      <c r="S13" s="83">
        <f>'18'!AD16</f>
        <v>0</v>
      </c>
      <c r="T13" s="83">
        <f>'19'!AD16</f>
        <v>0.74861842105263166</v>
      </c>
      <c r="U13" s="83">
        <f>'20'!AD16</f>
        <v>1</v>
      </c>
      <c r="V13" s="83">
        <f>'21'!AD16</f>
        <v>0.58333333333333337</v>
      </c>
      <c r="W13" s="83"/>
      <c r="X13" s="83"/>
      <c r="Y13" s="83"/>
      <c r="Z13" s="83"/>
      <c r="AA13" s="83"/>
      <c r="AB13" s="83">
        <f>'27'!AD16+'27'!AD17</f>
        <v>0.95833333333333337</v>
      </c>
      <c r="AC13" s="83">
        <f>'28'!AD16</f>
        <v>1</v>
      </c>
      <c r="AD13" s="83"/>
      <c r="AE13" s="83"/>
      <c r="AF13" s="84"/>
      <c r="AG13" s="85">
        <f t="shared" si="0"/>
        <v>0.32769053016146416</v>
      </c>
    </row>
    <row r="14" spans="1:33" ht="21.75" customHeight="1">
      <c r="A14" s="117" t="s">
        <v>71</v>
      </c>
      <c r="B14" s="112">
        <f>'01'!AD17</f>
        <v>0.16643192488262909</v>
      </c>
      <c r="C14" s="112"/>
      <c r="D14" s="83">
        <f>'03'!AD17</f>
        <v>0</v>
      </c>
      <c r="E14" s="83">
        <f>'04'!AD17</f>
        <v>0</v>
      </c>
      <c r="F14" s="83">
        <f>'05'!AD17</f>
        <v>0</v>
      </c>
      <c r="G14" s="83">
        <f>'06'!AD17</f>
        <v>0</v>
      </c>
      <c r="H14" s="83">
        <f>'07'!AD20</f>
        <v>0</v>
      </c>
      <c r="I14" s="83"/>
      <c r="J14" s="83"/>
      <c r="K14" s="83">
        <f>'10'!AD17</f>
        <v>0</v>
      </c>
      <c r="L14" s="83">
        <f>'11'!AD18</f>
        <v>0</v>
      </c>
      <c r="M14" s="83">
        <f>'12'!AD18</f>
        <v>0.66666666666666663</v>
      </c>
      <c r="N14" s="83">
        <f>'13'!AD19</f>
        <v>0</v>
      </c>
      <c r="O14" s="83">
        <f>'14'!AD17</f>
        <v>0</v>
      </c>
      <c r="P14" s="83">
        <f>'15'!AD17</f>
        <v>0</v>
      </c>
      <c r="Q14" s="83"/>
      <c r="R14" s="83">
        <f>'17'!AD17</f>
        <v>0</v>
      </c>
      <c r="S14" s="83">
        <f>'18'!AD17</f>
        <v>0</v>
      </c>
      <c r="T14" s="83">
        <f>'19'!AD17</f>
        <v>0.70833333333333337</v>
      </c>
      <c r="U14" s="83">
        <f>'20'!AD17</f>
        <v>0.58333333333333337</v>
      </c>
      <c r="V14" s="83">
        <f>'21'!AD17</f>
        <v>0.79166666666666663</v>
      </c>
      <c r="W14" s="83"/>
      <c r="X14" s="83"/>
      <c r="Y14" s="83"/>
      <c r="Z14" s="83"/>
      <c r="AA14" s="83"/>
      <c r="AB14" s="83">
        <f>'27'!AD18</f>
        <v>0.83333333333333337</v>
      </c>
      <c r="AC14" s="83">
        <f>'28'!AD17</f>
        <v>0.41666666666666669</v>
      </c>
      <c r="AD14" s="83"/>
      <c r="AE14" s="83"/>
      <c r="AF14" s="84"/>
      <c r="AG14" s="85">
        <f t="shared" si="0"/>
        <v>0.13888106416275431</v>
      </c>
    </row>
    <row r="15" spans="1:33" ht="21.75" customHeight="1">
      <c r="A15" s="118" t="s">
        <v>72</v>
      </c>
      <c r="B15" s="113">
        <f>'01'!AD18</f>
        <v>0.99964788732394361</v>
      </c>
      <c r="C15" s="113"/>
      <c r="D15" s="86">
        <f>'03'!AD18</f>
        <v>0.75</v>
      </c>
      <c r="E15" s="86">
        <f>'04'!AD18</f>
        <v>0.499</v>
      </c>
      <c r="F15" s="86">
        <f>'05'!AD18</f>
        <v>0.79166666666666663</v>
      </c>
      <c r="G15" s="86">
        <f>'06'!AD18+'06'!AD19</f>
        <v>0.41666666666666663</v>
      </c>
      <c r="H15" s="86">
        <f>'07'!AD21</f>
        <v>0.20833333333333334</v>
      </c>
      <c r="I15" s="86"/>
      <c r="J15" s="86"/>
      <c r="K15" s="86">
        <f>'10'!AD18</f>
        <v>0</v>
      </c>
      <c r="L15" s="86">
        <f>'11'!AD19</f>
        <v>0</v>
      </c>
      <c r="M15" s="86">
        <f>'12'!AD19</f>
        <v>0.16666666666666666</v>
      </c>
      <c r="N15" s="86">
        <f>'13'!AD20</f>
        <v>0.79166666666666663</v>
      </c>
      <c r="O15" s="86">
        <f>'14'!AD18</f>
        <v>1</v>
      </c>
      <c r="P15" s="86">
        <f>'15'!AD18</f>
        <v>0</v>
      </c>
      <c r="Q15" s="86"/>
      <c r="R15" s="86">
        <f>'17'!AD18</f>
        <v>0</v>
      </c>
      <c r="S15" s="86">
        <f>'18'!AD18</f>
        <v>0</v>
      </c>
      <c r="T15" s="86">
        <f>'19'!AD18</f>
        <v>0</v>
      </c>
      <c r="U15" s="86">
        <f>'20'!AD18</f>
        <v>0.95833333333333337</v>
      </c>
      <c r="V15" s="86">
        <f>'21'!AD18</f>
        <v>1</v>
      </c>
      <c r="W15" s="86"/>
      <c r="X15" s="86"/>
      <c r="Y15" s="86"/>
      <c r="Z15" s="86"/>
      <c r="AA15" s="86"/>
      <c r="AB15" s="86">
        <f>'27'!AD19</f>
        <v>0.875</v>
      </c>
      <c r="AC15" s="86">
        <f>'28'!AD18</f>
        <v>1</v>
      </c>
      <c r="AD15" s="86"/>
      <c r="AE15" s="86"/>
      <c r="AF15" s="87"/>
      <c r="AG15" s="88">
        <f t="shared" si="0"/>
        <v>0.31523270735524256</v>
      </c>
    </row>
    <row r="16" spans="1:33" ht="21.75" customHeight="1">
      <c r="A16" s="118" t="s">
        <v>73</v>
      </c>
      <c r="B16" s="113">
        <f>'01'!AD19</f>
        <v>0.41666666666666669</v>
      </c>
      <c r="C16" s="113"/>
      <c r="D16" s="86">
        <f>'03'!AD19</f>
        <v>0.875</v>
      </c>
      <c r="E16" s="86">
        <f>'04'!AD19</f>
        <v>0</v>
      </c>
      <c r="F16" s="86">
        <f>'05'!AD19</f>
        <v>0</v>
      </c>
      <c r="G16" s="86">
        <f>'06'!AD20</f>
        <v>0.79166666666666663</v>
      </c>
      <c r="H16" s="86">
        <f>'07'!AD22</f>
        <v>0</v>
      </c>
      <c r="I16" s="86"/>
      <c r="J16" s="86"/>
      <c r="K16" s="86">
        <f>'10'!AD19+'10'!AD20</f>
        <v>0.83333333333333337</v>
      </c>
      <c r="L16" s="86">
        <f>'11'!AD20</f>
        <v>0</v>
      </c>
      <c r="M16" s="86">
        <f>'12'!AD20</f>
        <v>0.20833333333333334</v>
      </c>
      <c r="N16" s="86">
        <f>'13'!AD21</f>
        <v>0</v>
      </c>
      <c r="O16" s="86">
        <f>'14'!AD19</f>
        <v>0</v>
      </c>
      <c r="P16" s="86">
        <f>'15'!AD19</f>
        <v>0</v>
      </c>
      <c r="Q16" s="86"/>
      <c r="R16" s="86">
        <f>'17'!AD19</f>
        <v>0</v>
      </c>
      <c r="S16" s="86">
        <f>'18'!AD19</f>
        <v>0.95833333333333337</v>
      </c>
      <c r="T16" s="86">
        <f>'19'!AD19+'19'!AD20</f>
        <v>0.79074074074074074</v>
      </c>
      <c r="U16" s="86">
        <f>'20'!AD19</f>
        <v>1</v>
      </c>
      <c r="V16" s="86">
        <f>'21'!AD19</f>
        <v>0.875</v>
      </c>
      <c r="W16" s="86"/>
      <c r="X16" s="86"/>
      <c r="Y16" s="86"/>
      <c r="Z16" s="86"/>
      <c r="AA16" s="86"/>
      <c r="AB16" s="86">
        <f>'27'!AD20+'27'!AD21</f>
        <v>0.875</v>
      </c>
      <c r="AC16" s="86">
        <f>'28'!AD19</f>
        <v>0</v>
      </c>
      <c r="AD16" s="86"/>
      <c r="AE16" s="86"/>
      <c r="AF16" s="87"/>
      <c r="AG16" s="88">
        <f t="shared" si="0"/>
        <v>0.25413580246913586</v>
      </c>
    </row>
    <row r="17" spans="1:33" ht="21.75" customHeight="1" thickBot="1">
      <c r="A17" s="119" t="s">
        <v>111</v>
      </c>
      <c r="B17" s="114">
        <f>'01'!AD20</f>
        <v>0</v>
      </c>
      <c r="C17" s="114"/>
      <c r="D17" s="89">
        <f>'03'!AD20</f>
        <v>0.5</v>
      </c>
      <c r="E17" s="89">
        <f>'04'!AD20</f>
        <v>0.49990875912408761</v>
      </c>
      <c r="F17" s="89">
        <f>'05'!AD20</f>
        <v>0.5</v>
      </c>
      <c r="G17" s="89">
        <f>'06'!AD21</f>
        <v>0.5</v>
      </c>
      <c r="H17" s="89">
        <f>'07'!AD23</f>
        <v>1</v>
      </c>
      <c r="I17" s="89"/>
      <c r="J17" s="89"/>
      <c r="K17" s="89">
        <f>'10'!AD21</f>
        <v>0.99990909090909086</v>
      </c>
      <c r="L17" s="89">
        <f>'11'!AD21</f>
        <v>0.66666666666666663</v>
      </c>
      <c r="M17" s="89">
        <f>'12'!AD21</f>
        <v>0.5</v>
      </c>
      <c r="N17" s="89">
        <f>'13'!AD22</f>
        <v>0.5</v>
      </c>
      <c r="O17" s="89">
        <f>'14'!AD20</f>
        <v>0.5</v>
      </c>
      <c r="P17" s="89">
        <f>'15'!AD20</f>
        <v>0</v>
      </c>
      <c r="Q17" s="89"/>
      <c r="R17" s="89">
        <f>'17'!AD20</f>
        <v>0.5</v>
      </c>
      <c r="S17" s="89">
        <f>'18'!AD20</f>
        <v>0.16666666666666666</v>
      </c>
      <c r="T17" s="89">
        <f>'19'!AD21</f>
        <v>0</v>
      </c>
      <c r="U17" s="89">
        <f>'20'!AD20</f>
        <v>0</v>
      </c>
      <c r="V17" s="89">
        <f>'21'!AD20</f>
        <v>0</v>
      </c>
      <c r="W17" s="89"/>
      <c r="X17" s="89"/>
      <c r="Y17" s="89"/>
      <c r="Z17" s="89"/>
      <c r="AA17" s="89"/>
      <c r="AB17" s="89">
        <f>'27'!AD22</f>
        <v>0</v>
      </c>
      <c r="AC17" s="89">
        <f>'28'!AD20</f>
        <v>0</v>
      </c>
      <c r="AD17" s="89"/>
      <c r="AE17" s="89"/>
      <c r="AF17" s="90"/>
      <c r="AG17" s="91">
        <f t="shared" si="0"/>
        <v>0.22777170611221706</v>
      </c>
    </row>
    <row r="18" spans="1:33" s="92" customFormat="1" ht="21.75" customHeight="1">
      <c r="A18" s="96" t="s">
        <v>105</v>
      </c>
      <c r="B18" s="100">
        <f>'01'!AD21</f>
        <v>0.38051643192488266</v>
      </c>
      <c r="C18" s="100"/>
      <c r="D18" s="101">
        <f>'03'!AD21</f>
        <v>0.40555555555555556</v>
      </c>
      <c r="E18" s="101">
        <f>'04'!AD21</f>
        <v>0.41928710513296785</v>
      </c>
      <c r="F18" s="101">
        <f>'05'!AD21</f>
        <v>0.36383881543931368</v>
      </c>
      <c r="G18" s="101">
        <f>'06'!AD22</f>
        <v>0.35831649831649831</v>
      </c>
      <c r="H18" s="101">
        <f>'07'!AD24</f>
        <v>0.3388684640522876</v>
      </c>
      <c r="I18" s="101"/>
      <c r="J18" s="101"/>
      <c r="K18" s="101">
        <f>'10'!AD22</f>
        <v>0.35832727272727272</v>
      </c>
      <c r="L18" s="101">
        <f>'11'!AD22</f>
        <v>0.28885613389719228</v>
      </c>
      <c r="M18" s="101">
        <f>'12'!AD22</f>
        <v>0.40829647993674129</v>
      </c>
      <c r="N18" s="101">
        <f>'13'!AD23</f>
        <v>0.33887621461765949</v>
      </c>
      <c r="O18" s="101">
        <f>'14'!AD21</f>
        <v>0.29712519025875195</v>
      </c>
      <c r="P18" s="101">
        <f>'15'!AD21</f>
        <v>7.010391796610653E-2</v>
      </c>
      <c r="Q18" s="101"/>
      <c r="R18" s="101">
        <f>'17'!AD21</f>
        <v>0.27498578535891965</v>
      </c>
      <c r="S18" s="101">
        <f>'18'!AD21</f>
        <v>0.27196707183400043</v>
      </c>
      <c r="T18" s="101">
        <f>'19'!AD22</f>
        <v>0.44983264369134079</v>
      </c>
      <c r="U18" s="101">
        <f>'20'!AD21</f>
        <v>0.57499999999999996</v>
      </c>
      <c r="V18" s="101">
        <f>'21'!AD21</f>
        <v>0.46111111111111114</v>
      </c>
      <c r="W18" s="101"/>
      <c r="X18" s="101"/>
      <c r="Y18" s="101"/>
      <c r="Z18" s="101"/>
      <c r="AA18" s="101"/>
      <c r="AB18" s="101">
        <f>'27'!AD23</f>
        <v>0.55833333333333335</v>
      </c>
      <c r="AC18" s="101">
        <f>'28'!AD21</f>
        <v>0.36665452337583487</v>
      </c>
      <c r="AD18" s="101"/>
      <c r="AE18" s="101"/>
      <c r="AF18" s="102"/>
      <c r="AG18" s="105">
        <f t="shared" si="0"/>
        <v>0.23286175161765901</v>
      </c>
    </row>
    <row r="19" spans="1:33" ht="21.75" customHeight="1" thickBot="1">
      <c r="A19" s="75" t="s">
        <v>109</v>
      </c>
      <c r="B19" s="76">
        <v>0.7</v>
      </c>
      <c r="C19" s="77">
        <v>0.7</v>
      </c>
      <c r="D19" s="77">
        <v>0.7</v>
      </c>
      <c r="E19" s="77">
        <v>0.7</v>
      </c>
      <c r="F19" s="77">
        <v>0.7</v>
      </c>
      <c r="G19" s="77">
        <v>0.7</v>
      </c>
      <c r="H19" s="77">
        <v>0.7</v>
      </c>
      <c r="I19" s="77">
        <v>0.7</v>
      </c>
      <c r="J19" s="77">
        <v>0.7</v>
      </c>
      <c r="K19" s="77">
        <v>0.7</v>
      </c>
      <c r="L19" s="77">
        <v>0.7</v>
      </c>
      <c r="M19" s="77">
        <v>0.7</v>
      </c>
      <c r="N19" s="77">
        <v>0.7</v>
      </c>
      <c r="O19" s="77">
        <v>0.7</v>
      </c>
      <c r="P19" s="77">
        <v>0.7</v>
      </c>
      <c r="Q19" s="77">
        <v>0.7</v>
      </c>
      <c r="R19" s="77">
        <v>0.7</v>
      </c>
      <c r="S19" s="77">
        <v>0.7</v>
      </c>
      <c r="T19" s="77">
        <v>0.7</v>
      </c>
      <c r="U19" s="77">
        <v>0.7</v>
      </c>
      <c r="V19" s="77">
        <v>0.7</v>
      </c>
      <c r="W19" s="77">
        <v>0.7</v>
      </c>
      <c r="X19" s="77">
        <v>0.7</v>
      </c>
      <c r="Y19" s="77">
        <v>0.7</v>
      </c>
      <c r="Z19" s="77">
        <v>0.7</v>
      </c>
      <c r="AA19" s="77">
        <v>0.7</v>
      </c>
      <c r="AB19" s="77">
        <v>0.7</v>
      </c>
      <c r="AC19" s="77">
        <v>0.7</v>
      </c>
      <c r="AD19" s="77">
        <v>0.7</v>
      </c>
      <c r="AE19" s="77">
        <v>0.7</v>
      </c>
      <c r="AF19" s="78">
        <v>0.7</v>
      </c>
      <c r="AG19" s="79">
        <v>0.7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F145-BEBA-448E-9549-48ACF55EF1FD}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312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04" t="s">
        <v>17</v>
      </c>
      <c r="L5" s="204" t="s">
        <v>18</v>
      </c>
      <c r="M5" s="204" t="s">
        <v>19</v>
      </c>
      <c r="N5" s="20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0.40829647993674129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0.40829647993674129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208</v>
      </c>
      <c r="E8" s="57" t="s">
        <v>308</v>
      </c>
      <c r="F8" s="33" t="s">
        <v>205</v>
      </c>
      <c r="G8" s="36">
        <v>2</v>
      </c>
      <c r="H8" s="38">
        <v>25</v>
      </c>
      <c r="I8" s="7">
        <v>1000</v>
      </c>
      <c r="J8" s="5">
        <v>4356</v>
      </c>
      <c r="K8" s="15">
        <f>L8</f>
        <v>4356</v>
      </c>
      <c r="L8" s="15">
        <f>2178*2</f>
        <v>4356</v>
      </c>
      <c r="M8" s="16">
        <f t="shared" si="0"/>
        <v>4356</v>
      </c>
      <c r="N8" s="16">
        <v>0</v>
      </c>
      <c r="O8" s="62">
        <f t="shared" si="1"/>
        <v>0</v>
      </c>
      <c r="P8" s="42">
        <f t="shared" si="2"/>
        <v>8</v>
      </c>
      <c r="Q8" s="43">
        <f t="shared" si="3"/>
        <v>16</v>
      </c>
      <c r="R8" s="7"/>
      <c r="S8" s="6"/>
      <c r="T8" s="17"/>
      <c r="U8" s="17"/>
      <c r="V8" s="18"/>
      <c r="W8" s="19">
        <v>16</v>
      </c>
      <c r="X8" s="17"/>
      <c r="Y8" s="20"/>
      <c r="Z8" s="20"/>
      <c r="AA8" s="21"/>
      <c r="AB8" s="8">
        <f t="shared" si="4"/>
        <v>1</v>
      </c>
      <c r="AC8" s="9">
        <f t="shared" si="5"/>
        <v>0.33333333333333331</v>
      </c>
      <c r="AD8" s="10">
        <f t="shared" si="6"/>
        <v>0.33333333333333331</v>
      </c>
      <c r="AE8" s="39">
        <f t="shared" si="7"/>
        <v>0.40829647993674129</v>
      </c>
      <c r="AF8" s="93">
        <f t="shared" si="8"/>
        <v>3</v>
      </c>
    </row>
    <row r="9" spans="1:32" ht="27" customHeight="1">
      <c r="A9" s="108">
        <v>3</v>
      </c>
      <c r="B9" s="11" t="s">
        <v>57</v>
      </c>
      <c r="C9" s="37" t="s">
        <v>222</v>
      </c>
      <c r="D9" s="55" t="s">
        <v>255</v>
      </c>
      <c r="E9" s="57" t="s">
        <v>313</v>
      </c>
      <c r="F9" s="33" t="s">
        <v>205</v>
      </c>
      <c r="G9" s="36">
        <v>1</v>
      </c>
      <c r="H9" s="38">
        <v>25</v>
      </c>
      <c r="I9" s="7">
        <v>1200</v>
      </c>
      <c r="J9" s="5">
        <v>1433</v>
      </c>
      <c r="K9" s="15">
        <f>L9</f>
        <v>1433</v>
      </c>
      <c r="L9" s="15">
        <v>1433</v>
      </c>
      <c r="M9" s="16">
        <f t="shared" ref="M9" si="9">L9-N9</f>
        <v>1433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10</v>
      </c>
      <c r="Q9" s="43">
        <f t="shared" ref="Q9" si="12">SUM(R9:AA9)</f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ref="AB9" si="13">IF(J9=0,"0",(L9/J9))</f>
        <v>1</v>
      </c>
      <c r="AC9" s="9">
        <f t="shared" ref="AC9" si="14">IF(P9=0,"0",(P9/24))</f>
        <v>0.41666666666666669</v>
      </c>
      <c r="AD9" s="10">
        <f t="shared" ref="AD9" si="15">AC9*AB9*(1-O9)</f>
        <v>0.41666666666666669</v>
      </c>
      <c r="AE9" s="39">
        <f t="shared" si="7"/>
        <v>0.40829647993674129</v>
      </c>
      <c r="AF9" s="93">
        <f t="shared" ref="AF9" si="16">A9</f>
        <v>3</v>
      </c>
    </row>
    <row r="10" spans="1:32" ht="27" customHeight="1">
      <c r="A10" s="109">
        <v>4</v>
      </c>
      <c r="B10" s="11" t="s">
        <v>57</v>
      </c>
      <c r="C10" s="11" t="s">
        <v>114</v>
      </c>
      <c r="D10" s="55" t="s">
        <v>123</v>
      </c>
      <c r="E10" s="57" t="s">
        <v>297</v>
      </c>
      <c r="F10" s="12" t="s">
        <v>137</v>
      </c>
      <c r="G10" s="12">
        <v>1</v>
      </c>
      <c r="H10" s="13">
        <v>25</v>
      </c>
      <c r="I10" s="7">
        <v>6000</v>
      </c>
      <c r="J10" s="14">
        <v>2170</v>
      </c>
      <c r="K10" s="15">
        <f>L10+503</f>
        <v>2671</v>
      </c>
      <c r="L10" s="15">
        <f>1468+700</f>
        <v>2168</v>
      </c>
      <c r="M10" s="16">
        <f t="shared" si="0"/>
        <v>2168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>
        <v>14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0.99907834101382487</v>
      </c>
      <c r="AC10" s="9">
        <f t="shared" si="5"/>
        <v>0.41666666666666669</v>
      </c>
      <c r="AD10" s="10">
        <f t="shared" si="6"/>
        <v>0.41628264208909371</v>
      </c>
      <c r="AE10" s="39">
        <f t="shared" si="7"/>
        <v>0.40829647993674129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152</v>
      </c>
      <c r="D11" s="55" t="s">
        <v>217</v>
      </c>
      <c r="E11" s="57" t="s">
        <v>201</v>
      </c>
      <c r="F11" s="12" t="s">
        <v>189</v>
      </c>
      <c r="G11" s="12">
        <v>2</v>
      </c>
      <c r="H11" s="13">
        <v>25</v>
      </c>
      <c r="I11" s="7">
        <v>20000</v>
      </c>
      <c r="J11" s="14">
        <v>14640</v>
      </c>
      <c r="K11" s="15">
        <f>L11+1696+5260+3654+9378</f>
        <v>34628</v>
      </c>
      <c r="L11" s="15">
        <f>3577*2+3743*2</f>
        <v>14640</v>
      </c>
      <c r="M11" s="16">
        <f t="shared" si="0"/>
        <v>14640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0.40829647993674129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125</v>
      </c>
      <c r="D12" s="55" t="s">
        <v>126</v>
      </c>
      <c r="E12" s="57" t="s">
        <v>264</v>
      </c>
      <c r="F12" s="12" t="s">
        <v>172</v>
      </c>
      <c r="G12" s="12">
        <v>1</v>
      </c>
      <c r="H12" s="13">
        <v>25</v>
      </c>
      <c r="I12" s="34">
        <v>3000</v>
      </c>
      <c r="J12" s="5">
        <v>1994</v>
      </c>
      <c r="K12" s="15">
        <f>L12+2739</f>
        <v>4733</v>
      </c>
      <c r="L12" s="15">
        <v>1994</v>
      </c>
      <c r="M12" s="16">
        <f t="shared" si="0"/>
        <v>1994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/>
      <c r="W12" s="19">
        <v>14</v>
      </c>
      <c r="X12" s="17"/>
      <c r="Y12" s="20"/>
      <c r="Z12" s="20"/>
      <c r="AA12" s="21"/>
      <c r="AB12" s="8">
        <f t="shared" si="4"/>
        <v>1</v>
      </c>
      <c r="AC12" s="9">
        <f t="shared" si="5"/>
        <v>0.41666666666666669</v>
      </c>
      <c r="AD12" s="10">
        <f t="shared" si="6"/>
        <v>0.41666666666666669</v>
      </c>
      <c r="AE12" s="39">
        <f t="shared" si="7"/>
        <v>0.40829647993674129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125</v>
      </c>
      <c r="D13" s="55" t="s">
        <v>132</v>
      </c>
      <c r="E13" s="57" t="s">
        <v>133</v>
      </c>
      <c r="F13" s="12" t="s">
        <v>129</v>
      </c>
      <c r="G13" s="12">
        <v>1</v>
      </c>
      <c r="H13" s="13">
        <v>25</v>
      </c>
      <c r="I13" s="7">
        <v>30000</v>
      </c>
      <c r="J13" s="14">
        <v>1455</v>
      </c>
      <c r="K13" s="15">
        <f>L13+6302+5982+6188+6139+6173+1455</f>
        <v>32239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0.40829647993674129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188</v>
      </c>
      <c r="F14" s="12" t="s">
        <v>189</v>
      </c>
      <c r="G14" s="12">
        <v>1</v>
      </c>
      <c r="H14" s="13">
        <v>25</v>
      </c>
      <c r="I14" s="7">
        <v>30000</v>
      </c>
      <c r="J14" s="14">
        <v>5340</v>
      </c>
      <c r="K14" s="15">
        <f>L14+544+4129+5286+4993+5552+4940+4370</f>
        <v>35154</v>
      </c>
      <c r="L14" s="15">
        <f>2813+2527</f>
        <v>5340</v>
      </c>
      <c r="M14" s="16">
        <f t="shared" si="0"/>
        <v>5340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1</v>
      </c>
      <c r="AD14" s="10">
        <f t="shared" si="6"/>
        <v>1</v>
      </c>
      <c r="AE14" s="39">
        <f t="shared" si="7"/>
        <v>0.40829647993674129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155</v>
      </c>
      <c r="F15" s="33" t="s">
        <v>153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0.40829647993674129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152</v>
      </c>
      <c r="D16" s="55"/>
      <c r="E16" s="57" t="s">
        <v>265</v>
      </c>
      <c r="F16" s="12" t="s">
        <v>156</v>
      </c>
      <c r="G16" s="12">
        <v>1</v>
      </c>
      <c r="H16" s="13">
        <v>24</v>
      </c>
      <c r="I16" s="34">
        <v>250</v>
      </c>
      <c r="J16" s="14">
        <v>305</v>
      </c>
      <c r="K16" s="15">
        <f>L16+305</f>
        <v>305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0.40829647993674129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208</v>
      </c>
      <c r="E17" s="57" t="s">
        <v>229</v>
      </c>
      <c r="F17" s="33" t="s">
        <v>205</v>
      </c>
      <c r="G17" s="36">
        <v>2</v>
      </c>
      <c r="H17" s="38">
        <v>25</v>
      </c>
      <c r="I17" s="7">
        <v>15000</v>
      </c>
      <c r="J17" s="5">
        <v>11850</v>
      </c>
      <c r="K17" s="15">
        <f>L17+5656</f>
        <v>17504</v>
      </c>
      <c r="L17" s="15">
        <f>2682*2+3242*2</f>
        <v>11848</v>
      </c>
      <c r="M17" s="16">
        <f t="shared" si="0"/>
        <v>11848</v>
      </c>
      <c r="N17" s="16">
        <v>0</v>
      </c>
      <c r="O17" s="62">
        <f t="shared" si="1"/>
        <v>0</v>
      </c>
      <c r="P17" s="42">
        <f t="shared" si="2"/>
        <v>24</v>
      </c>
      <c r="Q17" s="43">
        <f t="shared" si="3"/>
        <v>0</v>
      </c>
      <c r="R17" s="7"/>
      <c r="S17" s="6"/>
      <c r="T17" s="17"/>
      <c r="U17" s="17"/>
      <c r="V17" s="18"/>
      <c r="W17" s="19"/>
      <c r="X17" s="17"/>
      <c r="Y17" s="20"/>
      <c r="Z17" s="20"/>
      <c r="AA17" s="21"/>
      <c r="AB17" s="8">
        <f t="shared" si="4"/>
        <v>0.99983122362869203</v>
      </c>
      <c r="AC17" s="9">
        <f t="shared" si="5"/>
        <v>1</v>
      </c>
      <c r="AD17" s="10">
        <f t="shared" si="6"/>
        <v>0.99983122362869203</v>
      </c>
      <c r="AE17" s="39">
        <f t="shared" si="7"/>
        <v>0.40829647993674129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222</v>
      </c>
      <c r="D18" s="55" t="s">
        <v>126</v>
      </c>
      <c r="E18" s="57" t="s">
        <v>314</v>
      </c>
      <c r="F18" s="12" t="s">
        <v>172</v>
      </c>
      <c r="G18" s="12">
        <v>1</v>
      </c>
      <c r="H18" s="13">
        <v>24</v>
      </c>
      <c r="I18" s="34">
        <v>1200</v>
      </c>
      <c r="J18" s="14">
        <v>1641</v>
      </c>
      <c r="K18" s="15">
        <f>L18</f>
        <v>1641</v>
      </c>
      <c r="L18" s="15">
        <f>1251+390</f>
        <v>1641</v>
      </c>
      <c r="M18" s="16">
        <f t="shared" si="0"/>
        <v>1641</v>
      </c>
      <c r="N18" s="16">
        <v>0</v>
      </c>
      <c r="O18" s="62">
        <f t="shared" si="1"/>
        <v>0</v>
      </c>
      <c r="P18" s="42">
        <f t="shared" si="2"/>
        <v>16</v>
      </c>
      <c r="Q18" s="43">
        <f t="shared" si="3"/>
        <v>8</v>
      </c>
      <c r="R18" s="7"/>
      <c r="S18" s="6"/>
      <c r="T18" s="17"/>
      <c r="U18" s="17"/>
      <c r="V18" s="18"/>
      <c r="W18" s="19">
        <v>8</v>
      </c>
      <c r="X18" s="17"/>
      <c r="Y18" s="20"/>
      <c r="Z18" s="20"/>
      <c r="AA18" s="21"/>
      <c r="AB18" s="8">
        <f t="shared" si="4"/>
        <v>1</v>
      </c>
      <c r="AC18" s="9">
        <f t="shared" si="5"/>
        <v>0.66666666666666663</v>
      </c>
      <c r="AD18" s="10">
        <f t="shared" si="6"/>
        <v>0.66666666666666663</v>
      </c>
      <c r="AE18" s="39">
        <f t="shared" si="7"/>
        <v>0.40829647993674129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149</v>
      </c>
      <c r="E19" s="57" t="s">
        <v>293</v>
      </c>
      <c r="F19" s="12" t="s">
        <v>137</v>
      </c>
      <c r="G19" s="36">
        <v>1</v>
      </c>
      <c r="H19" s="38">
        <v>30</v>
      </c>
      <c r="I19" s="7">
        <v>6000</v>
      </c>
      <c r="J19" s="5">
        <v>776</v>
      </c>
      <c r="K19" s="15">
        <f>L19</f>
        <v>776</v>
      </c>
      <c r="L19" s="15">
        <v>776</v>
      </c>
      <c r="M19" s="16">
        <f t="shared" si="0"/>
        <v>776</v>
      </c>
      <c r="N19" s="16">
        <v>0</v>
      </c>
      <c r="O19" s="62">
        <f t="shared" si="1"/>
        <v>0</v>
      </c>
      <c r="P19" s="42">
        <f t="shared" si="2"/>
        <v>4</v>
      </c>
      <c r="Q19" s="43">
        <f t="shared" si="3"/>
        <v>20</v>
      </c>
      <c r="R19" s="7"/>
      <c r="S19" s="6">
        <v>20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0.16666666666666666</v>
      </c>
      <c r="AD19" s="10">
        <f t="shared" si="6"/>
        <v>0.16666666666666666</v>
      </c>
      <c r="AE19" s="39">
        <f t="shared" si="7"/>
        <v>0.40829647993674129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125</v>
      </c>
      <c r="D20" s="55" t="s">
        <v>123</v>
      </c>
      <c r="E20" s="57" t="s">
        <v>219</v>
      </c>
      <c r="F20" s="12" t="s">
        <v>189</v>
      </c>
      <c r="G20" s="36">
        <v>1</v>
      </c>
      <c r="H20" s="38">
        <v>30</v>
      </c>
      <c r="I20" s="7">
        <v>500</v>
      </c>
      <c r="J20" s="5">
        <v>796</v>
      </c>
      <c r="K20" s="15">
        <f>L20</f>
        <v>796</v>
      </c>
      <c r="L20" s="15">
        <f>796</f>
        <v>796</v>
      </c>
      <c r="M20" s="16">
        <f t="shared" si="0"/>
        <v>796</v>
      </c>
      <c r="N20" s="16">
        <v>0</v>
      </c>
      <c r="O20" s="62">
        <f t="shared" si="1"/>
        <v>0</v>
      </c>
      <c r="P20" s="42">
        <f t="shared" si="2"/>
        <v>5</v>
      </c>
      <c r="Q20" s="43">
        <f t="shared" si="3"/>
        <v>19</v>
      </c>
      <c r="R20" s="7"/>
      <c r="S20" s="6"/>
      <c r="T20" s="17"/>
      <c r="U20" s="17"/>
      <c r="V20" s="18"/>
      <c r="W20" s="19">
        <v>19</v>
      </c>
      <c r="X20" s="17"/>
      <c r="Y20" s="20"/>
      <c r="Z20" s="20"/>
      <c r="AA20" s="21"/>
      <c r="AB20" s="8">
        <f t="shared" si="4"/>
        <v>1</v>
      </c>
      <c r="AC20" s="9">
        <f t="shared" si="5"/>
        <v>0.20833333333333334</v>
      </c>
      <c r="AD20" s="10">
        <f t="shared" si="6"/>
        <v>0.20833333333333334</v>
      </c>
      <c r="AE20" s="39">
        <f t="shared" si="7"/>
        <v>0.40829647993674129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236</v>
      </c>
      <c r="F21" s="12" t="s">
        <v>122</v>
      </c>
      <c r="G21" s="12">
        <v>4</v>
      </c>
      <c r="H21" s="38">
        <v>20</v>
      </c>
      <c r="I21" s="7">
        <v>300000</v>
      </c>
      <c r="J21" s="14">
        <v>19196</v>
      </c>
      <c r="K21" s="15">
        <f>L21+20068+24564+48544+43996+30716</f>
        <v>187084</v>
      </c>
      <c r="L21" s="15">
        <f>4799*4</f>
        <v>19196</v>
      </c>
      <c r="M21" s="16">
        <f t="shared" si="0"/>
        <v>19196</v>
      </c>
      <c r="N21" s="16">
        <v>0</v>
      </c>
      <c r="O21" s="62">
        <f t="shared" si="1"/>
        <v>0</v>
      </c>
      <c r="P21" s="42">
        <f t="shared" si="2"/>
        <v>12</v>
      </c>
      <c r="Q21" s="43">
        <f t="shared" si="3"/>
        <v>12</v>
      </c>
      <c r="R21" s="7"/>
      <c r="S21" s="6"/>
      <c r="T21" s="17"/>
      <c r="U21" s="17"/>
      <c r="V21" s="18">
        <v>12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0.5</v>
      </c>
      <c r="AD21" s="10">
        <f t="shared" si="6"/>
        <v>0.5</v>
      </c>
      <c r="AE21" s="39">
        <f t="shared" si="7"/>
        <v>0.40829647993674129</v>
      </c>
      <c r="AF21" s="93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616150</v>
      </c>
      <c r="J22" s="22">
        <f t="shared" si="17"/>
        <v>104660</v>
      </c>
      <c r="K22" s="23">
        <f t="shared" si="17"/>
        <v>511666</v>
      </c>
      <c r="L22" s="24">
        <f t="shared" si="17"/>
        <v>64188</v>
      </c>
      <c r="M22" s="23">
        <f t="shared" si="17"/>
        <v>64188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147</v>
      </c>
      <c r="Q22" s="46">
        <f t="shared" si="18"/>
        <v>237</v>
      </c>
      <c r="R22" s="26">
        <f t="shared" si="18"/>
        <v>48</v>
      </c>
      <c r="S22" s="27">
        <f t="shared" si="18"/>
        <v>34</v>
      </c>
      <c r="T22" s="27">
        <f t="shared" si="18"/>
        <v>0</v>
      </c>
      <c r="U22" s="27">
        <f t="shared" si="18"/>
        <v>0</v>
      </c>
      <c r="V22" s="28">
        <f t="shared" si="18"/>
        <v>12</v>
      </c>
      <c r="W22" s="29">
        <f t="shared" si="18"/>
        <v>143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0.73326063764283445</v>
      </c>
      <c r="AC22" s="4">
        <f>SUM(AC6:AC21)/15</f>
        <v>0.40833333333333338</v>
      </c>
      <c r="AD22" s="4">
        <f>SUM(AD6:AD21)/15</f>
        <v>0.40829647993674129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315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318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05" t="s">
        <v>46</v>
      </c>
      <c r="D51" s="205" t="s">
        <v>47</v>
      </c>
      <c r="E51" s="205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205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125</v>
      </c>
      <c r="B52" s="385"/>
      <c r="C52" s="207" t="s">
        <v>140</v>
      </c>
      <c r="D52" s="207" t="s">
        <v>208</v>
      </c>
      <c r="E52" s="207" t="s">
        <v>308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206" t="s">
        <v>222</v>
      </c>
      <c r="O52" s="124" t="s">
        <v>140</v>
      </c>
      <c r="P52" s="385" t="s">
        <v>123</v>
      </c>
      <c r="Q52" s="385"/>
      <c r="R52" s="385" t="s">
        <v>319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152</v>
      </c>
      <c r="B53" s="385"/>
      <c r="C53" s="207" t="s">
        <v>142</v>
      </c>
      <c r="D53" s="207" t="s">
        <v>217</v>
      </c>
      <c r="E53" s="207" t="s">
        <v>201</v>
      </c>
      <c r="F53" s="376" t="s">
        <v>316</v>
      </c>
      <c r="G53" s="376"/>
      <c r="H53" s="376"/>
      <c r="I53" s="376"/>
      <c r="J53" s="376"/>
      <c r="K53" s="376"/>
      <c r="L53" s="376"/>
      <c r="M53" s="386"/>
      <c r="N53" s="206" t="s">
        <v>114</v>
      </c>
      <c r="O53" s="124" t="s">
        <v>141</v>
      </c>
      <c r="P53" s="385" t="s">
        <v>123</v>
      </c>
      <c r="Q53" s="385"/>
      <c r="R53" s="385" t="s">
        <v>297</v>
      </c>
      <c r="S53" s="385"/>
      <c r="T53" s="385"/>
      <c r="U53" s="385"/>
      <c r="V53" s="376" t="s">
        <v>143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222</v>
      </c>
      <c r="B54" s="385"/>
      <c r="C54" s="207" t="s">
        <v>140</v>
      </c>
      <c r="D54" s="207" t="s">
        <v>255</v>
      </c>
      <c r="E54" s="207" t="s">
        <v>313</v>
      </c>
      <c r="F54" s="376" t="s">
        <v>317</v>
      </c>
      <c r="G54" s="376"/>
      <c r="H54" s="376"/>
      <c r="I54" s="376"/>
      <c r="J54" s="376"/>
      <c r="K54" s="376"/>
      <c r="L54" s="376"/>
      <c r="M54" s="386"/>
      <c r="N54" s="206" t="s">
        <v>114</v>
      </c>
      <c r="O54" s="124" t="s">
        <v>195</v>
      </c>
      <c r="P54" s="385" t="s">
        <v>149</v>
      </c>
      <c r="Q54" s="385"/>
      <c r="R54" s="385" t="s">
        <v>283</v>
      </c>
      <c r="S54" s="385"/>
      <c r="T54" s="385"/>
      <c r="U54" s="385"/>
      <c r="V54" s="376" t="s">
        <v>143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125</v>
      </c>
      <c r="B55" s="385"/>
      <c r="C55" s="207" t="s">
        <v>145</v>
      </c>
      <c r="D55" s="207" t="s">
        <v>123</v>
      </c>
      <c r="E55" s="207" t="s">
        <v>219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206" t="s">
        <v>222</v>
      </c>
      <c r="O55" s="124" t="s">
        <v>140</v>
      </c>
      <c r="P55" s="385" t="s">
        <v>321</v>
      </c>
      <c r="Q55" s="385"/>
      <c r="R55" s="385" t="s">
        <v>320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207" t="s">
        <v>141</v>
      </c>
      <c r="D56" s="207" t="s">
        <v>123</v>
      </c>
      <c r="E56" s="207" t="s">
        <v>297</v>
      </c>
      <c r="F56" s="376" t="s">
        <v>238</v>
      </c>
      <c r="G56" s="376"/>
      <c r="H56" s="376"/>
      <c r="I56" s="376"/>
      <c r="J56" s="376"/>
      <c r="K56" s="376"/>
      <c r="L56" s="376"/>
      <c r="M56" s="386"/>
      <c r="N56" s="206" t="s">
        <v>222</v>
      </c>
      <c r="O56" s="124" t="s">
        <v>191</v>
      </c>
      <c r="P56" s="385" t="s">
        <v>322</v>
      </c>
      <c r="Q56" s="385"/>
      <c r="R56" s="385" t="s">
        <v>323</v>
      </c>
      <c r="S56" s="385"/>
      <c r="T56" s="385"/>
      <c r="U56" s="385"/>
      <c r="V56" s="376" t="s">
        <v>130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207" t="s">
        <v>195</v>
      </c>
      <c r="D57" s="207" t="s">
        <v>149</v>
      </c>
      <c r="E57" s="207" t="s">
        <v>293</v>
      </c>
      <c r="F57" s="376" t="s">
        <v>258</v>
      </c>
      <c r="G57" s="376"/>
      <c r="H57" s="376"/>
      <c r="I57" s="376"/>
      <c r="J57" s="376"/>
      <c r="K57" s="376"/>
      <c r="L57" s="376"/>
      <c r="M57" s="386"/>
      <c r="N57" s="206" t="s">
        <v>125</v>
      </c>
      <c r="O57" s="124" t="s">
        <v>191</v>
      </c>
      <c r="P57" s="393" t="s">
        <v>208</v>
      </c>
      <c r="Q57" s="394"/>
      <c r="R57" s="385" t="s">
        <v>324</v>
      </c>
      <c r="S57" s="385"/>
      <c r="T57" s="385"/>
      <c r="U57" s="385"/>
      <c r="V57" s="376" t="s">
        <v>130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222</v>
      </c>
      <c r="B58" s="385"/>
      <c r="C58" s="207" t="s">
        <v>181</v>
      </c>
      <c r="D58" s="207" t="s">
        <v>126</v>
      </c>
      <c r="E58" s="207" t="s">
        <v>314</v>
      </c>
      <c r="F58" s="376" t="s">
        <v>130</v>
      </c>
      <c r="G58" s="376"/>
      <c r="H58" s="376"/>
      <c r="I58" s="376"/>
      <c r="J58" s="376"/>
      <c r="K58" s="376"/>
      <c r="L58" s="376"/>
      <c r="M58" s="386"/>
      <c r="N58" s="206" t="s">
        <v>114</v>
      </c>
      <c r="O58" s="124" t="s">
        <v>174</v>
      </c>
      <c r="P58" s="393" t="s">
        <v>123</v>
      </c>
      <c r="Q58" s="394"/>
      <c r="R58" s="385" t="s">
        <v>325</v>
      </c>
      <c r="S58" s="385"/>
      <c r="T58" s="385"/>
      <c r="U58" s="385"/>
      <c r="V58" s="376" t="s">
        <v>130</v>
      </c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07"/>
      <c r="D59" s="207"/>
      <c r="E59" s="207"/>
      <c r="F59" s="376"/>
      <c r="G59" s="376"/>
      <c r="H59" s="376"/>
      <c r="I59" s="376"/>
      <c r="J59" s="376"/>
      <c r="K59" s="376"/>
      <c r="L59" s="376"/>
      <c r="M59" s="386"/>
      <c r="N59" s="206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07"/>
      <c r="D60" s="207"/>
      <c r="E60" s="207"/>
      <c r="F60" s="376"/>
      <c r="G60" s="376"/>
      <c r="H60" s="376"/>
      <c r="I60" s="376"/>
      <c r="J60" s="376"/>
      <c r="K60" s="376"/>
      <c r="L60" s="376"/>
      <c r="M60" s="386"/>
      <c r="N60" s="206"/>
      <c r="O60" s="12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3">
        <f>8*3000</f>
        <v>24000</v>
      </c>
    </row>
    <row r="61" spans="1:32" ht="27" customHeight="1" thickBot="1">
      <c r="A61" s="387"/>
      <c r="B61" s="388"/>
      <c r="C61" s="209"/>
      <c r="D61" s="209"/>
      <c r="E61" s="209"/>
      <c r="F61" s="389"/>
      <c r="G61" s="389"/>
      <c r="H61" s="389"/>
      <c r="I61" s="389"/>
      <c r="J61" s="389"/>
      <c r="K61" s="389"/>
      <c r="L61" s="389"/>
      <c r="M61" s="390"/>
      <c r="N61" s="208"/>
      <c r="O61" s="120"/>
      <c r="P61" s="388"/>
      <c r="Q61" s="388"/>
      <c r="R61" s="388"/>
      <c r="S61" s="388"/>
      <c r="T61" s="388"/>
      <c r="U61" s="388"/>
      <c r="V61" s="391"/>
      <c r="W61" s="391"/>
      <c r="X61" s="391"/>
      <c r="Y61" s="391"/>
      <c r="Z61" s="391"/>
      <c r="AA61" s="391"/>
      <c r="AB61" s="391"/>
      <c r="AC61" s="391"/>
      <c r="AD61" s="392"/>
      <c r="AF61" s="93">
        <f>16*3000</f>
        <v>48000</v>
      </c>
    </row>
    <row r="62" spans="1:32" ht="27.75" thickBot="1">
      <c r="A62" s="382" t="s">
        <v>326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83" t="s">
        <v>113</v>
      </c>
      <c r="B63" s="380"/>
      <c r="C63" s="210" t="s">
        <v>2</v>
      </c>
      <c r="D63" s="210" t="s">
        <v>37</v>
      </c>
      <c r="E63" s="210" t="s">
        <v>3</v>
      </c>
      <c r="F63" s="380" t="s">
        <v>110</v>
      </c>
      <c r="G63" s="380"/>
      <c r="H63" s="380"/>
      <c r="I63" s="380"/>
      <c r="J63" s="380"/>
      <c r="K63" s="380" t="s">
        <v>39</v>
      </c>
      <c r="L63" s="380"/>
      <c r="M63" s="210" t="s">
        <v>40</v>
      </c>
      <c r="N63" s="380" t="s">
        <v>41</v>
      </c>
      <c r="O63" s="380"/>
      <c r="P63" s="377" t="s">
        <v>42</v>
      </c>
      <c r="Q63" s="379"/>
      <c r="R63" s="377" t="s">
        <v>43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44</v>
      </c>
      <c r="AC63" s="380"/>
      <c r="AD63" s="381"/>
      <c r="AF63" s="93">
        <f>SUM(AF60:AF62)</f>
        <v>96000</v>
      </c>
    </row>
    <row r="64" spans="1:32" ht="25.5" customHeight="1">
      <c r="A64" s="372">
        <v>1</v>
      </c>
      <c r="B64" s="373"/>
      <c r="C64" s="123"/>
      <c r="D64" s="213"/>
      <c r="E64" s="211"/>
      <c r="F64" s="374"/>
      <c r="G64" s="366"/>
      <c r="H64" s="366"/>
      <c r="I64" s="366"/>
      <c r="J64" s="366"/>
      <c r="K64" s="366"/>
      <c r="L64" s="366"/>
      <c r="M64" s="54"/>
      <c r="N64" s="366"/>
      <c r="O64" s="366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2</v>
      </c>
      <c r="B65" s="373"/>
      <c r="C65" s="123"/>
      <c r="D65" s="213"/>
      <c r="E65" s="211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3</v>
      </c>
      <c r="B66" s="373"/>
      <c r="C66" s="123"/>
      <c r="D66" s="213"/>
      <c r="E66" s="211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4</v>
      </c>
      <c r="B67" s="373"/>
      <c r="C67" s="123"/>
      <c r="D67" s="213"/>
      <c r="E67" s="211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5</v>
      </c>
      <c r="B68" s="373"/>
      <c r="C68" s="123"/>
      <c r="D68" s="213"/>
      <c r="E68" s="211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6</v>
      </c>
      <c r="B69" s="373"/>
      <c r="C69" s="123"/>
      <c r="D69" s="213"/>
      <c r="E69" s="211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7</v>
      </c>
      <c r="B70" s="373"/>
      <c r="C70" s="123"/>
      <c r="D70" s="213"/>
      <c r="E70" s="211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8</v>
      </c>
      <c r="B71" s="373"/>
      <c r="C71" s="123"/>
      <c r="D71" s="213"/>
      <c r="E71" s="211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6.25" customHeight="1" thickBot="1">
      <c r="A72" s="346" t="s">
        <v>327</v>
      </c>
      <c r="B72" s="346"/>
      <c r="C72" s="346"/>
      <c r="D72" s="346"/>
      <c r="E72" s="346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47" t="s">
        <v>113</v>
      </c>
      <c r="B73" s="348"/>
      <c r="C73" s="212" t="s">
        <v>2</v>
      </c>
      <c r="D73" s="212" t="s">
        <v>37</v>
      </c>
      <c r="E73" s="212" t="s">
        <v>3</v>
      </c>
      <c r="F73" s="348" t="s">
        <v>38</v>
      </c>
      <c r="G73" s="348"/>
      <c r="H73" s="348"/>
      <c r="I73" s="348"/>
      <c r="J73" s="348"/>
      <c r="K73" s="368" t="s">
        <v>58</v>
      </c>
      <c r="L73" s="369"/>
      <c r="M73" s="369"/>
      <c r="N73" s="369"/>
      <c r="O73" s="369"/>
      <c r="P73" s="369"/>
      <c r="Q73" s="369"/>
      <c r="R73" s="369"/>
      <c r="S73" s="370"/>
      <c r="T73" s="348" t="s">
        <v>49</v>
      </c>
      <c r="U73" s="348"/>
      <c r="V73" s="368" t="s">
        <v>50</v>
      </c>
      <c r="W73" s="370"/>
      <c r="X73" s="369" t="s">
        <v>51</v>
      </c>
      <c r="Y73" s="369"/>
      <c r="Z73" s="369"/>
      <c r="AA73" s="369"/>
      <c r="AB73" s="369"/>
      <c r="AC73" s="369"/>
      <c r="AD73" s="371"/>
      <c r="AF73" s="53"/>
    </row>
    <row r="74" spans="1:32" ht="33.75" customHeight="1">
      <c r="A74" s="340">
        <v>1</v>
      </c>
      <c r="B74" s="341"/>
      <c r="C74" s="214" t="s">
        <v>114</v>
      </c>
      <c r="D74" s="214"/>
      <c r="E74" s="71" t="s">
        <v>119</v>
      </c>
      <c r="F74" s="355" t="s">
        <v>120</v>
      </c>
      <c r="G74" s="356"/>
      <c r="H74" s="356"/>
      <c r="I74" s="356"/>
      <c r="J74" s="357"/>
      <c r="K74" s="358" t="s">
        <v>115</v>
      </c>
      <c r="L74" s="359"/>
      <c r="M74" s="359"/>
      <c r="N74" s="359"/>
      <c r="O74" s="359"/>
      <c r="P74" s="359"/>
      <c r="Q74" s="359"/>
      <c r="R74" s="359"/>
      <c r="S74" s="360"/>
      <c r="T74" s="361">
        <v>42901</v>
      </c>
      <c r="U74" s="362"/>
      <c r="V74" s="363"/>
      <c r="W74" s="363"/>
      <c r="X74" s="364"/>
      <c r="Y74" s="364"/>
      <c r="Z74" s="364"/>
      <c r="AA74" s="364"/>
      <c r="AB74" s="364"/>
      <c r="AC74" s="364"/>
      <c r="AD74" s="365"/>
      <c r="AF74" s="53"/>
    </row>
    <row r="75" spans="1:32" ht="30" customHeight="1">
      <c r="A75" s="333">
        <f>A74+1</f>
        <v>2</v>
      </c>
      <c r="B75" s="334"/>
      <c r="C75" s="213" t="s">
        <v>114</v>
      </c>
      <c r="D75" s="213"/>
      <c r="E75" s="35" t="s">
        <v>116</v>
      </c>
      <c r="F75" s="334" t="s">
        <v>117</v>
      </c>
      <c r="G75" s="334"/>
      <c r="H75" s="334"/>
      <c r="I75" s="334"/>
      <c r="J75" s="334"/>
      <c r="K75" s="349" t="s">
        <v>118</v>
      </c>
      <c r="L75" s="350"/>
      <c r="M75" s="350"/>
      <c r="N75" s="350"/>
      <c r="O75" s="350"/>
      <c r="P75" s="350"/>
      <c r="Q75" s="350"/>
      <c r="R75" s="350"/>
      <c r="S75" s="351"/>
      <c r="T75" s="352">
        <v>42867</v>
      </c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ref="A76:A82" si="19">A75+1</f>
        <v>3</v>
      </c>
      <c r="B76" s="334"/>
      <c r="C76" s="213"/>
      <c r="D76" s="213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4</v>
      </c>
      <c r="B77" s="334"/>
      <c r="C77" s="213"/>
      <c r="D77" s="213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5</v>
      </c>
      <c r="B78" s="334"/>
      <c r="C78" s="213"/>
      <c r="D78" s="213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6</v>
      </c>
      <c r="B79" s="334"/>
      <c r="C79" s="213"/>
      <c r="D79" s="213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7</v>
      </c>
      <c r="B80" s="334"/>
      <c r="C80" s="213"/>
      <c r="D80" s="213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8</v>
      </c>
      <c r="B81" s="334"/>
      <c r="C81" s="213"/>
      <c r="D81" s="213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9</v>
      </c>
      <c r="B82" s="334"/>
      <c r="C82" s="213"/>
      <c r="D82" s="213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6" thickBot="1">
      <c r="A83" s="346" t="s">
        <v>328</v>
      </c>
      <c r="B83" s="346"/>
      <c r="C83" s="346"/>
      <c r="D83" s="346"/>
      <c r="E83" s="346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7" t="s">
        <v>113</v>
      </c>
      <c r="B84" s="348"/>
      <c r="C84" s="338" t="s">
        <v>52</v>
      </c>
      <c r="D84" s="338"/>
      <c r="E84" s="338" t="s">
        <v>53</v>
      </c>
      <c r="F84" s="338"/>
      <c r="G84" s="338"/>
      <c r="H84" s="338"/>
      <c r="I84" s="338"/>
      <c r="J84" s="338"/>
      <c r="K84" s="338" t="s">
        <v>54</v>
      </c>
      <c r="L84" s="338"/>
      <c r="M84" s="338"/>
      <c r="N84" s="338"/>
      <c r="O84" s="338"/>
      <c r="P84" s="338"/>
      <c r="Q84" s="338"/>
      <c r="R84" s="338"/>
      <c r="S84" s="338"/>
      <c r="T84" s="338" t="s">
        <v>55</v>
      </c>
      <c r="U84" s="338"/>
      <c r="V84" s="338" t="s">
        <v>56</v>
      </c>
      <c r="W84" s="338"/>
      <c r="X84" s="338"/>
      <c r="Y84" s="338" t="s">
        <v>51</v>
      </c>
      <c r="Z84" s="338"/>
      <c r="AA84" s="338"/>
      <c r="AB84" s="338"/>
      <c r="AC84" s="338"/>
      <c r="AD84" s="339"/>
      <c r="AF84" s="53"/>
    </row>
    <row r="85" spans="1:32" ht="30.75" customHeight="1">
      <c r="A85" s="340">
        <v>1</v>
      </c>
      <c r="B85" s="341"/>
      <c r="C85" s="342">
        <v>9</v>
      </c>
      <c r="D85" s="342"/>
      <c r="E85" s="342" t="s">
        <v>157</v>
      </c>
      <c r="F85" s="342"/>
      <c r="G85" s="342"/>
      <c r="H85" s="342"/>
      <c r="I85" s="342"/>
      <c r="J85" s="342"/>
      <c r="K85" s="342" t="s">
        <v>158</v>
      </c>
      <c r="L85" s="342"/>
      <c r="M85" s="342"/>
      <c r="N85" s="342"/>
      <c r="O85" s="342"/>
      <c r="P85" s="342"/>
      <c r="Q85" s="342"/>
      <c r="R85" s="342"/>
      <c r="S85" s="342"/>
      <c r="T85" s="342" t="s">
        <v>159</v>
      </c>
      <c r="U85" s="342"/>
      <c r="V85" s="343">
        <v>11307000</v>
      </c>
      <c r="W85" s="343"/>
      <c r="X85" s="343"/>
      <c r="Y85" s="344"/>
      <c r="Z85" s="344"/>
      <c r="AA85" s="344"/>
      <c r="AB85" s="344"/>
      <c r="AC85" s="344"/>
      <c r="AD85" s="345"/>
      <c r="AF85" s="53"/>
    </row>
    <row r="86" spans="1:32" ht="30.75" customHeight="1">
      <c r="A86" s="333">
        <v>2</v>
      </c>
      <c r="B86" s="334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6"/>
      <c r="U86" s="336"/>
      <c r="V86" s="337"/>
      <c r="W86" s="337"/>
      <c r="X86" s="337"/>
      <c r="Y86" s="326"/>
      <c r="Z86" s="326"/>
      <c r="AA86" s="326"/>
      <c r="AB86" s="326"/>
      <c r="AC86" s="326"/>
      <c r="AD86" s="327"/>
      <c r="AF86" s="53"/>
    </row>
    <row r="87" spans="1:32" ht="30.75" customHeight="1" thickBot="1">
      <c r="A87" s="328">
        <v>3</v>
      </c>
      <c r="B87" s="329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1"/>
      <c r="Z87" s="331"/>
      <c r="AA87" s="331"/>
      <c r="AB87" s="331"/>
      <c r="AC87" s="331"/>
      <c r="AD87" s="332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2BFE-56E1-45AA-99D4-63167103B4D0}">
  <sheetPr>
    <pageSetUpPr fitToPage="1"/>
  </sheetPr>
  <dimension ref="A1:AF88"/>
  <sheetViews>
    <sheetView zoomScale="72" zoomScaleNormal="72" zoomScaleSheetLayoutView="70" workbookViewId="0">
      <selection activeCell="F81" sqref="F81:J8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329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25" t="s">
        <v>17</v>
      </c>
      <c r="L5" s="225" t="s">
        <v>18</v>
      </c>
      <c r="M5" s="225" t="s">
        <v>19</v>
      </c>
      <c r="N5" s="2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0.33887621461765949</v>
      </c>
      <c r="AF6" s="93">
        <f t="shared" ref="AF6:AF22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0.33887621461765949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222</v>
      </c>
      <c r="D8" s="55" t="s">
        <v>123</v>
      </c>
      <c r="E8" s="57" t="s">
        <v>319</v>
      </c>
      <c r="F8" s="33" t="s">
        <v>131</v>
      </c>
      <c r="G8" s="36">
        <v>1</v>
      </c>
      <c r="H8" s="38">
        <v>25</v>
      </c>
      <c r="I8" s="7">
        <v>1200</v>
      </c>
      <c r="J8" s="5">
        <v>1306</v>
      </c>
      <c r="K8" s="15">
        <f>L8</f>
        <v>1306</v>
      </c>
      <c r="L8" s="15">
        <v>1306</v>
      </c>
      <c r="M8" s="16">
        <f t="shared" si="0"/>
        <v>1306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/>
      <c r="W8" s="19">
        <v>14</v>
      </c>
      <c r="X8" s="17"/>
      <c r="Y8" s="20"/>
      <c r="Z8" s="20"/>
      <c r="AA8" s="21"/>
      <c r="AB8" s="8">
        <f t="shared" si="4"/>
        <v>1</v>
      </c>
      <c r="AC8" s="9">
        <f t="shared" si="5"/>
        <v>0.41666666666666669</v>
      </c>
      <c r="AD8" s="10">
        <f t="shared" si="6"/>
        <v>0.41666666666666669</v>
      </c>
      <c r="AE8" s="39">
        <f t="shared" si="7"/>
        <v>0.33887621461765949</v>
      </c>
      <c r="AF8" s="93">
        <f t="shared" si="8"/>
        <v>3</v>
      </c>
    </row>
    <row r="9" spans="1:32" ht="27" customHeight="1">
      <c r="A9" s="108">
        <v>3</v>
      </c>
      <c r="B9" s="11" t="s">
        <v>57</v>
      </c>
      <c r="C9" s="37" t="s">
        <v>222</v>
      </c>
      <c r="D9" s="55" t="s">
        <v>322</v>
      </c>
      <c r="E9" s="57" t="s">
        <v>323</v>
      </c>
      <c r="F9" s="33" t="s">
        <v>131</v>
      </c>
      <c r="G9" s="36">
        <v>1</v>
      </c>
      <c r="H9" s="38">
        <v>25</v>
      </c>
      <c r="I9" s="7">
        <v>1200</v>
      </c>
      <c r="J9" s="5">
        <v>1274</v>
      </c>
      <c r="K9" s="15">
        <f>L9</f>
        <v>1274</v>
      </c>
      <c r="L9" s="15">
        <v>1274</v>
      </c>
      <c r="M9" s="16">
        <f t="shared" si="0"/>
        <v>1274</v>
      </c>
      <c r="N9" s="16">
        <v>0</v>
      </c>
      <c r="O9" s="62">
        <f t="shared" si="1"/>
        <v>0</v>
      </c>
      <c r="P9" s="42">
        <f t="shared" si="2"/>
        <v>10</v>
      </c>
      <c r="Q9" s="43">
        <f t="shared" si="3"/>
        <v>14</v>
      </c>
      <c r="R9" s="7"/>
      <c r="S9" s="6"/>
      <c r="T9" s="17"/>
      <c r="U9" s="17"/>
      <c r="V9" s="18"/>
      <c r="W9" s="19">
        <v>14</v>
      </c>
      <c r="X9" s="17"/>
      <c r="Y9" s="20"/>
      <c r="Z9" s="20"/>
      <c r="AA9" s="21"/>
      <c r="AB9" s="8">
        <f t="shared" si="4"/>
        <v>1</v>
      </c>
      <c r="AC9" s="9">
        <f t="shared" si="5"/>
        <v>0.41666666666666669</v>
      </c>
      <c r="AD9" s="10">
        <f t="shared" si="6"/>
        <v>0.41666666666666669</v>
      </c>
      <c r="AE9" s="39">
        <f t="shared" si="7"/>
        <v>0.33887621461765949</v>
      </c>
      <c r="AF9" s="93">
        <f t="shared" si="8"/>
        <v>3</v>
      </c>
    </row>
    <row r="10" spans="1:32" ht="27" customHeight="1">
      <c r="A10" s="109">
        <v>4</v>
      </c>
      <c r="B10" s="11" t="s">
        <v>57</v>
      </c>
      <c r="C10" s="11" t="s">
        <v>114</v>
      </c>
      <c r="D10" s="55" t="s">
        <v>123</v>
      </c>
      <c r="E10" s="57" t="s">
        <v>297</v>
      </c>
      <c r="F10" s="12" t="s">
        <v>137</v>
      </c>
      <c r="G10" s="12">
        <v>1</v>
      </c>
      <c r="H10" s="13">
        <v>25</v>
      </c>
      <c r="I10" s="7">
        <v>6000</v>
      </c>
      <c r="J10" s="14">
        <v>1646</v>
      </c>
      <c r="K10" s="15">
        <f>L10+503+2168</f>
        <v>4317</v>
      </c>
      <c r="L10" s="15">
        <f>1007+639</f>
        <v>1646</v>
      </c>
      <c r="M10" s="16">
        <f t="shared" si="0"/>
        <v>1646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>
        <v>14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0.41666666666666669</v>
      </c>
      <c r="AD10" s="10">
        <f t="shared" si="6"/>
        <v>0.41666666666666669</v>
      </c>
      <c r="AE10" s="39">
        <f t="shared" si="7"/>
        <v>0.33887621461765949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125</v>
      </c>
      <c r="D11" s="55" t="s">
        <v>132</v>
      </c>
      <c r="E11" s="57" t="s">
        <v>286</v>
      </c>
      <c r="F11" s="12" t="s">
        <v>129</v>
      </c>
      <c r="G11" s="12">
        <v>1</v>
      </c>
      <c r="H11" s="13">
        <v>25</v>
      </c>
      <c r="I11" s="7">
        <v>2000</v>
      </c>
      <c r="J11" s="14">
        <v>2259</v>
      </c>
      <c r="K11" s="15">
        <f>L11</f>
        <v>2259</v>
      </c>
      <c r="L11" s="15">
        <v>2259</v>
      </c>
      <c r="M11" s="16">
        <f t="shared" si="0"/>
        <v>2259</v>
      </c>
      <c r="N11" s="16">
        <v>0</v>
      </c>
      <c r="O11" s="62">
        <f t="shared" si="1"/>
        <v>0</v>
      </c>
      <c r="P11" s="42">
        <f t="shared" si="2"/>
        <v>14</v>
      </c>
      <c r="Q11" s="43">
        <f t="shared" si="3"/>
        <v>10</v>
      </c>
      <c r="R11" s="7"/>
      <c r="S11" s="6"/>
      <c r="T11" s="17"/>
      <c r="U11" s="17"/>
      <c r="V11" s="18"/>
      <c r="W11" s="19">
        <v>10</v>
      </c>
      <c r="X11" s="17"/>
      <c r="Y11" s="20"/>
      <c r="Z11" s="20"/>
      <c r="AA11" s="21"/>
      <c r="AB11" s="8">
        <f t="shared" si="4"/>
        <v>1</v>
      </c>
      <c r="AC11" s="9">
        <f t="shared" si="5"/>
        <v>0.58333333333333337</v>
      </c>
      <c r="AD11" s="10">
        <f t="shared" si="6"/>
        <v>0.58333333333333337</v>
      </c>
      <c r="AE11" s="39">
        <f t="shared" si="7"/>
        <v>0.33887621461765949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125</v>
      </c>
      <c r="D12" s="55" t="s">
        <v>126</v>
      </c>
      <c r="E12" s="57" t="s">
        <v>264</v>
      </c>
      <c r="F12" s="12" t="s">
        <v>172</v>
      </c>
      <c r="G12" s="12">
        <v>1</v>
      </c>
      <c r="H12" s="13">
        <v>25</v>
      </c>
      <c r="I12" s="34">
        <v>3000</v>
      </c>
      <c r="J12" s="5">
        <v>1994</v>
      </c>
      <c r="K12" s="15">
        <f>L12+2739+1994</f>
        <v>4733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0.33887621461765949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114</v>
      </c>
      <c r="D13" s="55" t="s">
        <v>123</v>
      </c>
      <c r="E13" s="57" t="s">
        <v>325</v>
      </c>
      <c r="F13" s="12" t="s">
        <v>129</v>
      </c>
      <c r="G13" s="12">
        <v>1</v>
      </c>
      <c r="H13" s="13">
        <v>25</v>
      </c>
      <c r="I13" s="7">
        <v>20000</v>
      </c>
      <c r="J13" s="14">
        <v>1176</v>
      </c>
      <c r="K13" s="15">
        <f>L13</f>
        <v>1176</v>
      </c>
      <c r="L13" s="15">
        <f>1176</f>
        <v>1176</v>
      </c>
      <c r="M13" s="16">
        <f t="shared" si="0"/>
        <v>1176</v>
      </c>
      <c r="N13" s="16">
        <v>0</v>
      </c>
      <c r="O13" s="62">
        <f t="shared" si="1"/>
        <v>0</v>
      </c>
      <c r="P13" s="42">
        <f t="shared" si="2"/>
        <v>6</v>
      </c>
      <c r="Q13" s="43">
        <f t="shared" si="3"/>
        <v>18</v>
      </c>
      <c r="R13" s="7"/>
      <c r="S13" s="6">
        <v>18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0.25</v>
      </c>
      <c r="AD13" s="10">
        <f t="shared" si="6"/>
        <v>0.25</v>
      </c>
      <c r="AE13" s="39">
        <f t="shared" si="7"/>
        <v>0.33887621461765949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188</v>
      </c>
      <c r="F14" s="12" t="s">
        <v>189</v>
      </c>
      <c r="G14" s="12">
        <v>1</v>
      </c>
      <c r="H14" s="13">
        <v>25</v>
      </c>
      <c r="I14" s="7">
        <v>30000</v>
      </c>
      <c r="J14" s="14">
        <v>5260</v>
      </c>
      <c r="K14" s="15">
        <f>L14+544+4129+5286+4993+5552+4940+4370+5340</f>
        <v>40413</v>
      </c>
      <c r="L14" s="15">
        <f>2619+2640</f>
        <v>5259</v>
      </c>
      <c r="M14" s="16">
        <f t="shared" si="0"/>
        <v>5259</v>
      </c>
      <c r="N14" s="16">
        <v>0</v>
      </c>
      <c r="O14" s="62">
        <f t="shared" si="1"/>
        <v>0</v>
      </c>
      <c r="P14" s="42">
        <f t="shared" si="2"/>
        <v>24</v>
      </c>
      <c r="Q14" s="43">
        <f t="shared" si="3"/>
        <v>0</v>
      </c>
      <c r="R14" s="7"/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0.99980988593155895</v>
      </c>
      <c r="AC14" s="9">
        <f t="shared" si="5"/>
        <v>1</v>
      </c>
      <c r="AD14" s="10">
        <f t="shared" si="6"/>
        <v>0.99980988593155895</v>
      </c>
      <c r="AE14" s="39">
        <f t="shared" si="7"/>
        <v>0.33887621461765949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155</v>
      </c>
      <c r="F15" s="33" t="s">
        <v>153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0.33887621461765949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152</v>
      </c>
      <c r="D16" s="55"/>
      <c r="E16" s="57" t="s">
        <v>265</v>
      </c>
      <c r="F16" s="12" t="s">
        <v>156</v>
      </c>
      <c r="G16" s="12">
        <v>1</v>
      </c>
      <c r="H16" s="13">
        <v>24</v>
      </c>
      <c r="I16" s="34">
        <v>250</v>
      </c>
      <c r="J16" s="14">
        <v>305</v>
      </c>
      <c r="K16" s="15">
        <f>L16+305</f>
        <v>305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0.33887621461765949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206</v>
      </c>
      <c r="E17" s="57" t="s">
        <v>330</v>
      </c>
      <c r="F17" s="33" t="s">
        <v>205</v>
      </c>
      <c r="G17" s="36" t="s">
        <v>331</v>
      </c>
      <c r="H17" s="38">
        <v>25</v>
      </c>
      <c r="I17" s="7">
        <v>3000</v>
      </c>
      <c r="J17" s="5">
        <v>3640</v>
      </c>
      <c r="K17" s="15">
        <f>L17</f>
        <v>3640</v>
      </c>
      <c r="L17" s="15">
        <f>1820*2</f>
        <v>3640</v>
      </c>
      <c r="M17" s="16">
        <f t="shared" si="0"/>
        <v>3640</v>
      </c>
      <c r="N17" s="16">
        <v>0</v>
      </c>
      <c r="O17" s="62">
        <f t="shared" si="1"/>
        <v>0</v>
      </c>
      <c r="P17" s="42">
        <f t="shared" si="2"/>
        <v>6</v>
      </c>
      <c r="Q17" s="43">
        <f t="shared" si="3"/>
        <v>18</v>
      </c>
      <c r="R17" s="7"/>
      <c r="S17" s="6"/>
      <c r="T17" s="17"/>
      <c r="U17" s="17"/>
      <c r="V17" s="18"/>
      <c r="W17" s="19">
        <v>18</v>
      </c>
      <c r="X17" s="17"/>
      <c r="Y17" s="20"/>
      <c r="Z17" s="20"/>
      <c r="AA17" s="21"/>
      <c r="AB17" s="8">
        <f t="shared" si="4"/>
        <v>1</v>
      </c>
      <c r="AC17" s="9">
        <f t="shared" si="5"/>
        <v>0.25</v>
      </c>
      <c r="AD17" s="10">
        <f t="shared" si="6"/>
        <v>0.25</v>
      </c>
      <c r="AE17" s="39">
        <f t="shared" si="7"/>
        <v>0.33887621461765949</v>
      </c>
      <c r="AF17" s="93">
        <f t="shared" si="8"/>
        <v>11</v>
      </c>
    </row>
    <row r="18" spans="1:32" ht="27" customHeight="1">
      <c r="A18" s="108">
        <v>11</v>
      </c>
      <c r="B18" s="11" t="s">
        <v>57</v>
      </c>
      <c r="C18" s="37" t="s">
        <v>222</v>
      </c>
      <c r="D18" s="55" t="s">
        <v>321</v>
      </c>
      <c r="E18" s="57" t="s">
        <v>320</v>
      </c>
      <c r="F18" s="33" t="s">
        <v>131</v>
      </c>
      <c r="G18" s="36">
        <v>1</v>
      </c>
      <c r="H18" s="38">
        <v>25</v>
      </c>
      <c r="I18" s="7">
        <v>1200</v>
      </c>
      <c r="J18" s="5">
        <v>1444</v>
      </c>
      <c r="K18" s="15">
        <f>L18</f>
        <v>1444</v>
      </c>
      <c r="L18" s="15">
        <v>1444</v>
      </c>
      <c r="M18" s="16">
        <f t="shared" ref="M18" si="9">L18-N18</f>
        <v>1444</v>
      </c>
      <c r="N18" s="16">
        <v>0</v>
      </c>
      <c r="O18" s="62">
        <f t="shared" ref="O18" si="10">IF(L18=0,"0",N18/L18)</f>
        <v>0</v>
      </c>
      <c r="P18" s="42">
        <f t="shared" ref="P18" si="11">IF(L18=0,"0",(24-Q18))</f>
        <v>11</v>
      </c>
      <c r="Q18" s="43">
        <f t="shared" ref="Q18" si="12">SUM(R18:AA18)</f>
        <v>13</v>
      </c>
      <c r="R18" s="7"/>
      <c r="S18" s="6"/>
      <c r="T18" s="17"/>
      <c r="U18" s="17"/>
      <c r="V18" s="18"/>
      <c r="W18" s="19">
        <v>13</v>
      </c>
      <c r="X18" s="17"/>
      <c r="Y18" s="20"/>
      <c r="Z18" s="20"/>
      <c r="AA18" s="21"/>
      <c r="AB18" s="8">
        <f t="shared" ref="AB18" si="13">IF(J18=0,"0",(L18/J18))</f>
        <v>1</v>
      </c>
      <c r="AC18" s="9">
        <f t="shared" ref="AC18" si="14">IF(P18=0,"0",(P18/24))</f>
        <v>0.45833333333333331</v>
      </c>
      <c r="AD18" s="10">
        <f t="shared" ref="AD18" si="15">AC18*AB18*(1-O18)</f>
        <v>0.45833333333333331</v>
      </c>
      <c r="AE18" s="39">
        <f t="shared" si="7"/>
        <v>0.33887621461765949</v>
      </c>
      <c r="AF18" s="93">
        <f t="shared" ref="AF18" si="16">A18</f>
        <v>11</v>
      </c>
    </row>
    <row r="19" spans="1:32" ht="27" customHeight="1">
      <c r="A19" s="108">
        <v>12</v>
      </c>
      <c r="B19" s="11" t="s">
        <v>57</v>
      </c>
      <c r="C19" s="11" t="s">
        <v>222</v>
      </c>
      <c r="D19" s="55" t="s">
        <v>126</v>
      </c>
      <c r="E19" s="57" t="s">
        <v>314</v>
      </c>
      <c r="F19" s="12" t="s">
        <v>172</v>
      </c>
      <c r="G19" s="12">
        <v>1</v>
      </c>
      <c r="H19" s="13">
        <v>24</v>
      </c>
      <c r="I19" s="34">
        <v>1200</v>
      </c>
      <c r="J19" s="14">
        <v>1641</v>
      </c>
      <c r="K19" s="15">
        <f>L19+1641</f>
        <v>1641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0.33887621461765949</v>
      </c>
      <c r="AF19" s="93">
        <f t="shared" si="8"/>
        <v>12</v>
      </c>
    </row>
    <row r="20" spans="1:32" ht="27" customHeight="1">
      <c r="A20" s="109">
        <v>13</v>
      </c>
      <c r="B20" s="11" t="s">
        <v>57</v>
      </c>
      <c r="C20" s="37" t="s">
        <v>114</v>
      </c>
      <c r="D20" s="55" t="s">
        <v>149</v>
      </c>
      <c r="E20" s="57" t="s">
        <v>293</v>
      </c>
      <c r="F20" s="12" t="s">
        <v>137</v>
      </c>
      <c r="G20" s="36">
        <v>1</v>
      </c>
      <c r="H20" s="38">
        <v>30</v>
      </c>
      <c r="I20" s="7">
        <v>6000</v>
      </c>
      <c r="J20" s="5">
        <v>3105</v>
      </c>
      <c r="K20" s="15">
        <f>L20+776</f>
        <v>3881</v>
      </c>
      <c r="L20" s="15">
        <f>520+2585</f>
        <v>3105</v>
      </c>
      <c r="M20" s="16">
        <f t="shared" si="0"/>
        <v>3105</v>
      </c>
      <c r="N20" s="16">
        <v>0</v>
      </c>
      <c r="O20" s="62">
        <f t="shared" si="1"/>
        <v>0</v>
      </c>
      <c r="P20" s="42">
        <f t="shared" si="2"/>
        <v>19</v>
      </c>
      <c r="Q20" s="43">
        <f t="shared" si="3"/>
        <v>5</v>
      </c>
      <c r="R20" s="7"/>
      <c r="S20" s="6">
        <v>5</v>
      </c>
      <c r="T20" s="17"/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0.79166666666666663</v>
      </c>
      <c r="AD20" s="10">
        <f t="shared" si="6"/>
        <v>0.79166666666666663</v>
      </c>
      <c r="AE20" s="39">
        <f t="shared" si="7"/>
        <v>0.33887621461765949</v>
      </c>
      <c r="AF20" s="93">
        <f t="shared" si="8"/>
        <v>13</v>
      </c>
    </row>
    <row r="21" spans="1:32" ht="27" customHeight="1">
      <c r="A21" s="109">
        <v>14</v>
      </c>
      <c r="B21" s="11" t="s">
        <v>57</v>
      </c>
      <c r="C21" s="37" t="s">
        <v>125</v>
      </c>
      <c r="D21" s="55" t="s">
        <v>123</v>
      </c>
      <c r="E21" s="57" t="s">
        <v>219</v>
      </c>
      <c r="F21" s="12" t="s">
        <v>189</v>
      </c>
      <c r="G21" s="36">
        <v>1</v>
      </c>
      <c r="H21" s="38">
        <v>30</v>
      </c>
      <c r="I21" s="7">
        <v>500</v>
      </c>
      <c r="J21" s="5">
        <v>796</v>
      </c>
      <c r="K21" s="15">
        <f>L21+796</f>
        <v>796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24</v>
      </c>
      <c r="R21" s="7"/>
      <c r="S21" s="6"/>
      <c r="T21" s="17"/>
      <c r="U21" s="17"/>
      <c r="V21" s="18"/>
      <c r="W21" s="19">
        <v>24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0.33887621461765949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236</v>
      </c>
      <c r="F22" s="12" t="s">
        <v>122</v>
      </c>
      <c r="G22" s="12">
        <v>4</v>
      </c>
      <c r="H22" s="38">
        <v>20</v>
      </c>
      <c r="I22" s="7">
        <v>300000</v>
      </c>
      <c r="J22" s="14">
        <v>21560</v>
      </c>
      <c r="K22" s="15">
        <f>L22+20068+24564+48544+43996+30716+19196</f>
        <v>208644</v>
      </c>
      <c r="L22" s="15">
        <f>5390*4</f>
        <v>21560</v>
      </c>
      <c r="M22" s="16">
        <f t="shared" si="0"/>
        <v>21560</v>
      </c>
      <c r="N22" s="16">
        <v>0</v>
      </c>
      <c r="O22" s="62">
        <f t="shared" si="1"/>
        <v>0</v>
      </c>
      <c r="P22" s="42">
        <f t="shared" si="2"/>
        <v>12</v>
      </c>
      <c r="Q22" s="43">
        <f t="shared" si="3"/>
        <v>12</v>
      </c>
      <c r="R22" s="7"/>
      <c r="S22" s="6"/>
      <c r="T22" s="17"/>
      <c r="U22" s="17"/>
      <c r="V22" s="18">
        <v>12</v>
      </c>
      <c r="W22" s="19"/>
      <c r="X22" s="17"/>
      <c r="Y22" s="20"/>
      <c r="Z22" s="20"/>
      <c r="AA22" s="21"/>
      <c r="AB22" s="8">
        <f t="shared" si="4"/>
        <v>1</v>
      </c>
      <c r="AC22" s="9">
        <f t="shared" si="5"/>
        <v>0.5</v>
      </c>
      <c r="AD22" s="10">
        <f t="shared" si="6"/>
        <v>0.5</v>
      </c>
      <c r="AE22" s="39">
        <f t="shared" si="7"/>
        <v>0.33887621461765949</v>
      </c>
      <c r="AF22" s="93">
        <f t="shared" si="8"/>
        <v>15</v>
      </c>
    </row>
    <row r="23" spans="1:32" ht="31.5" customHeight="1" thickBot="1">
      <c r="A23" s="397" t="s">
        <v>34</v>
      </c>
      <c r="B23" s="398"/>
      <c r="C23" s="398"/>
      <c r="D23" s="398"/>
      <c r="E23" s="398"/>
      <c r="F23" s="398"/>
      <c r="G23" s="398"/>
      <c r="H23" s="399"/>
      <c r="I23" s="25">
        <f t="shared" ref="I23:N23" si="17">SUM(I6:I22)</f>
        <v>577550</v>
      </c>
      <c r="J23" s="22">
        <f t="shared" si="17"/>
        <v>86114</v>
      </c>
      <c r="K23" s="23">
        <f t="shared" si="17"/>
        <v>464175</v>
      </c>
      <c r="L23" s="24">
        <f t="shared" si="17"/>
        <v>42669</v>
      </c>
      <c r="M23" s="23">
        <f t="shared" si="17"/>
        <v>42669</v>
      </c>
      <c r="N23" s="24">
        <f t="shared" si="17"/>
        <v>0</v>
      </c>
      <c r="O23" s="44">
        <f t="shared" si="1"/>
        <v>0</v>
      </c>
      <c r="P23" s="45">
        <f t="shared" ref="P23:AA23" si="18">SUM(P6:P22)</f>
        <v>122</v>
      </c>
      <c r="Q23" s="46">
        <f t="shared" si="18"/>
        <v>286</v>
      </c>
      <c r="R23" s="26">
        <f t="shared" si="18"/>
        <v>48</v>
      </c>
      <c r="S23" s="27">
        <f t="shared" si="18"/>
        <v>37</v>
      </c>
      <c r="T23" s="27">
        <f t="shared" si="18"/>
        <v>0</v>
      </c>
      <c r="U23" s="27">
        <f t="shared" si="18"/>
        <v>0</v>
      </c>
      <c r="V23" s="28">
        <f t="shared" si="18"/>
        <v>12</v>
      </c>
      <c r="W23" s="29">
        <f t="shared" si="18"/>
        <v>189</v>
      </c>
      <c r="X23" s="30">
        <f t="shared" si="18"/>
        <v>0</v>
      </c>
      <c r="Y23" s="30">
        <f t="shared" si="18"/>
        <v>0</v>
      </c>
      <c r="Z23" s="30">
        <f t="shared" si="18"/>
        <v>0</v>
      </c>
      <c r="AA23" s="30">
        <f t="shared" si="18"/>
        <v>0</v>
      </c>
      <c r="AB23" s="31">
        <f>SUM(AB6:AB22)/15</f>
        <v>0.66665399239543721</v>
      </c>
      <c r="AC23" s="4">
        <f>SUM(AC6:AC22)/15</f>
        <v>0.33888888888888891</v>
      </c>
      <c r="AD23" s="4">
        <f>SUM(AD6:AD22)/15</f>
        <v>0.33887621461765949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00" t="s">
        <v>45</v>
      </c>
      <c r="B50" s="400"/>
      <c r="C50" s="400"/>
      <c r="D50" s="400"/>
      <c r="E50" s="40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1" t="s">
        <v>332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3"/>
      <c r="N51" s="404" t="s">
        <v>334</v>
      </c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6"/>
    </row>
    <row r="52" spans="1:32" ht="27" customHeight="1">
      <c r="A52" s="407" t="s">
        <v>2</v>
      </c>
      <c r="B52" s="408"/>
      <c r="C52" s="224" t="s">
        <v>46</v>
      </c>
      <c r="D52" s="224" t="s">
        <v>47</v>
      </c>
      <c r="E52" s="224" t="s">
        <v>108</v>
      </c>
      <c r="F52" s="408" t="s">
        <v>107</v>
      </c>
      <c r="G52" s="408"/>
      <c r="H52" s="408"/>
      <c r="I52" s="408"/>
      <c r="J52" s="408"/>
      <c r="K52" s="408"/>
      <c r="L52" s="408"/>
      <c r="M52" s="409"/>
      <c r="N52" s="73" t="s">
        <v>112</v>
      </c>
      <c r="O52" s="224" t="s">
        <v>46</v>
      </c>
      <c r="P52" s="410" t="s">
        <v>47</v>
      </c>
      <c r="Q52" s="411"/>
      <c r="R52" s="410" t="s">
        <v>38</v>
      </c>
      <c r="S52" s="412"/>
      <c r="T52" s="412"/>
      <c r="U52" s="411"/>
      <c r="V52" s="410" t="s">
        <v>48</v>
      </c>
      <c r="W52" s="412"/>
      <c r="X52" s="412"/>
      <c r="Y52" s="412"/>
      <c r="Z52" s="412"/>
      <c r="AA52" s="412"/>
      <c r="AB52" s="412"/>
      <c r="AC52" s="412"/>
      <c r="AD52" s="413"/>
    </row>
    <row r="53" spans="1:32" ht="27" customHeight="1">
      <c r="A53" s="384" t="s">
        <v>222</v>
      </c>
      <c r="B53" s="385"/>
      <c r="C53" s="221" t="s">
        <v>140</v>
      </c>
      <c r="D53" s="221" t="s">
        <v>123</v>
      </c>
      <c r="E53" s="221" t="s">
        <v>319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220" t="s">
        <v>114</v>
      </c>
      <c r="O53" s="124" t="s">
        <v>141</v>
      </c>
      <c r="P53" s="385" t="s">
        <v>123</v>
      </c>
      <c r="Q53" s="385"/>
      <c r="R53" s="385" t="s">
        <v>297</v>
      </c>
      <c r="S53" s="385"/>
      <c r="T53" s="385"/>
      <c r="U53" s="385"/>
      <c r="V53" s="376" t="s">
        <v>143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221" t="s">
        <v>142</v>
      </c>
      <c r="D54" s="221" t="s">
        <v>132</v>
      </c>
      <c r="E54" s="221" t="s">
        <v>286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220" t="s">
        <v>114</v>
      </c>
      <c r="O54" s="124" t="s">
        <v>174</v>
      </c>
      <c r="P54" s="393" t="s">
        <v>123</v>
      </c>
      <c r="Q54" s="394"/>
      <c r="R54" s="385" t="s">
        <v>325</v>
      </c>
      <c r="S54" s="385"/>
      <c r="T54" s="385"/>
      <c r="U54" s="385"/>
      <c r="V54" s="376" t="s">
        <v>143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222</v>
      </c>
      <c r="B55" s="385"/>
      <c r="C55" s="221" t="s">
        <v>140</v>
      </c>
      <c r="D55" s="221" t="s">
        <v>322</v>
      </c>
      <c r="E55" s="221" t="s">
        <v>323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220" t="s">
        <v>125</v>
      </c>
      <c r="O55" s="124" t="s">
        <v>142</v>
      </c>
      <c r="P55" s="385" t="s">
        <v>132</v>
      </c>
      <c r="Q55" s="385"/>
      <c r="R55" s="385" t="s">
        <v>133</v>
      </c>
      <c r="S55" s="385"/>
      <c r="T55" s="385"/>
      <c r="U55" s="385"/>
      <c r="V55" s="376" t="s">
        <v>335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221" t="s">
        <v>141</v>
      </c>
      <c r="D56" s="221" t="s">
        <v>123</v>
      </c>
      <c r="E56" s="221" t="s">
        <v>297</v>
      </c>
      <c r="F56" s="376" t="s">
        <v>238</v>
      </c>
      <c r="G56" s="376"/>
      <c r="H56" s="376"/>
      <c r="I56" s="376"/>
      <c r="J56" s="376"/>
      <c r="K56" s="376"/>
      <c r="L56" s="376"/>
      <c r="M56" s="386"/>
      <c r="N56" s="220"/>
      <c r="O56" s="12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221" t="s">
        <v>195</v>
      </c>
      <c r="D57" s="221" t="s">
        <v>149</v>
      </c>
      <c r="E57" s="221" t="s">
        <v>293</v>
      </c>
      <c r="F57" s="376" t="s">
        <v>143</v>
      </c>
      <c r="G57" s="376"/>
      <c r="H57" s="376"/>
      <c r="I57" s="376"/>
      <c r="J57" s="376"/>
      <c r="K57" s="376"/>
      <c r="L57" s="376"/>
      <c r="M57" s="386"/>
      <c r="N57" s="220"/>
      <c r="O57" s="12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222</v>
      </c>
      <c r="B58" s="385"/>
      <c r="C58" s="221" t="s">
        <v>191</v>
      </c>
      <c r="D58" s="221" t="s">
        <v>321</v>
      </c>
      <c r="E58" s="221" t="s">
        <v>320</v>
      </c>
      <c r="F58" s="376" t="s">
        <v>130</v>
      </c>
      <c r="G58" s="376"/>
      <c r="H58" s="376"/>
      <c r="I58" s="376"/>
      <c r="J58" s="376"/>
      <c r="K58" s="376"/>
      <c r="L58" s="376"/>
      <c r="M58" s="386"/>
      <c r="N58" s="220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 t="s">
        <v>125</v>
      </c>
      <c r="B59" s="385"/>
      <c r="C59" s="221" t="s">
        <v>191</v>
      </c>
      <c r="D59" s="221" t="s">
        <v>208</v>
      </c>
      <c r="E59" s="221" t="s">
        <v>333</v>
      </c>
      <c r="F59" s="376" t="s">
        <v>130</v>
      </c>
      <c r="G59" s="376"/>
      <c r="H59" s="376"/>
      <c r="I59" s="376"/>
      <c r="J59" s="376"/>
      <c r="K59" s="376"/>
      <c r="L59" s="376"/>
      <c r="M59" s="386"/>
      <c r="N59" s="220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21"/>
      <c r="D60" s="221"/>
      <c r="E60" s="221"/>
      <c r="F60" s="376"/>
      <c r="G60" s="376"/>
      <c r="H60" s="376"/>
      <c r="I60" s="376"/>
      <c r="J60" s="376"/>
      <c r="K60" s="376"/>
      <c r="L60" s="376"/>
      <c r="M60" s="386"/>
      <c r="N60" s="220"/>
      <c r="O60" s="124"/>
      <c r="P60" s="393"/>
      <c r="Q60" s="394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</row>
    <row r="61" spans="1:32" ht="27" customHeight="1">
      <c r="A61" s="384"/>
      <c r="B61" s="385"/>
      <c r="C61" s="221"/>
      <c r="D61" s="221"/>
      <c r="E61" s="221"/>
      <c r="F61" s="376"/>
      <c r="G61" s="376"/>
      <c r="H61" s="376"/>
      <c r="I61" s="376"/>
      <c r="J61" s="376"/>
      <c r="K61" s="376"/>
      <c r="L61" s="376"/>
      <c r="M61" s="386"/>
      <c r="N61" s="220"/>
      <c r="O61" s="124"/>
      <c r="P61" s="385"/>
      <c r="Q61" s="385"/>
      <c r="R61" s="385"/>
      <c r="S61" s="385"/>
      <c r="T61" s="385"/>
      <c r="U61" s="385"/>
      <c r="V61" s="376"/>
      <c r="W61" s="376"/>
      <c r="X61" s="376"/>
      <c r="Y61" s="376"/>
      <c r="Z61" s="376"/>
      <c r="AA61" s="376"/>
      <c r="AB61" s="376"/>
      <c r="AC61" s="376"/>
      <c r="AD61" s="386"/>
      <c r="AF61" s="93">
        <f>8*3000</f>
        <v>24000</v>
      </c>
    </row>
    <row r="62" spans="1:32" ht="27" customHeight="1" thickBot="1">
      <c r="A62" s="387"/>
      <c r="B62" s="388"/>
      <c r="C62" s="223"/>
      <c r="D62" s="223"/>
      <c r="E62" s="223"/>
      <c r="F62" s="389"/>
      <c r="G62" s="389"/>
      <c r="H62" s="389"/>
      <c r="I62" s="389"/>
      <c r="J62" s="389"/>
      <c r="K62" s="389"/>
      <c r="L62" s="389"/>
      <c r="M62" s="390"/>
      <c r="N62" s="222"/>
      <c r="O62" s="120"/>
      <c r="P62" s="388"/>
      <c r="Q62" s="388"/>
      <c r="R62" s="388"/>
      <c r="S62" s="388"/>
      <c r="T62" s="388"/>
      <c r="U62" s="388"/>
      <c r="V62" s="391"/>
      <c r="W62" s="391"/>
      <c r="X62" s="391"/>
      <c r="Y62" s="391"/>
      <c r="Z62" s="391"/>
      <c r="AA62" s="391"/>
      <c r="AB62" s="391"/>
      <c r="AC62" s="391"/>
      <c r="AD62" s="392"/>
      <c r="AF62" s="93">
        <f>16*3000</f>
        <v>48000</v>
      </c>
    </row>
    <row r="63" spans="1:32" ht="27.75" thickBot="1">
      <c r="A63" s="382" t="s">
        <v>336</v>
      </c>
      <c r="B63" s="382"/>
      <c r="C63" s="382"/>
      <c r="D63" s="382"/>
      <c r="E63" s="382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83" t="s">
        <v>113</v>
      </c>
      <c r="B64" s="380"/>
      <c r="C64" s="219" t="s">
        <v>2</v>
      </c>
      <c r="D64" s="219" t="s">
        <v>37</v>
      </c>
      <c r="E64" s="219" t="s">
        <v>3</v>
      </c>
      <c r="F64" s="380" t="s">
        <v>110</v>
      </c>
      <c r="G64" s="380"/>
      <c r="H64" s="380"/>
      <c r="I64" s="380"/>
      <c r="J64" s="380"/>
      <c r="K64" s="380" t="s">
        <v>39</v>
      </c>
      <c r="L64" s="380"/>
      <c r="M64" s="219" t="s">
        <v>40</v>
      </c>
      <c r="N64" s="380" t="s">
        <v>41</v>
      </c>
      <c r="O64" s="380"/>
      <c r="P64" s="377" t="s">
        <v>42</v>
      </c>
      <c r="Q64" s="379"/>
      <c r="R64" s="377" t="s">
        <v>43</v>
      </c>
      <c r="S64" s="378"/>
      <c r="T64" s="378"/>
      <c r="U64" s="378"/>
      <c r="V64" s="378"/>
      <c r="W64" s="378"/>
      <c r="X64" s="378"/>
      <c r="Y64" s="378"/>
      <c r="Z64" s="378"/>
      <c r="AA64" s="379"/>
      <c r="AB64" s="380" t="s">
        <v>44</v>
      </c>
      <c r="AC64" s="380"/>
      <c r="AD64" s="381"/>
      <c r="AF64" s="93">
        <f>SUM(AF61:AF63)</f>
        <v>96000</v>
      </c>
    </row>
    <row r="65" spans="1:32" ht="25.5" customHeight="1">
      <c r="A65" s="372">
        <v>1</v>
      </c>
      <c r="B65" s="373"/>
      <c r="C65" s="123" t="s">
        <v>150</v>
      </c>
      <c r="D65" s="215"/>
      <c r="E65" s="218" t="s">
        <v>136</v>
      </c>
      <c r="F65" s="374" t="s">
        <v>337</v>
      </c>
      <c r="G65" s="366"/>
      <c r="H65" s="366"/>
      <c r="I65" s="366"/>
      <c r="J65" s="366"/>
      <c r="K65" s="366" t="s">
        <v>165</v>
      </c>
      <c r="L65" s="366"/>
      <c r="M65" s="54" t="s">
        <v>186</v>
      </c>
      <c r="N65" s="366">
        <v>6</v>
      </c>
      <c r="O65" s="366"/>
      <c r="P65" s="375"/>
      <c r="Q65" s="375"/>
      <c r="R65" s="376" t="s">
        <v>338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2</v>
      </c>
      <c r="B66" s="373"/>
      <c r="C66" s="123"/>
      <c r="D66" s="215"/>
      <c r="E66" s="218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3</v>
      </c>
      <c r="B67" s="373"/>
      <c r="C67" s="123"/>
      <c r="D67" s="215"/>
      <c r="E67" s="218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4</v>
      </c>
      <c r="B68" s="373"/>
      <c r="C68" s="123"/>
      <c r="D68" s="215"/>
      <c r="E68" s="218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5</v>
      </c>
      <c r="B69" s="373"/>
      <c r="C69" s="123"/>
      <c r="D69" s="215"/>
      <c r="E69" s="218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6</v>
      </c>
      <c r="B70" s="373"/>
      <c r="C70" s="123"/>
      <c r="D70" s="215"/>
      <c r="E70" s="218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7</v>
      </c>
      <c r="B71" s="373"/>
      <c r="C71" s="123"/>
      <c r="D71" s="215"/>
      <c r="E71" s="218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5.5" customHeight="1">
      <c r="A72" s="372">
        <v>8</v>
      </c>
      <c r="B72" s="373"/>
      <c r="C72" s="123"/>
      <c r="D72" s="215"/>
      <c r="E72" s="218"/>
      <c r="F72" s="374"/>
      <c r="G72" s="366"/>
      <c r="H72" s="366"/>
      <c r="I72" s="366"/>
      <c r="J72" s="366"/>
      <c r="K72" s="366"/>
      <c r="L72" s="366"/>
      <c r="M72" s="54"/>
      <c r="N72" s="366"/>
      <c r="O72" s="366"/>
      <c r="P72" s="375"/>
      <c r="Q72" s="375"/>
      <c r="R72" s="376"/>
      <c r="S72" s="376"/>
      <c r="T72" s="376"/>
      <c r="U72" s="376"/>
      <c r="V72" s="376"/>
      <c r="W72" s="376"/>
      <c r="X72" s="376"/>
      <c r="Y72" s="376"/>
      <c r="Z72" s="376"/>
      <c r="AA72" s="376"/>
      <c r="AB72" s="366"/>
      <c r="AC72" s="366"/>
      <c r="AD72" s="367"/>
      <c r="AF72" s="53"/>
    </row>
    <row r="73" spans="1:32" ht="26.25" customHeight="1" thickBot="1">
      <c r="A73" s="346" t="s">
        <v>339</v>
      </c>
      <c r="B73" s="346"/>
      <c r="C73" s="346"/>
      <c r="D73" s="346"/>
      <c r="E73" s="346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47" t="s">
        <v>113</v>
      </c>
      <c r="B74" s="348"/>
      <c r="C74" s="217" t="s">
        <v>2</v>
      </c>
      <c r="D74" s="217" t="s">
        <v>37</v>
      </c>
      <c r="E74" s="217" t="s">
        <v>3</v>
      </c>
      <c r="F74" s="348" t="s">
        <v>38</v>
      </c>
      <c r="G74" s="348"/>
      <c r="H74" s="348"/>
      <c r="I74" s="348"/>
      <c r="J74" s="348"/>
      <c r="K74" s="368" t="s">
        <v>58</v>
      </c>
      <c r="L74" s="369"/>
      <c r="M74" s="369"/>
      <c r="N74" s="369"/>
      <c r="O74" s="369"/>
      <c r="P74" s="369"/>
      <c r="Q74" s="369"/>
      <c r="R74" s="369"/>
      <c r="S74" s="370"/>
      <c r="T74" s="348" t="s">
        <v>49</v>
      </c>
      <c r="U74" s="348"/>
      <c r="V74" s="368" t="s">
        <v>50</v>
      </c>
      <c r="W74" s="370"/>
      <c r="X74" s="369" t="s">
        <v>51</v>
      </c>
      <c r="Y74" s="369"/>
      <c r="Z74" s="369"/>
      <c r="AA74" s="369"/>
      <c r="AB74" s="369"/>
      <c r="AC74" s="369"/>
      <c r="AD74" s="371"/>
      <c r="AF74" s="53"/>
    </row>
    <row r="75" spans="1:32" ht="33.75" customHeight="1">
      <c r="A75" s="340">
        <v>1</v>
      </c>
      <c r="B75" s="341"/>
      <c r="C75" s="216" t="s">
        <v>114</v>
      </c>
      <c r="D75" s="216"/>
      <c r="E75" s="71" t="s">
        <v>119</v>
      </c>
      <c r="F75" s="355" t="s">
        <v>120</v>
      </c>
      <c r="G75" s="356"/>
      <c r="H75" s="356"/>
      <c r="I75" s="356"/>
      <c r="J75" s="357"/>
      <c r="K75" s="358" t="s">
        <v>115</v>
      </c>
      <c r="L75" s="359"/>
      <c r="M75" s="359"/>
      <c r="N75" s="359"/>
      <c r="O75" s="359"/>
      <c r="P75" s="359"/>
      <c r="Q75" s="359"/>
      <c r="R75" s="359"/>
      <c r="S75" s="360"/>
      <c r="T75" s="361">
        <v>42901</v>
      </c>
      <c r="U75" s="362"/>
      <c r="V75" s="363"/>
      <c r="W75" s="363"/>
      <c r="X75" s="364"/>
      <c r="Y75" s="364"/>
      <c r="Z75" s="364"/>
      <c r="AA75" s="364"/>
      <c r="AB75" s="364"/>
      <c r="AC75" s="364"/>
      <c r="AD75" s="365"/>
      <c r="AF75" s="53"/>
    </row>
    <row r="76" spans="1:32" ht="30" customHeight="1">
      <c r="A76" s="333">
        <f>A75+1</f>
        <v>2</v>
      </c>
      <c r="B76" s="334"/>
      <c r="C76" s="215" t="s">
        <v>114</v>
      </c>
      <c r="D76" s="215"/>
      <c r="E76" s="35" t="s">
        <v>116</v>
      </c>
      <c r="F76" s="334" t="s">
        <v>117</v>
      </c>
      <c r="G76" s="334"/>
      <c r="H76" s="334"/>
      <c r="I76" s="334"/>
      <c r="J76" s="334"/>
      <c r="K76" s="349" t="s">
        <v>118</v>
      </c>
      <c r="L76" s="350"/>
      <c r="M76" s="350"/>
      <c r="N76" s="350"/>
      <c r="O76" s="350"/>
      <c r="P76" s="350"/>
      <c r="Q76" s="350"/>
      <c r="R76" s="350"/>
      <c r="S76" s="351"/>
      <c r="T76" s="352">
        <v>42867</v>
      </c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ref="A77:A83" si="19">A76+1</f>
        <v>3</v>
      </c>
      <c r="B77" s="334"/>
      <c r="C77" s="215"/>
      <c r="D77" s="215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4</v>
      </c>
      <c r="B78" s="334"/>
      <c r="C78" s="215"/>
      <c r="D78" s="215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5</v>
      </c>
      <c r="B79" s="334"/>
      <c r="C79" s="215"/>
      <c r="D79" s="215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6</v>
      </c>
      <c r="B80" s="334"/>
      <c r="C80" s="215"/>
      <c r="D80" s="215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7</v>
      </c>
      <c r="B81" s="334"/>
      <c r="C81" s="215"/>
      <c r="D81" s="215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8</v>
      </c>
      <c r="B82" s="334"/>
      <c r="C82" s="215"/>
      <c r="D82" s="215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0" customHeight="1">
      <c r="A83" s="333">
        <f t="shared" si="19"/>
        <v>9</v>
      </c>
      <c r="B83" s="334"/>
      <c r="C83" s="215"/>
      <c r="D83" s="215"/>
      <c r="E83" s="35"/>
      <c r="F83" s="334"/>
      <c r="G83" s="334"/>
      <c r="H83" s="334"/>
      <c r="I83" s="334"/>
      <c r="J83" s="334"/>
      <c r="K83" s="349"/>
      <c r="L83" s="350"/>
      <c r="M83" s="350"/>
      <c r="N83" s="350"/>
      <c r="O83" s="350"/>
      <c r="P83" s="350"/>
      <c r="Q83" s="350"/>
      <c r="R83" s="350"/>
      <c r="S83" s="351"/>
      <c r="T83" s="352"/>
      <c r="U83" s="352"/>
      <c r="V83" s="352"/>
      <c r="W83" s="352"/>
      <c r="X83" s="353"/>
      <c r="Y83" s="353"/>
      <c r="Z83" s="353"/>
      <c r="AA83" s="353"/>
      <c r="AB83" s="353"/>
      <c r="AC83" s="353"/>
      <c r="AD83" s="354"/>
      <c r="AF83" s="53"/>
    </row>
    <row r="84" spans="1:32" ht="36" thickBot="1">
      <c r="A84" s="346" t="s">
        <v>340</v>
      </c>
      <c r="B84" s="346"/>
      <c r="C84" s="346"/>
      <c r="D84" s="346"/>
      <c r="E84" s="346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47" t="s">
        <v>113</v>
      </c>
      <c r="B85" s="348"/>
      <c r="C85" s="338" t="s">
        <v>52</v>
      </c>
      <c r="D85" s="338"/>
      <c r="E85" s="338" t="s">
        <v>53</v>
      </c>
      <c r="F85" s="338"/>
      <c r="G85" s="338"/>
      <c r="H85" s="338"/>
      <c r="I85" s="338"/>
      <c r="J85" s="338"/>
      <c r="K85" s="338" t="s">
        <v>54</v>
      </c>
      <c r="L85" s="338"/>
      <c r="M85" s="338"/>
      <c r="N85" s="338"/>
      <c r="O85" s="338"/>
      <c r="P85" s="338"/>
      <c r="Q85" s="338"/>
      <c r="R85" s="338"/>
      <c r="S85" s="338"/>
      <c r="T85" s="338" t="s">
        <v>55</v>
      </c>
      <c r="U85" s="338"/>
      <c r="V85" s="338" t="s">
        <v>56</v>
      </c>
      <c r="W85" s="338"/>
      <c r="X85" s="338"/>
      <c r="Y85" s="338" t="s">
        <v>51</v>
      </c>
      <c r="Z85" s="338"/>
      <c r="AA85" s="338"/>
      <c r="AB85" s="338"/>
      <c r="AC85" s="338"/>
      <c r="AD85" s="339"/>
      <c r="AF85" s="53"/>
    </row>
    <row r="86" spans="1:32" ht="30.75" customHeight="1">
      <c r="A86" s="340">
        <v>1</v>
      </c>
      <c r="B86" s="341"/>
      <c r="C86" s="342">
        <v>9</v>
      </c>
      <c r="D86" s="342"/>
      <c r="E86" s="342" t="s">
        <v>157</v>
      </c>
      <c r="F86" s="342"/>
      <c r="G86" s="342"/>
      <c r="H86" s="342"/>
      <c r="I86" s="342"/>
      <c r="J86" s="342"/>
      <c r="K86" s="342" t="s">
        <v>158</v>
      </c>
      <c r="L86" s="342"/>
      <c r="M86" s="342"/>
      <c r="N86" s="342"/>
      <c r="O86" s="342"/>
      <c r="P86" s="342"/>
      <c r="Q86" s="342"/>
      <c r="R86" s="342"/>
      <c r="S86" s="342"/>
      <c r="T86" s="342" t="s">
        <v>159</v>
      </c>
      <c r="U86" s="342"/>
      <c r="V86" s="343">
        <v>11307000</v>
      </c>
      <c r="W86" s="343"/>
      <c r="X86" s="343"/>
      <c r="Y86" s="344"/>
      <c r="Z86" s="344"/>
      <c r="AA86" s="344"/>
      <c r="AB86" s="344"/>
      <c r="AC86" s="344"/>
      <c r="AD86" s="345"/>
      <c r="AF86" s="53"/>
    </row>
    <row r="87" spans="1:32" ht="30.75" customHeight="1">
      <c r="A87" s="333">
        <v>2</v>
      </c>
      <c r="B87" s="334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6"/>
      <c r="U87" s="336"/>
      <c r="V87" s="337"/>
      <c r="W87" s="337"/>
      <c r="X87" s="337"/>
      <c r="Y87" s="326"/>
      <c r="Z87" s="326"/>
      <c r="AA87" s="326"/>
      <c r="AB87" s="326"/>
      <c r="AC87" s="326"/>
      <c r="AD87" s="327"/>
      <c r="AF87" s="53"/>
    </row>
    <row r="88" spans="1:32" ht="30.75" customHeight="1" thickBot="1">
      <c r="A88" s="328">
        <v>3</v>
      </c>
      <c r="B88" s="329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1"/>
      <c r="Z88" s="331"/>
      <c r="AA88" s="331"/>
      <c r="AB88" s="331"/>
      <c r="AC88" s="331"/>
      <c r="AD88" s="332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D72B-ECBD-4835-9149-E030DE37FC87}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341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26" t="s">
        <v>17</v>
      </c>
      <c r="L5" s="226" t="s">
        <v>18</v>
      </c>
      <c r="M5" s="226" t="s">
        <v>19</v>
      </c>
      <c r="N5" s="226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0.29712519025875195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0.29712519025875195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222</v>
      </c>
      <c r="D8" s="55" t="s">
        <v>322</v>
      </c>
      <c r="E8" s="57" t="s">
        <v>323</v>
      </c>
      <c r="F8" s="33" t="s">
        <v>131</v>
      </c>
      <c r="G8" s="36">
        <v>1</v>
      </c>
      <c r="H8" s="38">
        <v>25</v>
      </c>
      <c r="I8" s="7">
        <v>1200</v>
      </c>
      <c r="J8" s="5">
        <v>1274</v>
      </c>
      <c r="K8" s="15">
        <f>L8+1274</f>
        <v>1274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0.29712519025875195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114</v>
      </c>
      <c r="D9" s="55" t="s">
        <v>123</v>
      </c>
      <c r="E9" s="57" t="s">
        <v>297</v>
      </c>
      <c r="F9" s="12" t="s">
        <v>137</v>
      </c>
      <c r="G9" s="12">
        <v>1</v>
      </c>
      <c r="H9" s="13">
        <v>25</v>
      </c>
      <c r="I9" s="7">
        <v>6000</v>
      </c>
      <c r="J9" s="14">
        <v>2920</v>
      </c>
      <c r="K9" s="15">
        <f>L9+503+2168+1646</f>
        <v>7231</v>
      </c>
      <c r="L9" s="15">
        <f>1735+1049+130</f>
        <v>2914</v>
      </c>
      <c r="M9" s="16">
        <f t="shared" si="0"/>
        <v>2914</v>
      </c>
      <c r="N9" s="16">
        <v>0</v>
      </c>
      <c r="O9" s="62">
        <f t="shared" si="1"/>
        <v>0</v>
      </c>
      <c r="P9" s="42">
        <f t="shared" si="2"/>
        <v>17</v>
      </c>
      <c r="Q9" s="43">
        <f t="shared" si="3"/>
        <v>7</v>
      </c>
      <c r="R9" s="7"/>
      <c r="S9" s="6">
        <v>4</v>
      </c>
      <c r="T9" s="17"/>
      <c r="U9" s="17"/>
      <c r="V9" s="18"/>
      <c r="W9" s="19">
        <v>3</v>
      </c>
      <c r="X9" s="17"/>
      <c r="Y9" s="20"/>
      <c r="Z9" s="20"/>
      <c r="AA9" s="21"/>
      <c r="AB9" s="8">
        <f t="shared" si="4"/>
        <v>0.99794520547945209</v>
      </c>
      <c r="AC9" s="9">
        <f t="shared" si="5"/>
        <v>0.70833333333333337</v>
      </c>
      <c r="AD9" s="10">
        <f t="shared" si="6"/>
        <v>0.70687785388127855</v>
      </c>
      <c r="AE9" s="39">
        <f t="shared" si="7"/>
        <v>0.29712519025875195</v>
      </c>
      <c r="AF9" s="93">
        <f t="shared" si="8"/>
        <v>4</v>
      </c>
    </row>
    <row r="10" spans="1:32" ht="27" customHeight="1">
      <c r="A10" s="109">
        <v>5</v>
      </c>
      <c r="B10" s="11" t="s">
        <v>342</v>
      </c>
      <c r="C10" s="11" t="s">
        <v>125</v>
      </c>
      <c r="D10" s="55" t="s">
        <v>132</v>
      </c>
      <c r="E10" s="57" t="s">
        <v>133</v>
      </c>
      <c r="F10" s="12" t="s">
        <v>129</v>
      </c>
      <c r="G10" s="12">
        <v>1</v>
      </c>
      <c r="H10" s="13">
        <v>25</v>
      </c>
      <c r="I10" s="7">
        <v>20000</v>
      </c>
      <c r="J10" s="14">
        <v>4901</v>
      </c>
      <c r="K10" s="15">
        <f>L10</f>
        <v>4901</v>
      </c>
      <c r="L10" s="15">
        <f>3333+1568</f>
        <v>4901</v>
      </c>
      <c r="M10" s="16">
        <f t="shared" si="0"/>
        <v>4901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0.29712519025875195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264</v>
      </c>
      <c r="F11" s="12" t="s">
        <v>172</v>
      </c>
      <c r="G11" s="12">
        <v>1</v>
      </c>
      <c r="H11" s="13">
        <v>25</v>
      </c>
      <c r="I11" s="34">
        <v>3000</v>
      </c>
      <c r="J11" s="5">
        <v>1994</v>
      </c>
      <c r="K11" s="15">
        <f>L11+2739+1994</f>
        <v>4733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0.29712519025875195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123</v>
      </c>
      <c r="E12" s="57" t="s">
        <v>325</v>
      </c>
      <c r="F12" s="12" t="s">
        <v>129</v>
      </c>
      <c r="G12" s="12">
        <v>1</v>
      </c>
      <c r="H12" s="13">
        <v>25</v>
      </c>
      <c r="I12" s="7">
        <v>20000</v>
      </c>
      <c r="J12" s="14">
        <v>2351</v>
      </c>
      <c r="K12" s="15">
        <f>L12+1176</f>
        <v>3527</v>
      </c>
      <c r="L12" s="15">
        <f>2351</f>
        <v>2351</v>
      </c>
      <c r="M12" s="16">
        <f t="shared" si="0"/>
        <v>2351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>
        <v>10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0.58333333333333337</v>
      </c>
      <c r="AD12" s="10">
        <f t="shared" si="6"/>
        <v>0.58333333333333337</v>
      </c>
      <c r="AE12" s="39">
        <f t="shared" si="7"/>
        <v>0.29712519025875195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3405</v>
      </c>
      <c r="K13" s="15">
        <f>L13+544+4129+5286+4993+5552+4940+4370+5340+5259</f>
        <v>43818</v>
      </c>
      <c r="L13" s="15">
        <f>869+2536</f>
        <v>3405</v>
      </c>
      <c r="M13" s="16">
        <f t="shared" si="0"/>
        <v>3405</v>
      </c>
      <c r="N13" s="16">
        <v>0</v>
      </c>
      <c r="O13" s="62">
        <f t="shared" si="1"/>
        <v>0</v>
      </c>
      <c r="P13" s="42">
        <f t="shared" si="2"/>
        <v>18</v>
      </c>
      <c r="Q13" s="43">
        <f t="shared" si="3"/>
        <v>6</v>
      </c>
      <c r="R13" s="7"/>
      <c r="S13" s="6">
        <v>6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0.75</v>
      </c>
      <c r="AD13" s="10">
        <f t="shared" si="6"/>
        <v>0.75</v>
      </c>
      <c r="AE13" s="39">
        <f t="shared" si="7"/>
        <v>0.29712519025875195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0.29712519025875195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0.29712519025875195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222</v>
      </c>
      <c r="D16" s="55" t="s">
        <v>321</v>
      </c>
      <c r="E16" s="57" t="s">
        <v>320</v>
      </c>
      <c r="F16" s="33" t="s">
        <v>131</v>
      </c>
      <c r="G16" s="36">
        <v>1</v>
      </c>
      <c r="H16" s="38">
        <v>25</v>
      </c>
      <c r="I16" s="7">
        <v>1200</v>
      </c>
      <c r="J16" s="5">
        <v>1444</v>
      </c>
      <c r="K16" s="15">
        <f>L16+1444</f>
        <v>1444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0.29712519025875195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222</v>
      </c>
      <c r="D17" s="55" t="s">
        <v>126</v>
      </c>
      <c r="E17" s="57" t="s">
        <v>314</v>
      </c>
      <c r="F17" s="12" t="s">
        <v>172</v>
      </c>
      <c r="G17" s="12">
        <v>1</v>
      </c>
      <c r="H17" s="13">
        <v>24</v>
      </c>
      <c r="I17" s="34">
        <v>1200</v>
      </c>
      <c r="J17" s="14">
        <v>1641</v>
      </c>
      <c r="K17" s="15">
        <f>L17+1641</f>
        <v>1641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0.29712519025875195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4430</v>
      </c>
      <c r="K18" s="15">
        <f>L18+776+3105</f>
        <v>8311</v>
      </c>
      <c r="L18" s="15">
        <f>2106+2324</f>
        <v>4430</v>
      </c>
      <c r="M18" s="16">
        <f t="shared" si="0"/>
        <v>4430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0.29712519025875195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125</v>
      </c>
      <c r="D19" s="55" t="s">
        <v>123</v>
      </c>
      <c r="E19" s="57" t="s">
        <v>219</v>
      </c>
      <c r="F19" s="12" t="s">
        <v>189</v>
      </c>
      <c r="G19" s="36">
        <v>1</v>
      </c>
      <c r="H19" s="38">
        <v>30</v>
      </c>
      <c r="I19" s="7">
        <v>500</v>
      </c>
      <c r="J19" s="5">
        <v>796</v>
      </c>
      <c r="K19" s="15">
        <f>L19+796</f>
        <v>796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0.29712519025875195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23324</v>
      </c>
      <c r="K20" s="15">
        <f>L20+20068+24564+48544+43996+30716+19196+21560</f>
        <v>231968</v>
      </c>
      <c r="L20" s="15">
        <f>5831*4</f>
        <v>23324</v>
      </c>
      <c r="M20" s="16">
        <f t="shared" si="0"/>
        <v>23324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0.29712519025875195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591350</v>
      </c>
      <c r="J21" s="22">
        <f t="shared" si="9"/>
        <v>87493</v>
      </c>
      <c r="K21" s="23">
        <f t="shared" si="9"/>
        <v>498295</v>
      </c>
      <c r="L21" s="24">
        <f t="shared" si="9"/>
        <v>41325</v>
      </c>
      <c r="M21" s="23">
        <f t="shared" si="9"/>
        <v>41325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107</v>
      </c>
      <c r="Q21" s="46">
        <f t="shared" si="10"/>
        <v>253</v>
      </c>
      <c r="R21" s="26">
        <f t="shared" si="10"/>
        <v>48</v>
      </c>
      <c r="S21" s="27">
        <f t="shared" si="10"/>
        <v>20</v>
      </c>
      <c r="T21" s="27">
        <f t="shared" si="10"/>
        <v>2</v>
      </c>
      <c r="U21" s="27">
        <f t="shared" si="10"/>
        <v>0</v>
      </c>
      <c r="V21" s="28">
        <f t="shared" si="10"/>
        <v>12</v>
      </c>
      <c r="W21" s="29">
        <f t="shared" si="10"/>
        <v>171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0.39986301369863014</v>
      </c>
      <c r="AC21" s="4">
        <f>SUM(AC6:AC20)/15</f>
        <v>0.29722222222222228</v>
      </c>
      <c r="AD21" s="4">
        <f>SUM(AD6:AD20)/15</f>
        <v>0.29712519025875195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343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346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27" t="s">
        <v>46</v>
      </c>
      <c r="D50" s="227" t="s">
        <v>47</v>
      </c>
      <c r="E50" s="227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27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29" t="s">
        <v>142</v>
      </c>
      <c r="D51" s="229" t="s">
        <v>132</v>
      </c>
      <c r="E51" s="229" t="s">
        <v>133</v>
      </c>
      <c r="F51" s="376" t="s">
        <v>335</v>
      </c>
      <c r="G51" s="376"/>
      <c r="H51" s="376"/>
      <c r="I51" s="376"/>
      <c r="J51" s="376"/>
      <c r="K51" s="376"/>
      <c r="L51" s="376"/>
      <c r="M51" s="386"/>
      <c r="N51" s="228" t="s">
        <v>125</v>
      </c>
      <c r="O51" s="124" t="s">
        <v>144</v>
      </c>
      <c r="P51" s="385" t="s">
        <v>123</v>
      </c>
      <c r="Q51" s="385"/>
      <c r="R51" s="385" t="s">
        <v>188</v>
      </c>
      <c r="S51" s="385"/>
      <c r="T51" s="385"/>
      <c r="U51" s="385"/>
      <c r="V51" s="376" t="s">
        <v>143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114</v>
      </c>
      <c r="B52" s="385"/>
      <c r="C52" s="229" t="s">
        <v>141</v>
      </c>
      <c r="D52" s="229" t="s">
        <v>123</v>
      </c>
      <c r="E52" s="229" t="s">
        <v>297</v>
      </c>
      <c r="F52" s="376" t="s">
        <v>344</v>
      </c>
      <c r="G52" s="376"/>
      <c r="H52" s="376"/>
      <c r="I52" s="376"/>
      <c r="J52" s="376"/>
      <c r="K52" s="376"/>
      <c r="L52" s="376"/>
      <c r="M52" s="386"/>
      <c r="N52" s="228" t="s">
        <v>125</v>
      </c>
      <c r="O52" s="124" t="s">
        <v>140</v>
      </c>
      <c r="P52" s="393" t="s">
        <v>208</v>
      </c>
      <c r="Q52" s="394"/>
      <c r="R52" s="385" t="s">
        <v>207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114</v>
      </c>
      <c r="B53" s="385"/>
      <c r="C53" s="229" t="s">
        <v>174</v>
      </c>
      <c r="D53" s="229" t="s">
        <v>123</v>
      </c>
      <c r="E53" s="229" t="s">
        <v>325</v>
      </c>
      <c r="F53" s="376" t="s">
        <v>345</v>
      </c>
      <c r="G53" s="376"/>
      <c r="H53" s="376"/>
      <c r="I53" s="376"/>
      <c r="J53" s="376"/>
      <c r="K53" s="376"/>
      <c r="L53" s="376"/>
      <c r="M53" s="386"/>
      <c r="N53" s="228"/>
      <c r="O53" s="12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229" t="s">
        <v>144</v>
      </c>
      <c r="D54" s="229" t="s">
        <v>123</v>
      </c>
      <c r="E54" s="229" t="s">
        <v>188</v>
      </c>
      <c r="F54" s="376" t="s">
        <v>347</v>
      </c>
      <c r="G54" s="376"/>
      <c r="H54" s="376"/>
      <c r="I54" s="376"/>
      <c r="J54" s="376"/>
      <c r="K54" s="376"/>
      <c r="L54" s="376"/>
      <c r="M54" s="386"/>
      <c r="N54" s="228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29"/>
      <c r="D55" s="229"/>
      <c r="E55" s="229"/>
      <c r="F55" s="376"/>
      <c r="G55" s="376"/>
      <c r="H55" s="376"/>
      <c r="I55" s="376"/>
      <c r="J55" s="376"/>
      <c r="K55" s="376"/>
      <c r="L55" s="376"/>
      <c r="M55" s="386"/>
      <c r="N55" s="228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29"/>
      <c r="D56" s="229"/>
      <c r="E56" s="229"/>
      <c r="F56" s="376"/>
      <c r="G56" s="376"/>
      <c r="H56" s="376"/>
      <c r="I56" s="376"/>
      <c r="J56" s="376"/>
      <c r="K56" s="376"/>
      <c r="L56" s="376"/>
      <c r="M56" s="386"/>
      <c r="N56" s="228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29"/>
      <c r="D57" s="229"/>
      <c r="E57" s="229"/>
      <c r="F57" s="376"/>
      <c r="G57" s="376"/>
      <c r="H57" s="376"/>
      <c r="I57" s="376"/>
      <c r="J57" s="376"/>
      <c r="K57" s="376"/>
      <c r="L57" s="376"/>
      <c r="M57" s="386"/>
      <c r="N57" s="228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29"/>
      <c r="D58" s="229"/>
      <c r="E58" s="229"/>
      <c r="F58" s="376"/>
      <c r="G58" s="376"/>
      <c r="H58" s="376"/>
      <c r="I58" s="376"/>
      <c r="J58" s="376"/>
      <c r="K58" s="376"/>
      <c r="L58" s="376"/>
      <c r="M58" s="386"/>
      <c r="N58" s="228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29"/>
      <c r="D59" s="229"/>
      <c r="E59" s="229"/>
      <c r="F59" s="376"/>
      <c r="G59" s="376"/>
      <c r="H59" s="376"/>
      <c r="I59" s="376"/>
      <c r="J59" s="376"/>
      <c r="K59" s="376"/>
      <c r="L59" s="376"/>
      <c r="M59" s="386"/>
      <c r="N59" s="228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31"/>
      <c r="D60" s="231"/>
      <c r="E60" s="231"/>
      <c r="F60" s="389"/>
      <c r="G60" s="389"/>
      <c r="H60" s="389"/>
      <c r="I60" s="389"/>
      <c r="J60" s="389"/>
      <c r="K60" s="389"/>
      <c r="L60" s="389"/>
      <c r="M60" s="390"/>
      <c r="N60" s="230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348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32" t="s">
        <v>2</v>
      </c>
      <c r="D62" s="232" t="s">
        <v>37</v>
      </c>
      <c r="E62" s="232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32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150</v>
      </c>
      <c r="D63" s="235"/>
      <c r="E63" s="233" t="s">
        <v>136</v>
      </c>
      <c r="F63" s="374" t="s">
        <v>337</v>
      </c>
      <c r="G63" s="366"/>
      <c r="H63" s="366"/>
      <c r="I63" s="366"/>
      <c r="J63" s="366"/>
      <c r="K63" s="366" t="s">
        <v>165</v>
      </c>
      <c r="L63" s="366"/>
      <c r="M63" s="54" t="s">
        <v>186</v>
      </c>
      <c r="N63" s="366">
        <v>6</v>
      </c>
      <c r="O63" s="366"/>
      <c r="P63" s="375">
        <v>200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125</v>
      </c>
      <c r="D64" s="235"/>
      <c r="E64" s="233" t="s">
        <v>208</v>
      </c>
      <c r="F64" s="374" t="s">
        <v>349</v>
      </c>
      <c r="G64" s="366"/>
      <c r="H64" s="366"/>
      <c r="I64" s="366"/>
      <c r="J64" s="366"/>
      <c r="K64" s="366" t="s">
        <v>205</v>
      </c>
      <c r="L64" s="366"/>
      <c r="M64" s="54" t="s">
        <v>186</v>
      </c>
      <c r="N64" s="366">
        <v>11</v>
      </c>
      <c r="O64" s="366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 t="s">
        <v>125</v>
      </c>
      <c r="D65" s="235"/>
      <c r="E65" s="233" t="s">
        <v>208</v>
      </c>
      <c r="F65" s="374" t="s">
        <v>350</v>
      </c>
      <c r="G65" s="366"/>
      <c r="H65" s="366"/>
      <c r="I65" s="366"/>
      <c r="J65" s="366"/>
      <c r="K65" s="366" t="s">
        <v>205</v>
      </c>
      <c r="L65" s="366"/>
      <c r="M65" s="54" t="s">
        <v>186</v>
      </c>
      <c r="N65" s="366">
        <v>11</v>
      </c>
      <c r="O65" s="366"/>
      <c r="P65" s="375"/>
      <c r="Q65" s="375"/>
      <c r="R65" s="376" t="s">
        <v>351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 t="s">
        <v>114</v>
      </c>
      <c r="D66" s="235"/>
      <c r="E66" s="233" t="s">
        <v>149</v>
      </c>
      <c r="F66" s="374" t="s">
        <v>352</v>
      </c>
      <c r="G66" s="366"/>
      <c r="H66" s="366"/>
      <c r="I66" s="366"/>
      <c r="J66" s="366"/>
      <c r="K66" s="366" t="s">
        <v>189</v>
      </c>
      <c r="L66" s="366"/>
      <c r="M66" s="54" t="s">
        <v>186</v>
      </c>
      <c r="N66" s="366">
        <v>14</v>
      </c>
      <c r="O66" s="366"/>
      <c r="P66" s="375">
        <v>50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235"/>
      <c r="E67" s="233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235"/>
      <c r="E68" s="233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235"/>
      <c r="E69" s="233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235"/>
      <c r="E70" s="233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353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234" t="s">
        <v>2</v>
      </c>
      <c r="D72" s="234" t="s">
        <v>37</v>
      </c>
      <c r="E72" s="234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236" t="s">
        <v>114</v>
      </c>
      <c r="D73" s="236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235" t="s">
        <v>114</v>
      </c>
      <c r="D74" s="235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235"/>
      <c r="D75" s="235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235"/>
      <c r="D76" s="235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235"/>
      <c r="D77" s="235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235"/>
      <c r="D78" s="235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235"/>
      <c r="D79" s="235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235"/>
      <c r="D80" s="235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235"/>
      <c r="D81" s="235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354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A654-87B4-4266-B8C9-DD77F8DD0916}">
  <sheetPr>
    <pageSetUpPr fitToPage="1"/>
  </sheetPr>
  <dimension ref="A1:AF86"/>
  <sheetViews>
    <sheetView zoomScale="72" zoomScaleNormal="72" zoomScaleSheetLayoutView="70" workbookViewId="0">
      <selection activeCell="F55" sqref="F55:M5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355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47" t="s">
        <v>17</v>
      </c>
      <c r="L5" s="247" t="s">
        <v>18</v>
      </c>
      <c r="M5" s="247" t="s">
        <v>19</v>
      </c>
      <c r="N5" s="247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7.010391796610653E-2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7.010391796610653E-2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222</v>
      </c>
      <c r="D8" s="55" t="s">
        <v>322</v>
      </c>
      <c r="E8" s="57" t="s">
        <v>323</v>
      </c>
      <c r="F8" s="33" t="s">
        <v>131</v>
      </c>
      <c r="G8" s="36">
        <v>1</v>
      </c>
      <c r="H8" s="38">
        <v>25</v>
      </c>
      <c r="I8" s="7">
        <v>1200</v>
      </c>
      <c r="J8" s="5">
        <v>1274</v>
      </c>
      <c r="K8" s="15">
        <f>L8+1274</f>
        <v>1274</v>
      </c>
      <c r="L8" s="15"/>
      <c r="M8" s="16">
        <f t="shared" si="0"/>
        <v>0</v>
      </c>
      <c r="N8" s="16">
        <v>0</v>
      </c>
      <c r="O8" s="62" t="str">
        <f t="shared" si="1"/>
        <v>0</v>
      </c>
      <c r="P8" s="42" t="str">
        <f t="shared" si="2"/>
        <v>0</v>
      </c>
      <c r="Q8" s="43">
        <f t="shared" si="3"/>
        <v>24</v>
      </c>
      <c r="R8" s="7"/>
      <c r="S8" s="6"/>
      <c r="T8" s="17"/>
      <c r="U8" s="17"/>
      <c r="V8" s="18"/>
      <c r="W8" s="19">
        <v>24</v>
      </c>
      <c r="X8" s="17"/>
      <c r="Y8" s="20"/>
      <c r="Z8" s="20"/>
      <c r="AA8" s="21"/>
      <c r="AB8" s="8">
        <f t="shared" si="4"/>
        <v>0</v>
      </c>
      <c r="AC8" s="9">
        <f t="shared" si="5"/>
        <v>0</v>
      </c>
      <c r="AD8" s="10">
        <f t="shared" si="6"/>
        <v>0</v>
      </c>
      <c r="AE8" s="39">
        <f t="shared" si="7"/>
        <v>7.010391796610653E-2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114</v>
      </c>
      <c r="D9" s="55" t="s">
        <v>123</v>
      </c>
      <c r="E9" s="57" t="s">
        <v>297</v>
      </c>
      <c r="F9" s="12" t="s">
        <v>137</v>
      </c>
      <c r="G9" s="12">
        <v>1</v>
      </c>
      <c r="H9" s="13">
        <v>25</v>
      </c>
      <c r="I9" s="7">
        <v>6000</v>
      </c>
      <c r="J9" s="14">
        <v>2920</v>
      </c>
      <c r="K9" s="15">
        <f>L9+503+2168+1646+2914</f>
        <v>7231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7.010391796610653E-2</v>
      </c>
      <c r="AF9" s="93">
        <f t="shared" si="8"/>
        <v>4</v>
      </c>
    </row>
    <row r="10" spans="1:32" ht="27" customHeight="1">
      <c r="A10" s="109">
        <v>5</v>
      </c>
      <c r="B10" s="11" t="s">
        <v>342</v>
      </c>
      <c r="C10" s="11" t="s">
        <v>125</v>
      </c>
      <c r="D10" s="55" t="s">
        <v>132</v>
      </c>
      <c r="E10" s="57" t="s">
        <v>133</v>
      </c>
      <c r="F10" s="12" t="s">
        <v>129</v>
      </c>
      <c r="G10" s="12">
        <v>1</v>
      </c>
      <c r="H10" s="13">
        <v>25</v>
      </c>
      <c r="I10" s="7">
        <v>20000</v>
      </c>
      <c r="J10" s="14">
        <v>4901</v>
      </c>
      <c r="K10" s="15">
        <f>L10+4901</f>
        <v>7831</v>
      </c>
      <c r="L10" s="15">
        <f>2930</f>
        <v>2930</v>
      </c>
      <c r="M10" s="16">
        <f t="shared" si="0"/>
        <v>2930</v>
      </c>
      <c r="N10" s="16">
        <v>0</v>
      </c>
      <c r="O10" s="62">
        <f t="shared" si="1"/>
        <v>0</v>
      </c>
      <c r="P10" s="42">
        <f t="shared" si="2"/>
        <v>10</v>
      </c>
      <c r="Q10" s="43">
        <f t="shared" si="3"/>
        <v>14</v>
      </c>
      <c r="R10" s="7"/>
      <c r="S10" s="6"/>
      <c r="T10" s="17"/>
      <c r="U10" s="17"/>
      <c r="V10" s="18">
        <v>14</v>
      </c>
      <c r="W10" s="19"/>
      <c r="X10" s="17"/>
      <c r="Y10" s="20"/>
      <c r="Z10" s="20"/>
      <c r="AA10" s="21"/>
      <c r="AB10" s="8">
        <f t="shared" si="4"/>
        <v>0.59783717608651299</v>
      </c>
      <c r="AC10" s="9">
        <f t="shared" si="5"/>
        <v>0.41666666666666669</v>
      </c>
      <c r="AD10" s="10">
        <f t="shared" si="6"/>
        <v>0.24909882336938041</v>
      </c>
      <c r="AE10" s="39">
        <f t="shared" si="7"/>
        <v>7.010391796610653E-2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264</v>
      </c>
      <c r="F11" s="12" t="s">
        <v>172</v>
      </c>
      <c r="G11" s="12">
        <v>1</v>
      </c>
      <c r="H11" s="13">
        <v>25</v>
      </c>
      <c r="I11" s="34">
        <v>3000</v>
      </c>
      <c r="J11" s="5">
        <v>1994</v>
      </c>
      <c r="K11" s="15">
        <f>L11+2739+1994</f>
        <v>4733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7.010391796610653E-2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123</v>
      </c>
      <c r="E12" s="57" t="s">
        <v>325</v>
      </c>
      <c r="F12" s="12" t="s">
        <v>129</v>
      </c>
      <c r="G12" s="12">
        <v>1</v>
      </c>
      <c r="H12" s="13">
        <v>25</v>
      </c>
      <c r="I12" s="7">
        <v>20000</v>
      </c>
      <c r="J12" s="14">
        <v>2351</v>
      </c>
      <c r="K12" s="15">
        <f>L12+1176+2351</f>
        <v>6174</v>
      </c>
      <c r="L12" s="15">
        <v>2647</v>
      </c>
      <c r="M12" s="16">
        <f t="shared" si="0"/>
        <v>2647</v>
      </c>
      <c r="N12" s="16">
        <v>0</v>
      </c>
      <c r="O12" s="62">
        <f t="shared" si="1"/>
        <v>0</v>
      </c>
      <c r="P12" s="42">
        <f t="shared" si="2"/>
        <v>10</v>
      </c>
      <c r="Q12" s="43">
        <f t="shared" si="3"/>
        <v>14</v>
      </c>
      <c r="R12" s="7"/>
      <c r="S12" s="6"/>
      <c r="T12" s="17"/>
      <c r="U12" s="17"/>
      <c r="V12" s="18">
        <v>14</v>
      </c>
      <c r="W12" s="19"/>
      <c r="X12" s="17"/>
      <c r="Y12" s="20"/>
      <c r="Z12" s="20"/>
      <c r="AA12" s="21"/>
      <c r="AB12" s="8">
        <f t="shared" si="4"/>
        <v>1.125903870693322</v>
      </c>
      <c r="AC12" s="9">
        <f t="shared" si="5"/>
        <v>0.41666666666666669</v>
      </c>
      <c r="AD12" s="10">
        <f t="shared" si="6"/>
        <v>0.46912661278888418</v>
      </c>
      <c r="AE12" s="39">
        <f t="shared" si="7"/>
        <v>7.010391796610653E-2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3405</v>
      </c>
      <c r="K13" s="15">
        <f>L13+544+4129+5286+4993+5552+4940+4370+5340+5259+3405</f>
        <v>43818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>
        <v>24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7.010391796610653E-2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7.010391796610653E-2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7.010391796610653E-2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208</v>
      </c>
      <c r="E16" s="57" t="s">
        <v>207</v>
      </c>
      <c r="F16" s="33" t="s">
        <v>205</v>
      </c>
      <c r="G16" s="36">
        <v>2</v>
      </c>
      <c r="H16" s="38">
        <v>25</v>
      </c>
      <c r="I16" s="7">
        <v>1000</v>
      </c>
      <c r="J16" s="5">
        <v>2970</v>
      </c>
      <c r="K16" s="15">
        <f>L16</f>
        <v>2970</v>
      </c>
      <c r="L16" s="15">
        <f>1485*2</f>
        <v>2970</v>
      </c>
      <c r="M16" s="16">
        <f t="shared" si="0"/>
        <v>2970</v>
      </c>
      <c r="N16" s="16">
        <v>0</v>
      </c>
      <c r="O16" s="62">
        <f t="shared" si="1"/>
        <v>0</v>
      </c>
      <c r="P16" s="42">
        <f t="shared" si="2"/>
        <v>8</v>
      </c>
      <c r="Q16" s="43">
        <f t="shared" si="3"/>
        <v>16</v>
      </c>
      <c r="R16" s="7"/>
      <c r="S16" s="6"/>
      <c r="T16" s="17"/>
      <c r="U16" s="17"/>
      <c r="V16" s="18"/>
      <c r="W16" s="19">
        <v>16</v>
      </c>
      <c r="X16" s="17"/>
      <c r="Y16" s="20"/>
      <c r="Z16" s="20"/>
      <c r="AA16" s="21"/>
      <c r="AB16" s="8">
        <f t="shared" si="4"/>
        <v>1</v>
      </c>
      <c r="AC16" s="9">
        <f t="shared" si="5"/>
        <v>0.33333333333333331</v>
      </c>
      <c r="AD16" s="10">
        <f t="shared" si="6"/>
        <v>0.33333333333333331</v>
      </c>
      <c r="AE16" s="39">
        <f t="shared" si="7"/>
        <v>7.010391796610653E-2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222</v>
      </c>
      <c r="D17" s="55" t="s">
        <v>126</v>
      </c>
      <c r="E17" s="57" t="s">
        <v>314</v>
      </c>
      <c r="F17" s="12" t="s">
        <v>172</v>
      </c>
      <c r="G17" s="12">
        <v>1</v>
      </c>
      <c r="H17" s="13">
        <v>24</v>
      </c>
      <c r="I17" s="34">
        <v>1200</v>
      </c>
      <c r="J17" s="14">
        <v>1641</v>
      </c>
      <c r="K17" s="15">
        <f>L17+1641</f>
        <v>1641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7.010391796610653E-2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4430</v>
      </c>
      <c r="K18" s="15">
        <f>L18+776+3105+4430</f>
        <v>8311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7.010391796610653E-2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125</v>
      </c>
      <c r="D19" s="55" t="s">
        <v>123</v>
      </c>
      <c r="E19" s="57" t="s">
        <v>219</v>
      </c>
      <c r="F19" s="12" t="s">
        <v>189</v>
      </c>
      <c r="G19" s="36">
        <v>1</v>
      </c>
      <c r="H19" s="38">
        <v>30</v>
      </c>
      <c r="I19" s="7">
        <v>500</v>
      </c>
      <c r="J19" s="5">
        <v>796</v>
      </c>
      <c r="K19" s="15">
        <f>L19+796</f>
        <v>796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7.010391796610653E-2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23324</v>
      </c>
      <c r="K20" s="15">
        <f>L20+20068+24564+48544+43996+30716+19196+21560+23324</f>
        <v>231968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>
        <v>24</v>
      </c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7.010391796610653E-2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591150</v>
      </c>
      <c r="J21" s="22">
        <f t="shared" si="9"/>
        <v>89019</v>
      </c>
      <c r="K21" s="23">
        <f t="shared" si="9"/>
        <v>505398</v>
      </c>
      <c r="L21" s="24">
        <f t="shared" si="9"/>
        <v>8547</v>
      </c>
      <c r="M21" s="23">
        <f t="shared" si="9"/>
        <v>8547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28</v>
      </c>
      <c r="Q21" s="46">
        <f t="shared" si="10"/>
        <v>332</v>
      </c>
      <c r="R21" s="26">
        <f t="shared" si="10"/>
        <v>48</v>
      </c>
      <c r="S21" s="27">
        <f t="shared" si="10"/>
        <v>24</v>
      </c>
      <c r="T21" s="27">
        <f t="shared" si="10"/>
        <v>0</v>
      </c>
      <c r="U21" s="27">
        <f t="shared" si="10"/>
        <v>0</v>
      </c>
      <c r="V21" s="28">
        <f t="shared" si="10"/>
        <v>52</v>
      </c>
      <c r="W21" s="29">
        <f t="shared" si="10"/>
        <v>208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0.181582736451989</v>
      </c>
      <c r="AC21" s="4">
        <f>SUM(AC6:AC20)/15</f>
        <v>7.7777777777777779E-2</v>
      </c>
      <c r="AD21" s="4">
        <f>SUM(AD6:AD20)/15</f>
        <v>7.010391796610653E-2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356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357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46" t="s">
        <v>46</v>
      </c>
      <c r="D50" s="246" t="s">
        <v>47</v>
      </c>
      <c r="E50" s="246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46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43" t="s">
        <v>191</v>
      </c>
      <c r="D51" s="243" t="s">
        <v>208</v>
      </c>
      <c r="E51" s="243" t="s">
        <v>207</v>
      </c>
      <c r="F51" s="376" t="s">
        <v>130</v>
      </c>
      <c r="G51" s="376"/>
      <c r="H51" s="376"/>
      <c r="I51" s="376"/>
      <c r="J51" s="376"/>
      <c r="K51" s="376"/>
      <c r="L51" s="376"/>
      <c r="M51" s="386"/>
      <c r="N51" s="242" t="s">
        <v>125</v>
      </c>
      <c r="O51" s="124" t="s">
        <v>144</v>
      </c>
      <c r="P51" s="385" t="s">
        <v>123</v>
      </c>
      <c r="Q51" s="385"/>
      <c r="R51" s="385" t="s">
        <v>188</v>
      </c>
      <c r="S51" s="385"/>
      <c r="T51" s="385"/>
      <c r="U51" s="385"/>
      <c r="V51" s="376" t="s">
        <v>143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/>
      <c r="B52" s="385"/>
      <c r="C52" s="243"/>
      <c r="D52" s="243"/>
      <c r="E52" s="243"/>
      <c r="F52" s="376"/>
      <c r="G52" s="376"/>
      <c r="H52" s="376"/>
      <c r="I52" s="376"/>
      <c r="J52" s="376"/>
      <c r="K52" s="376"/>
      <c r="L52" s="376"/>
      <c r="M52" s="386"/>
      <c r="N52" s="242"/>
      <c r="O52" s="124"/>
      <c r="P52" s="393"/>
      <c r="Q52" s="394"/>
      <c r="R52" s="385"/>
      <c r="S52" s="385"/>
      <c r="T52" s="385"/>
      <c r="U52" s="385"/>
      <c r="V52" s="376"/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/>
      <c r="B53" s="385"/>
      <c r="C53" s="243"/>
      <c r="D53" s="243"/>
      <c r="E53" s="243"/>
      <c r="F53" s="376"/>
      <c r="G53" s="376"/>
      <c r="H53" s="376"/>
      <c r="I53" s="376"/>
      <c r="J53" s="376"/>
      <c r="K53" s="376"/>
      <c r="L53" s="376"/>
      <c r="M53" s="386"/>
      <c r="N53" s="242"/>
      <c r="O53" s="12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/>
      <c r="B54" s="385"/>
      <c r="C54" s="243"/>
      <c r="D54" s="243"/>
      <c r="E54" s="243"/>
      <c r="F54" s="376"/>
      <c r="G54" s="376"/>
      <c r="H54" s="376"/>
      <c r="I54" s="376"/>
      <c r="J54" s="376"/>
      <c r="K54" s="376"/>
      <c r="L54" s="376"/>
      <c r="M54" s="386"/>
      <c r="N54" s="242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43"/>
      <c r="D55" s="243"/>
      <c r="E55" s="243"/>
      <c r="F55" s="376"/>
      <c r="G55" s="376"/>
      <c r="H55" s="376"/>
      <c r="I55" s="376"/>
      <c r="J55" s="376"/>
      <c r="K55" s="376"/>
      <c r="L55" s="376"/>
      <c r="M55" s="386"/>
      <c r="N55" s="242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43"/>
      <c r="D56" s="243"/>
      <c r="E56" s="243"/>
      <c r="F56" s="376"/>
      <c r="G56" s="376"/>
      <c r="H56" s="376"/>
      <c r="I56" s="376"/>
      <c r="J56" s="376"/>
      <c r="K56" s="376"/>
      <c r="L56" s="376"/>
      <c r="M56" s="386"/>
      <c r="N56" s="242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43"/>
      <c r="D57" s="243"/>
      <c r="E57" s="243"/>
      <c r="F57" s="376"/>
      <c r="G57" s="376"/>
      <c r="H57" s="376"/>
      <c r="I57" s="376"/>
      <c r="J57" s="376"/>
      <c r="K57" s="376"/>
      <c r="L57" s="376"/>
      <c r="M57" s="386"/>
      <c r="N57" s="242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43"/>
      <c r="D58" s="243"/>
      <c r="E58" s="243"/>
      <c r="F58" s="376"/>
      <c r="G58" s="376"/>
      <c r="H58" s="376"/>
      <c r="I58" s="376"/>
      <c r="J58" s="376"/>
      <c r="K58" s="376"/>
      <c r="L58" s="376"/>
      <c r="M58" s="386"/>
      <c r="N58" s="242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43"/>
      <c r="D59" s="243"/>
      <c r="E59" s="243"/>
      <c r="F59" s="376"/>
      <c r="G59" s="376"/>
      <c r="H59" s="376"/>
      <c r="I59" s="376"/>
      <c r="J59" s="376"/>
      <c r="K59" s="376"/>
      <c r="L59" s="376"/>
      <c r="M59" s="386"/>
      <c r="N59" s="242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45"/>
      <c r="D60" s="245"/>
      <c r="E60" s="245"/>
      <c r="F60" s="389"/>
      <c r="G60" s="389"/>
      <c r="H60" s="389"/>
      <c r="I60" s="389"/>
      <c r="J60" s="389"/>
      <c r="K60" s="389"/>
      <c r="L60" s="389"/>
      <c r="M60" s="390"/>
      <c r="N60" s="244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358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41" t="s">
        <v>2</v>
      </c>
      <c r="D62" s="241" t="s">
        <v>37</v>
      </c>
      <c r="E62" s="241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41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/>
      <c r="D63" s="237"/>
      <c r="E63" s="240"/>
      <c r="F63" s="374"/>
      <c r="G63" s="366"/>
      <c r="H63" s="366"/>
      <c r="I63" s="366"/>
      <c r="J63" s="366"/>
      <c r="K63" s="366"/>
      <c r="L63" s="366"/>
      <c r="M63" s="54"/>
      <c r="N63" s="366"/>
      <c r="O63" s="366"/>
      <c r="P63" s="375"/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/>
      <c r="D64" s="237"/>
      <c r="E64" s="240"/>
      <c r="F64" s="374"/>
      <c r="G64" s="366"/>
      <c r="H64" s="366"/>
      <c r="I64" s="366"/>
      <c r="J64" s="366"/>
      <c r="K64" s="366"/>
      <c r="L64" s="366"/>
      <c r="M64" s="54"/>
      <c r="N64" s="366"/>
      <c r="O64" s="366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237"/>
      <c r="E65" s="240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237"/>
      <c r="E66" s="240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237"/>
      <c r="E67" s="240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237"/>
      <c r="E68" s="240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237"/>
      <c r="E69" s="240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237"/>
      <c r="E70" s="240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359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239" t="s">
        <v>2</v>
      </c>
      <c r="D72" s="239" t="s">
        <v>37</v>
      </c>
      <c r="E72" s="239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238" t="s">
        <v>114</v>
      </c>
      <c r="D73" s="238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237" t="s">
        <v>114</v>
      </c>
      <c r="D74" s="237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237"/>
      <c r="D75" s="237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237"/>
      <c r="D76" s="237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237"/>
      <c r="D77" s="237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237"/>
      <c r="D78" s="237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237"/>
      <c r="D79" s="237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237"/>
      <c r="D80" s="237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237"/>
      <c r="D81" s="237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360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6E08-9379-4FEC-8CFD-442AF90958C7}">
  <sheetPr>
    <pageSetUpPr fitToPage="1"/>
  </sheetPr>
  <dimension ref="A1:AF86"/>
  <sheetViews>
    <sheetView zoomScale="72" zoomScaleNormal="72" zoomScaleSheetLayoutView="70" workbookViewId="0">
      <selection activeCell="U10" sqref="U1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361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48" t="s">
        <v>17</v>
      </c>
      <c r="L5" s="248" t="s">
        <v>18</v>
      </c>
      <c r="M5" s="248" t="s">
        <v>19</v>
      </c>
      <c r="N5" s="24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0.27498578535891965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0.27498578535891965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150</v>
      </c>
      <c r="D8" s="55" t="s">
        <v>132</v>
      </c>
      <c r="E8" s="57" t="s">
        <v>362</v>
      </c>
      <c r="F8" s="33" t="s">
        <v>151</v>
      </c>
      <c r="G8" s="36">
        <v>2</v>
      </c>
      <c r="H8" s="38">
        <v>25</v>
      </c>
      <c r="I8" s="7">
        <v>10000</v>
      </c>
      <c r="J8" s="5">
        <v>5684</v>
      </c>
      <c r="K8" s="15">
        <f>L8</f>
        <v>5684</v>
      </c>
      <c r="L8" s="15">
        <f>2842*2</f>
        <v>5684</v>
      </c>
      <c r="M8" s="16">
        <f t="shared" si="0"/>
        <v>5684</v>
      </c>
      <c r="N8" s="16">
        <v>0</v>
      </c>
      <c r="O8" s="62">
        <f t="shared" si="1"/>
        <v>0</v>
      </c>
      <c r="P8" s="42">
        <f t="shared" si="2"/>
        <v>15</v>
      </c>
      <c r="Q8" s="43">
        <f t="shared" si="3"/>
        <v>9</v>
      </c>
      <c r="R8" s="7"/>
      <c r="S8" s="6"/>
      <c r="T8" s="17">
        <v>9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0.625</v>
      </c>
      <c r="AD8" s="10">
        <f t="shared" si="6"/>
        <v>0.625</v>
      </c>
      <c r="AE8" s="39">
        <f t="shared" si="7"/>
        <v>0.27498578535891965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114</v>
      </c>
      <c r="D9" s="55" t="s">
        <v>123</v>
      </c>
      <c r="E9" s="57" t="s">
        <v>297</v>
      </c>
      <c r="F9" s="12" t="s">
        <v>137</v>
      </c>
      <c r="G9" s="12">
        <v>1</v>
      </c>
      <c r="H9" s="13">
        <v>25</v>
      </c>
      <c r="I9" s="7">
        <v>6000</v>
      </c>
      <c r="J9" s="14">
        <v>2920</v>
      </c>
      <c r="K9" s="15">
        <f>L9+503+2168+1646+2914</f>
        <v>7231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0.27498578535891965</v>
      </c>
      <c r="AF9" s="93">
        <f t="shared" si="8"/>
        <v>4</v>
      </c>
    </row>
    <row r="10" spans="1:32" ht="27" customHeight="1">
      <c r="A10" s="109">
        <v>5</v>
      </c>
      <c r="B10" s="11" t="s">
        <v>342</v>
      </c>
      <c r="C10" s="11" t="s">
        <v>125</v>
      </c>
      <c r="D10" s="55" t="s">
        <v>132</v>
      </c>
      <c r="E10" s="57" t="s">
        <v>133</v>
      </c>
      <c r="F10" s="12" t="s">
        <v>129</v>
      </c>
      <c r="G10" s="12">
        <v>1</v>
      </c>
      <c r="H10" s="13">
        <v>25</v>
      </c>
      <c r="I10" s="7">
        <v>20000</v>
      </c>
      <c r="J10" s="14">
        <v>5934</v>
      </c>
      <c r="K10" s="15">
        <f>L10+4901+2930</f>
        <v>13765</v>
      </c>
      <c r="L10" s="15">
        <f>3369+2565</f>
        <v>5934</v>
      </c>
      <c r="M10" s="16">
        <f t="shared" si="0"/>
        <v>5934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0.27498578535891965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264</v>
      </c>
      <c r="F11" s="12" t="s">
        <v>172</v>
      </c>
      <c r="G11" s="12">
        <v>1</v>
      </c>
      <c r="H11" s="13">
        <v>25</v>
      </c>
      <c r="I11" s="34">
        <v>3000</v>
      </c>
      <c r="J11" s="5">
        <v>1994</v>
      </c>
      <c r="K11" s="15">
        <f>L11+2739+1994</f>
        <v>4733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0.27498578535891965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123</v>
      </c>
      <c r="E12" s="57" t="s">
        <v>325</v>
      </c>
      <c r="F12" s="12" t="s">
        <v>129</v>
      </c>
      <c r="G12" s="12">
        <v>1</v>
      </c>
      <c r="H12" s="13">
        <v>25</v>
      </c>
      <c r="I12" s="7">
        <v>20000</v>
      </c>
      <c r="J12" s="14">
        <v>5277</v>
      </c>
      <c r="K12" s="15">
        <f>L12+1176+2351+2647</f>
        <v>11451</v>
      </c>
      <c r="L12" s="15">
        <f>2926+2351</f>
        <v>5277</v>
      </c>
      <c r="M12" s="16">
        <f t="shared" si="0"/>
        <v>5277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0.27498578535891965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4690</v>
      </c>
      <c r="K13" s="15">
        <f>L13+544+4129+5286+4993+5552+4940+4370+5340+5259+3405</f>
        <v>48507</v>
      </c>
      <c r="L13" s="15">
        <f>2774+1915</f>
        <v>4689</v>
      </c>
      <c r="M13" s="16">
        <f t="shared" si="0"/>
        <v>4689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0.99978678038379531</v>
      </c>
      <c r="AC13" s="9">
        <f t="shared" si="5"/>
        <v>1</v>
      </c>
      <c r="AD13" s="10">
        <f t="shared" si="6"/>
        <v>0.99978678038379531</v>
      </c>
      <c r="AE13" s="39">
        <f t="shared" si="7"/>
        <v>0.27498578535891965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0.27498578535891965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0.27498578535891965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208</v>
      </c>
      <c r="E16" s="57" t="s">
        <v>207</v>
      </c>
      <c r="F16" s="33" t="s">
        <v>205</v>
      </c>
      <c r="G16" s="36">
        <v>2</v>
      </c>
      <c r="H16" s="38">
        <v>25</v>
      </c>
      <c r="I16" s="7">
        <v>1000</v>
      </c>
      <c r="J16" s="5">
        <v>2970</v>
      </c>
      <c r="K16" s="15">
        <f>L16+2970</f>
        <v>2970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0.27498578535891965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222</v>
      </c>
      <c r="D17" s="55" t="s">
        <v>126</v>
      </c>
      <c r="E17" s="57" t="s">
        <v>314</v>
      </c>
      <c r="F17" s="12" t="s">
        <v>172</v>
      </c>
      <c r="G17" s="12">
        <v>1</v>
      </c>
      <c r="H17" s="13">
        <v>24</v>
      </c>
      <c r="I17" s="34">
        <v>1200</v>
      </c>
      <c r="J17" s="14">
        <v>1641</v>
      </c>
      <c r="K17" s="15">
        <f>L17+1641</f>
        <v>1641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0.27498578535891965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4430</v>
      </c>
      <c r="K18" s="15">
        <f>L18+776+3105+4430</f>
        <v>8311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0.27498578535891965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125</v>
      </c>
      <c r="D19" s="55" t="s">
        <v>123</v>
      </c>
      <c r="E19" s="57" t="s">
        <v>219</v>
      </c>
      <c r="F19" s="12" t="s">
        <v>189</v>
      </c>
      <c r="G19" s="36">
        <v>1</v>
      </c>
      <c r="H19" s="38">
        <v>30</v>
      </c>
      <c r="I19" s="7">
        <v>500</v>
      </c>
      <c r="J19" s="5">
        <v>796</v>
      </c>
      <c r="K19" s="15">
        <f>L19+796</f>
        <v>796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0.27498578535891965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19612</v>
      </c>
      <c r="K20" s="15">
        <f>L20+20068+24564+48544+43996+30716+19196+21560+23324</f>
        <v>251580</v>
      </c>
      <c r="L20" s="15">
        <f>4903*4</f>
        <v>19612</v>
      </c>
      <c r="M20" s="16">
        <f t="shared" si="0"/>
        <v>19612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0.27498578535891965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599950</v>
      </c>
      <c r="J21" s="22">
        <f t="shared" si="9"/>
        <v>94961</v>
      </c>
      <c r="K21" s="23">
        <f t="shared" si="9"/>
        <v>545320</v>
      </c>
      <c r="L21" s="24">
        <f t="shared" si="9"/>
        <v>41196</v>
      </c>
      <c r="M21" s="23">
        <f t="shared" si="9"/>
        <v>41196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99</v>
      </c>
      <c r="Q21" s="46">
        <f t="shared" si="10"/>
        <v>261</v>
      </c>
      <c r="R21" s="26">
        <f t="shared" si="10"/>
        <v>48</v>
      </c>
      <c r="S21" s="27">
        <f t="shared" si="10"/>
        <v>0</v>
      </c>
      <c r="T21" s="27">
        <f t="shared" si="10"/>
        <v>9</v>
      </c>
      <c r="U21" s="27">
        <f t="shared" si="10"/>
        <v>0</v>
      </c>
      <c r="V21" s="28">
        <f t="shared" si="10"/>
        <v>12</v>
      </c>
      <c r="W21" s="29">
        <f t="shared" si="10"/>
        <v>192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0.333319118692253</v>
      </c>
      <c r="AC21" s="4">
        <f>SUM(AC6:AC20)/15</f>
        <v>0.27500000000000002</v>
      </c>
      <c r="AD21" s="4">
        <f>SUM(AD6:AD20)/15</f>
        <v>0.27498578535891965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363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364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49" t="s">
        <v>46</v>
      </c>
      <c r="D50" s="249" t="s">
        <v>47</v>
      </c>
      <c r="E50" s="249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49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51" t="s">
        <v>144</v>
      </c>
      <c r="D51" s="251" t="s">
        <v>123</v>
      </c>
      <c r="E51" s="251" t="s">
        <v>188</v>
      </c>
      <c r="F51" s="376" t="s">
        <v>143</v>
      </c>
      <c r="G51" s="376"/>
      <c r="H51" s="376"/>
      <c r="I51" s="376"/>
      <c r="J51" s="376"/>
      <c r="K51" s="376"/>
      <c r="L51" s="376"/>
      <c r="M51" s="386"/>
      <c r="N51" s="250" t="s">
        <v>150</v>
      </c>
      <c r="O51" s="124" t="s">
        <v>145</v>
      </c>
      <c r="P51" s="385" t="s">
        <v>123</v>
      </c>
      <c r="Q51" s="385"/>
      <c r="R51" s="385" t="s">
        <v>167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150</v>
      </c>
      <c r="B52" s="385"/>
      <c r="C52" s="251" t="s">
        <v>140</v>
      </c>
      <c r="D52" s="251" t="s">
        <v>132</v>
      </c>
      <c r="E52" s="251" t="s">
        <v>362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250"/>
      <c r="O52" s="124"/>
      <c r="P52" s="393"/>
      <c r="Q52" s="394"/>
      <c r="R52" s="385"/>
      <c r="S52" s="385"/>
      <c r="T52" s="385"/>
      <c r="U52" s="385"/>
      <c r="V52" s="376"/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/>
      <c r="B53" s="385"/>
      <c r="C53" s="251"/>
      <c r="D53" s="251"/>
      <c r="E53" s="251"/>
      <c r="F53" s="376"/>
      <c r="G53" s="376"/>
      <c r="H53" s="376"/>
      <c r="I53" s="376"/>
      <c r="J53" s="376"/>
      <c r="K53" s="376"/>
      <c r="L53" s="376"/>
      <c r="M53" s="386"/>
      <c r="N53" s="250"/>
      <c r="O53" s="12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/>
      <c r="B54" s="385"/>
      <c r="C54" s="251"/>
      <c r="D54" s="251"/>
      <c r="E54" s="251"/>
      <c r="F54" s="376"/>
      <c r="G54" s="376"/>
      <c r="H54" s="376"/>
      <c r="I54" s="376"/>
      <c r="J54" s="376"/>
      <c r="K54" s="376"/>
      <c r="L54" s="376"/>
      <c r="M54" s="386"/>
      <c r="N54" s="250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51"/>
      <c r="D55" s="251"/>
      <c r="E55" s="251"/>
      <c r="F55" s="376"/>
      <c r="G55" s="376"/>
      <c r="H55" s="376"/>
      <c r="I55" s="376"/>
      <c r="J55" s="376"/>
      <c r="K55" s="376"/>
      <c r="L55" s="376"/>
      <c r="M55" s="386"/>
      <c r="N55" s="250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51"/>
      <c r="D56" s="251"/>
      <c r="E56" s="251"/>
      <c r="F56" s="376"/>
      <c r="G56" s="376"/>
      <c r="H56" s="376"/>
      <c r="I56" s="376"/>
      <c r="J56" s="376"/>
      <c r="K56" s="376"/>
      <c r="L56" s="376"/>
      <c r="M56" s="386"/>
      <c r="N56" s="250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51"/>
      <c r="D57" s="251"/>
      <c r="E57" s="251"/>
      <c r="F57" s="376"/>
      <c r="G57" s="376"/>
      <c r="H57" s="376"/>
      <c r="I57" s="376"/>
      <c r="J57" s="376"/>
      <c r="K57" s="376"/>
      <c r="L57" s="376"/>
      <c r="M57" s="386"/>
      <c r="N57" s="250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51"/>
      <c r="D58" s="251"/>
      <c r="E58" s="251"/>
      <c r="F58" s="376"/>
      <c r="G58" s="376"/>
      <c r="H58" s="376"/>
      <c r="I58" s="376"/>
      <c r="J58" s="376"/>
      <c r="K58" s="376"/>
      <c r="L58" s="376"/>
      <c r="M58" s="386"/>
      <c r="N58" s="250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51"/>
      <c r="D59" s="251"/>
      <c r="E59" s="251"/>
      <c r="F59" s="376"/>
      <c r="G59" s="376"/>
      <c r="H59" s="376"/>
      <c r="I59" s="376"/>
      <c r="J59" s="376"/>
      <c r="K59" s="376"/>
      <c r="L59" s="376"/>
      <c r="M59" s="386"/>
      <c r="N59" s="250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53"/>
      <c r="D60" s="253"/>
      <c r="E60" s="253"/>
      <c r="F60" s="389"/>
      <c r="G60" s="389"/>
      <c r="H60" s="389"/>
      <c r="I60" s="389"/>
      <c r="J60" s="389"/>
      <c r="K60" s="389"/>
      <c r="L60" s="389"/>
      <c r="M60" s="390"/>
      <c r="N60" s="252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365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54" t="s">
        <v>2</v>
      </c>
      <c r="D62" s="254" t="s">
        <v>37</v>
      </c>
      <c r="E62" s="254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54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125</v>
      </c>
      <c r="D63" s="257"/>
      <c r="E63" s="255" t="s">
        <v>126</v>
      </c>
      <c r="F63" s="374" t="s">
        <v>366</v>
      </c>
      <c r="G63" s="366"/>
      <c r="H63" s="366"/>
      <c r="I63" s="366"/>
      <c r="J63" s="366"/>
      <c r="K63" s="366" t="s">
        <v>172</v>
      </c>
      <c r="L63" s="366"/>
      <c r="M63" s="54" t="s">
        <v>367</v>
      </c>
      <c r="N63" s="366">
        <v>6</v>
      </c>
      <c r="O63" s="366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150</v>
      </c>
      <c r="D64" s="257"/>
      <c r="E64" s="255" t="s">
        <v>123</v>
      </c>
      <c r="F64" s="374" t="s">
        <v>196</v>
      </c>
      <c r="G64" s="366"/>
      <c r="H64" s="366"/>
      <c r="I64" s="366"/>
      <c r="J64" s="366"/>
      <c r="K64" s="366" t="s">
        <v>151</v>
      </c>
      <c r="L64" s="366"/>
      <c r="M64" s="54" t="s">
        <v>186</v>
      </c>
      <c r="N64" s="366">
        <v>13</v>
      </c>
      <c r="O64" s="366"/>
      <c r="P64" s="375">
        <v>50</v>
      </c>
      <c r="Q64" s="375"/>
      <c r="R64" s="376" t="s">
        <v>368</v>
      </c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 t="s">
        <v>114</v>
      </c>
      <c r="D65" s="257"/>
      <c r="E65" s="255" t="s">
        <v>208</v>
      </c>
      <c r="F65" s="374" t="s">
        <v>369</v>
      </c>
      <c r="G65" s="366"/>
      <c r="H65" s="366"/>
      <c r="I65" s="366"/>
      <c r="J65" s="366"/>
      <c r="K65" s="366" t="s">
        <v>205</v>
      </c>
      <c r="L65" s="366"/>
      <c r="M65" s="54" t="s">
        <v>370</v>
      </c>
      <c r="N65" s="366">
        <v>11</v>
      </c>
      <c r="O65" s="366"/>
      <c r="P65" s="375">
        <v>100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257"/>
      <c r="E66" s="255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257"/>
      <c r="E67" s="255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257"/>
      <c r="E68" s="255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257"/>
      <c r="E69" s="255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257"/>
      <c r="E70" s="255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371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256" t="s">
        <v>2</v>
      </c>
      <c r="D72" s="256" t="s">
        <v>37</v>
      </c>
      <c r="E72" s="256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258" t="s">
        <v>114</v>
      </c>
      <c r="D73" s="258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257" t="s">
        <v>114</v>
      </c>
      <c r="D74" s="257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257"/>
      <c r="D75" s="257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257"/>
      <c r="D76" s="257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257"/>
      <c r="D77" s="257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257"/>
      <c r="D78" s="257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257"/>
      <c r="D79" s="257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257"/>
      <c r="D80" s="257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257"/>
      <c r="D81" s="257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372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18D9-B01C-4CA0-AA18-5EC3DD8382C6}">
  <sheetPr>
    <pageSetUpPr fitToPage="1"/>
  </sheetPr>
  <dimension ref="A1:AF86"/>
  <sheetViews>
    <sheetView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373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69" t="s">
        <v>17</v>
      </c>
      <c r="L5" s="269" t="s">
        <v>18</v>
      </c>
      <c r="M5" s="269" t="s">
        <v>19</v>
      </c>
      <c r="N5" s="26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0.27196707183400043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0.27196707183400043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150</v>
      </c>
      <c r="D8" s="55" t="s">
        <v>132</v>
      </c>
      <c r="E8" s="57" t="s">
        <v>362</v>
      </c>
      <c r="F8" s="33" t="s">
        <v>151</v>
      </c>
      <c r="G8" s="36">
        <v>2</v>
      </c>
      <c r="H8" s="38">
        <v>25</v>
      </c>
      <c r="I8" s="7">
        <v>10000</v>
      </c>
      <c r="J8" s="5">
        <v>12050</v>
      </c>
      <c r="K8" s="15">
        <f>L8+5684</f>
        <v>17726</v>
      </c>
      <c r="L8" s="15">
        <f>2785*2+3236*2</f>
        <v>12042</v>
      </c>
      <c r="M8" s="16">
        <f t="shared" si="0"/>
        <v>12042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0.9993360995850622</v>
      </c>
      <c r="AC8" s="9">
        <f t="shared" si="5"/>
        <v>1</v>
      </c>
      <c r="AD8" s="10">
        <f t="shared" si="6"/>
        <v>0.9993360995850622</v>
      </c>
      <c r="AE8" s="39">
        <f t="shared" si="7"/>
        <v>0.27196707183400043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114</v>
      </c>
      <c r="D9" s="55" t="s">
        <v>123</v>
      </c>
      <c r="E9" s="57" t="s">
        <v>297</v>
      </c>
      <c r="F9" s="12" t="s">
        <v>137</v>
      </c>
      <c r="G9" s="12">
        <v>1</v>
      </c>
      <c r="H9" s="13">
        <v>25</v>
      </c>
      <c r="I9" s="7">
        <v>6000</v>
      </c>
      <c r="J9" s="14">
        <v>2920</v>
      </c>
      <c r="K9" s="15">
        <f>L9+503+2168+1646+2914</f>
        <v>7231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0.27196707183400043</v>
      </c>
      <c r="AF9" s="93">
        <f t="shared" si="8"/>
        <v>4</v>
      </c>
    </row>
    <row r="10" spans="1:32" ht="27" customHeight="1">
      <c r="A10" s="109">
        <v>5</v>
      </c>
      <c r="B10" s="11" t="s">
        <v>342</v>
      </c>
      <c r="C10" s="11" t="s">
        <v>125</v>
      </c>
      <c r="D10" s="55" t="s">
        <v>132</v>
      </c>
      <c r="E10" s="57" t="s">
        <v>133</v>
      </c>
      <c r="F10" s="12" t="s">
        <v>129</v>
      </c>
      <c r="G10" s="12">
        <v>1</v>
      </c>
      <c r="H10" s="13">
        <v>25</v>
      </c>
      <c r="I10" s="7">
        <v>20000</v>
      </c>
      <c r="J10" s="14">
        <v>1000</v>
      </c>
      <c r="K10" s="15">
        <f>L10+4901+2930+5934</f>
        <v>14749</v>
      </c>
      <c r="L10" s="15">
        <v>984</v>
      </c>
      <c r="M10" s="16">
        <f t="shared" si="0"/>
        <v>984</v>
      </c>
      <c r="N10" s="16">
        <v>0</v>
      </c>
      <c r="O10" s="62">
        <f t="shared" si="1"/>
        <v>0</v>
      </c>
      <c r="P10" s="42">
        <f t="shared" si="2"/>
        <v>4</v>
      </c>
      <c r="Q10" s="43">
        <f t="shared" si="3"/>
        <v>20</v>
      </c>
      <c r="R10" s="7"/>
      <c r="S10" s="6"/>
      <c r="T10" s="17"/>
      <c r="U10" s="17"/>
      <c r="V10" s="18"/>
      <c r="W10" s="19">
        <v>20</v>
      </c>
      <c r="X10" s="17"/>
      <c r="Y10" s="20"/>
      <c r="Z10" s="20"/>
      <c r="AA10" s="21"/>
      <c r="AB10" s="8">
        <f t="shared" si="4"/>
        <v>0.98399999999999999</v>
      </c>
      <c r="AC10" s="9">
        <f t="shared" si="5"/>
        <v>0.16666666666666666</v>
      </c>
      <c r="AD10" s="10">
        <f t="shared" si="6"/>
        <v>0.16399999999999998</v>
      </c>
      <c r="AE10" s="39">
        <f t="shared" si="7"/>
        <v>0.27196707183400043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264</v>
      </c>
      <c r="F11" s="12" t="s">
        <v>172</v>
      </c>
      <c r="G11" s="12">
        <v>1</v>
      </c>
      <c r="H11" s="13">
        <v>25</v>
      </c>
      <c r="I11" s="34">
        <v>3000</v>
      </c>
      <c r="J11" s="5">
        <v>1994</v>
      </c>
      <c r="K11" s="15">
        <f>L11+2739+1994</f>
        <v>4733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0.27196707183400043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123</v>
      </c>
      <c r="E12" s="57" t="s">
        <v>325</v>
      </c>
      <c r="F12" s="12" t="s">
        <v>129</v>
      </c>
      <c r="G12" s="12">
        <v>1</v>
      </c>
      <c r="H12" s="13">
        <v>25</v>
      </c>
      <c r="I12" s="7">
        <v>20000</v>
      </c>
      <c r="J12" s="14">
        <v>6040</v>
      </c>
      <c r="K12" s="15">
        <f>L12+1176+2351+2647+5277</f>
        <v>17488</v>
      </c>
      <c r="L12" s="15">
        <f>2687+3350</f>
        <v>6037</v>
      </c>
      <c r="M12" s="16">
        <f t="shared" si="0"/>
        <v>6037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0.99950331125827818</v>
      </c>
      <c r="AC12" s="9">
        <f t="shared" si="5"/>
        <v>1</v>
      </c>
      <c r="AD12" s="10">
        <f t="shared" si="6"/>
        <v>0.99950331125827818</v>
      </c>
      <c r="AE12" s="39">
        <f t="shared" si="7"/>
        <v>0.27196707183400043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3783</v>
      </c>
      <c r="K13" s="15">
        <f>L13+544+4129+5286+4993+5552+4940+4370+5340+5259+3405+4689</f>
        <v>52290</v>
      </c>
      <c r="L13" s="15">
        <f>629+3154</f>
        <v>3783</v>
      </c>
      <c r="M13" s="16">
        <f t="shared" si="0"/>
        <v>3783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>
        <v>5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0.79166666666666663</v>
      </c>
      <c r="AD13" s="10">
        <f t="shared" si="6"/>
        <v>0.79166666666666663</v>
      </c>
      <c r="AE13" s="39">
        <f t="shared" si="7"/>
        <v>0.27196707183400043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0.27196707183400043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0.27196707183400043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208</v>
      </c>
      <c r="E16" s="57" t="s">
        <v>207</v>
      </c>
      <c r="F16" s="33" t="s">
        <v>205</v>
      </c>
      <c r="G16" s="36">
        <v>2</v>
      </c>
      <c r="H16" s="38">
        <v>25</v>
      </c>
      <c r="I16" s="7">
        <v>1000</v>
      </c>
      <c r="J16" s="5">
        <v>2970</v>
      </c>
      <c r="K16" s="15">
        <f>L16+2970</f>
        <v>2970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0.27196707183400043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222</v>
      </c>
      <c r="D17" s="55" t="s">
        <v>126</v>
      </c>
      <c r="E17" s="57" t="s">
        <v>314</v>
      </c>
      <c r="F17" s="12" t="s">
        <v>172</v>
      </c>
      <c r="G17" s="12">
        <v>1</v>
      </c>
      <c r="H17" s="13">
        <v>24</v>
      </c>
      <c r="I17" s="34">
        <v>1200</v>
      </c>
      <c r="J17" s="14">
        <v>1641</v>
      </c>
      <c r="K17" s="15">
        <f>L17+1641</f>
        <v>1641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0.27196707183400043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4430</v>
      </c>
      <c r="K18" s="15">
        <f>L18+776+3105+4430</f>
        <v>8311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0.27196707183400043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150</v>
      </c>
      <c r="D19" s="55" t="s">
        <v>123</v>
      </c>
      <c r="E19" s="57" t="s">
        <v>167</v>
      </c>
      <c r="F19" s="12" t="s">
        <v>151</v>
      </c>
      <c r="G19" s="36">
        <v>1</v>
      </c>
      <c r="H19" s="38">
        <v>30</v>
      </c>
      <c r="I19" s="7">
        <v>10000</v>
      </c>
      <c r="J19" s="5">
        <v>10016</v>
      </c>
      <c r="K19" s="15">
        <f>L19</f>
        <v>10016</v>
      </c>
      <c r="L19" s="15">
        <f>1955*2+3053*2</f>
        <v>10016</v>
      </c>
      <c r="M19" s="16">
        <f t="shared" si="0"/>
        <v>10016</v>
      </c>
      <c r="N19" s="16">
        <v>0</v>
      </c>
      <c r="O19" s="62">
        <f t="shared" si="1"/>
        <v>0</v>
      </c>
      <c r="P19" s="42">
        <f t="shared" si="2"/>
        <v>23</v>
      </c>
      <c r="Q19" s="43">
        <f t="shared" si="3"/>
        <v>1</v>
      </c>
      <c r="R19" s="7"/>
      <c r="S19" s="6"/>
      <c r="T19" s="17">
        <v>1</v>
      </c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0.95833333333333337</v>
      </c>
      <c r="AD19" s="10">
        <f t="shared" si="6"/>
        <v>0.95833333333333337</v>
      </c>
      <c r="AE19" s="39">
        <f t="shared" si="7"/>
        <v>0.27196707183400043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</f>
        <v>256104</v>
      </c>
      <c r="L20" s="15">
        <f>1131*4</f>
        <v>4524</v>
      </c>
      <c r="M20" s="16">
        <f t="shared" si="0"/>
        <v>4524</v>
      </c>
      <c r="N20" s="16">
        <v>0</v>
      </c>
      <c r="O20" s="62">
        <f t="shared" si="1"/>
        <v>0</v>
      </c>
      <c r="P20" s="42">
        <f t="shared" si="2"/>
        <v>4</v>
      </c>
      <c r="Q20" s="43">
        <f t="shared" si="3"/>
        <v>20</v>
      </c>
      <c r="R20" s="7"/>
      <c r="S20" s="6"/>
      <c r="T20" s="17"/>
      <c r="U20" s="17"/>
      <c r="V20" s="18"/>
      <c r="W20" s="19">
        <v>20</v>
      </c>
      <c r="X20" s="17"/>
      <c r="Y20" s="20"/>
      <c r="Z20" s="20"/>
      <c r="AA20" s="21"/>
      <c r="AB20" s="8">
        <f t="shared" si="4"/>
        <v>1</v>
      </c>
      <c r="AC20" s="9">
        <f t="shared" si="5"/>
        <v>0.16666666666666666</v>
      </c>
      <c r="AD20" s="10">
        <f t="shared" si="6"/>
        <v>0.16666666666666666</v>
      </c>
      <c r="AE20" s="39">
        <f t="shared" si="7"/>
        <v>0.27196707183400043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609450</v>
      </c>
      <c r="J21" s="22">
        <f t="shared" si="9"/>
        <v>90381</v>
      </c>
      <c r="K21" s="23">
        <f t="shared" si="9"/>
        <v>581910</v>
      </c>
      <c r="L21" s="24">
        <f t="shared" si="9"/>
        <v>37386</v>
      </c>
      <c r="M21" s="23">
        <f t="shared" si="9"/>
        <v>37386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98</v>
      </c>
      <c r="Q21" s="46">
        <f t="shared" si="10"/>
        <v>262</v>
      </c>
      <c r="R21" s="26">
        <f t="shared" si="10"/>
        <v>48</v>
      </c>
      <c r="S21" s="27">
        <f t="shared" si="10"/>
        <v>5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208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0.39885596072288931</v>
      </c>
      <c r="AC21" s="4">
        <f>SUM(AC6:AC20)/15</f>
        <v>0.27222222222222225</v>
      </c>
      <c r="AD21" s="4">
        <f>SUM(AD6:AD20)/15</f>
        <v>0.27196707183400043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374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375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68" t="s">
        <v>46</v>
      </c>
      <c r="D50" s="268" t="s">
        <v>47</v>
      </c>
      <c r="E50" s="268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68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65" t="s">
        <v>144</v>
      </c>
      <c r="D51" s="265" t="s">
        <v>123</v>
      </c>
      <c r="E51" s="265" t="s">
        <v>188</v>
      </c>
      <c r="F51" s="376" t="s">
        <v>143</v>
      </c>
      <c r="G51" s="376"/>
      <c r="H51" s="376"/>
      <c r="I51" s="376"/>
      <c r="J51" s="376"/>
      <c r="K51" s="376"/>
      <c r="L51" s="376"/>
      <c r="M51" s="386"/>
      <c r="N51" s="264" t="s">
        <v>125</v>
      </c>
      <c r="O51" s="124" t="s">
        <v>140</v>
      </c>
      <c r="P51" s="385" t="s">
        <v>255</v>
      </c>
      <c r="Q51" s="385"/>
      <c r="R51" s="385" t="s">
        <v>376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150</v>
      </c>
      <c r="B52" s="385"/>
      <c r="C52" s="265" t="s">
        <v>145</v>
      </c>
      <c r="D52" s="265" t="s">
        <v>123</v>
      </c>
      <c r="E52" s="265" t="s">
        <v>167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264" t="s">
        <v>125</v>
      </c>
      <c r="O52" s="124" t="s">
        <v>141</v>
      </c>
      <c r="P52" s="393" t="s">
        <v>136</v>
      </c>
      <c r="Q52" s="394"/>
      <c r="R52" s="385" t="s">
        <v>377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/>
      <c r="B53" s="385"/>
      <c r="C53" s="265"/>
      <c r="D53" s="265"/>
      <c r="E53" s="265"/>
      <c r="F53" s="376"/>
      <c r="G53" s="376"/>
      <c r="H53" s="376"/>
      <c r="I53" s="376"/>
      <c r="J53" s="376"/>
      <c r="K53" s="376"/>
      <c r="L53" s="376"/>
      <c r="M53" s="386"/>
      <c r="N53" s="264" t="s">
        <v>152</v>
      </c>
      <c r="O53" s="124" t="s">
        <v>142</v>
      </c>
      <c r="P53" s="385"/>
      <c r="Q53" s="385"/>
      <c r="R53" s="385" t="s">
        <v>378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/>
      <c r="B54" s="385"/>
      <c r="C54" s="265"/>
      <c r="D54" s="265"/>
      <c r="E54" s="265"/>
      <c r="F54" s="376"/>
      <c r="G54" s="376"/>
      <c r="H54" s="376"/>
      <c r="I54" s="376"/>
      <c r="J54" s="376"/>
      <c r="K54" s="376"/>
      <c r="L54" s="376"/>
      <c r="M54" s="386"/>
      <c r="N54" s="264" t="s">
        <v>114</v>
      </c>
      <c r="O54" s="124" t="s">
        <v>191</v>
      </c>
      <c r="P54" s="385" t="s">
        <v>278</v>
      </c>
      <c r="Q54" s="385"/>
      <c r="R54" s="385" t="s">
        <v>379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65"/>
      <c r="D55" s="265"/>
      <c r="E55" s="265"/>
      <c r="F55" s="376"/>
      <c r="G55" s="376"/>
      <c r="H55" s="376"/>
      <c r="I55" s="376"/>
      <c r="J55" s="376"/>
      <c r="K55" s="376"/>
      <c r="L55" s="376"/>
      <c r="M55" s="386"/>
      <c r="N55" s="264" t="s">
        <v>114</v>
      </c>
      <c r="O55" s="124" t="s">
        <v>181</v>
      </c>
      <c r="P55" s="385" t="s">
        <v>381</v>
      </c>
      <c r="Q55" s="385"/>
      <c r="R55" s="385" t="s">
        <v>380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65"/>
      <c r="D56" s="265"/>
      <c r="E56" s="265"/>
      <c r="F56" s="376"/>
      <c r="G56" s="376"/>
      <c r="H56" s="376"/>
      <c r="I56" s="376"/>
      <c r="J56" s="376"/>
      <c r="K56" s="376"/>
      <c r="L56" s="376"/>
      <c r="M56" s="386"/>
      <c r="N56" s="264" t="s">
        <v>125</v>
      </c>
      <c r="O56" s="124" t="s">
        <v>195</v>
      </c>
      <c r="P56" s="393" t="s">
        <v>278</v>
      </c>
      <c r="Q56" s="394"/>
      <c r="R56" s="385" t="s">
        <v>270</v>
      </c>
      <c r="S56" s="385"/>
      <c r="T56" s="385"/>
      <c r="U56" s="385"/>
      <c r="V56" s="376" t="s">
        <v>130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65"/>
      <c r="D57" s="265"/>
      <c r="E57" s="265"/>
      <c r="F57" s="376"/>
      <c r="G57" s="376"/>
      <c r="H57" s="376"/>
      <c r="I57" s="376"/>
      <c r="J57" s="376"/>
      <c r="K57" s="376"/>
      <c r="L57" s="376"/>
      <c r="M57" s="386"/>
      <c r="N57" s="264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65"/>
      <c r="D58" s="265"/>
      <c r="E58" s="265"/>
      <c r="F58" s="376"/>
      <c r="G58" s="376"/>
      <c r="H58" s="376"/>
      <c r="I58" s="376"/>
      <c r="J58" s="376"/>
      <c r="K58" s="376"/>
      <c r="L58" s="376"/>
      <c r="M58" s="386"/>
      <c r="N58" s="264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65"/>
      <c r="D59" s="265"/>
      <c r="E59" s="265"/>
      <c r="F59" s="376"/>
      <c r="G59" s="376"/>
      <c r="H59" s="376"/>
      <c r="I59" s="376"/>
      <c r="J59" s="376"/>
      <c r="K59" s="376"/>
      <c r="L59" s="376"/>
      <c r="M59" s="386"/>
      <c r="N59" s="264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67"/>
      <c r="D60" s="267"/>
      <c r="E60" s="267"/>
      <c r="F60" s="389"/>
      <c r="G60" s="389"/>
      <c r="H60" s="389"/>
      <c r="I60" s="389"/>
      <c r="J60" s="389"/>
      <c r="K60" s="389"/>
      <c r="L60" s="389"/>
      <c r="M60" s="390"/>
      <c r="N60" s="266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382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63" t="s">
        <v>2</v>
      </c>
      <c r="D62" s="263" t="s">
        <v>37</v>
      </c>
      <c r="E62" s="263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63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125</v>
      </c>
      <c r="D63" s="259"/>
      <c r="E63" s="262" t="s">
        <v>123</v>
      </c>
      <c r="F63" s="374" t="s">
        <v>270</v>
      </c>
      <c r="G63" s="366"/>
      <c r="H63" s="366"/>
      <c r="I63" s="366"/>
      <c r="J63" s="366"/>
      <c r="K63" s="366">
        <v>7301</v>
      </c>
      <c r="L63" s="366"/>
      <c r="M63" s="54" t="s">
        <v>186</v>
      </c>
      <c r="N63" s="366">
        <v>4</v>
      </c>
      <c r="O63" s="366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383</v>
      </c>
      <c r="D64" s="259"/>
      <c r="E64" s="262"/>
      <c r="F64" s="374" t="s">
        <v>384</v>
      </c>
      <c r="G64" s="366"/>
      <c r="H64" s="366"/>
      <c r="I64" s="366"/>
      <c r="J64" s="366"/>
      <c r="K64" s="366">
        <v>7301</v>
      </c>
      <c r="L64" s="366"/>
      <c r="M64" s="54" t="s">
        <v>385</v>
      </c>
      <c r="N64" s="366">
        <v>11</v>
      </c>
      <c r="O64" s="366"/>
      <c r="P64" s="375">
        <v>200</v>
      </c>
      <c r="Q64" s="375"/>
      <c r="R64" s="376" t="s">
        <v>386</v>
      </c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 t="s">
        <v>125</v>
      </c>
      <c r="D65" s="259"/>
      <c r="E65" s="262" t="s">
        <v>208</v>
      </c>
      <c r="F65" s="374" t="s">
        <v>350</v>
      </c>
      <c r="G65" s="366"/>
      <c r="H65" s="366"/>
      <c r="I65" s="366"/>
      <c r="J65" s="366"/>
      <c r="K65" s="366" t="s">
        <v>205</v>
      </c>
      <c r="L65" s="366"/>
      <c r="M65" s="54" t="s">
        <v>186</v>
      </c>
      <c r="N65" s="366">
        <v>11</v>
      </c>
      <c r="O65" s="366"/>
      <c r="P65" s="375">
        <v>100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 t="s">
        <v>150</v>
      </c>
      <c r="D66" s="259"/>
      <c r="E66" s="262" t="s">
        <v>136</v>
      </c>
      <c r="F66" s="374" t="s">
        <v>337</v>
      </c>
      <c r="G66" s="366"/>
      <c r="H66" s="366"/>
      <c r="I66" s="366"/>
      <c r="J66" s="366"/>
      <c r="K66" s="366" t="s">
        <v>165</v>
      </c>
      <c r="L66" s="366"/>
      <c r="M66" s="54" t="s">
        <v>186</v>
      </c>
      <c r="N66" s="366">
        <v>6</v>
      </c>
      <c r="O66" s="366"/>
      <c r="P66" s="375">
        <v>200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259"/>
      <c r="E67" s="262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259"/>
      <c r="E68" s="262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259"/>
      <c r="E69" s="262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259"/>
      <c r="E70" s="262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387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261" t="s">
        <v>2</v>
      </c>
      <c r="D72" s="261" t="s">
        <v>37</v>
      </c>
      <c r="E72" s="261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260" t="s">
        <v>114</v>
      </c>
      <c r="D73" s="260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259" t="s">
        <v>114</v>
      </c>
      <c r="D74" s="259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259"/>
      <c r="D75" s="259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259"/>
      <c r="D76" s="259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259"/>
      <c r="D77" s="259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259"/>
      <c r="D78" s="259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259"/>
      <c r="D79" s="259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259"/>
      <c r="D80" s="259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259"/>
      <c r="D81" s="259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388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5B34-1BC9-450A-B481-8C09E2F8E96F}">
  <sheetPr>
    <pageSetUpPr fitToPage="1"/>
  </sheetPr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389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70" t="s">
        <v>17</v>
      </c>
      <c r="L5" s="270" t="s">
        <v>18</v>
      </c>
      <c r="M5" s="270" t="s">
        <v>19</v>
      </c>
      <c r="N5" s="27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0.44983264369134079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0.44983264369134079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255</v>
      </c>
      <c r="E8" s="57" t="s">
        <v>376</v>
      </c>
      <c r="F8" s="33" t="s">
        <v>205</v>
      </c>
      <c r="G8" s="36">
        <v>1</v>
      </c>
      <c r="H8" s="38">
        <v>25</v>
      </c>
      <c r="I8" s="7">
        <v>8000</v>
      </c>
      <c r="J8" s="5">
        <v>3877</v>
      </c>
      <c r="K8" s="15">
        <f>L8</f>
        <v>3877</v>
      </c>
      <c r="L8" s="15">
        <f>2605+1272</f>
        <v>3877</v>
      </c>
      <c r="M8" s="16">
        <f t="shared" si="0"/>
        <v>3877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/>
      <c r="T8" s="17">
        <v>3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0.875</v>
      </c>
      <c r="AD8" s="10">
        <f t="shared" si="6"/>
        <v>0.875</v>
      </c>
      <c r="AE8" s="39">
        <f t="shared" si="7"/>
        <v>0.44983264369134079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377</v>
      </c>
      <c r="F9" s="12" t="s">
        <v>147</v>
      </c>
      <c r="G9" s="12">
        <v>1</v>
      </c>
      <c r="H9" s="13">
        <v>25</v>
      </c>
      <c r="I9" s="7">
        <v>8000</v>
      </c>
      <c r="J9" s="14">
        <v>4221</v>
      </c>
      <c r="K9" s="15">
        <f>L9</f>
        <v>4221</v>
      </c>
      <c r="L9" s="15">
        <f>1118+3103</f>
        <v>4221</v>
      </c>
      <c r="M9" s="16">
        <f t="shared" si="0"/>
        <v>4221</v>
      </c>
      <c r="N9" s="16">
        <v>0</v>
      </c>
      <c r="O9" s="62">
        <f t="shared" si="1"/>
        <v>0</v>
      </c>
      <c r="P9" s="42">
        <f t="shared" si="2"/>
        <v>22</v>
      </c>
      <c r="Q9" s="43">
        <f t="shared" si="3"/>
        <v>2</v>
      </c>
      <c r="R9" s="7"/>
      <c r="S9" s="6"/>
      <c r="T9" s="17">
        <v>2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0.91666666666666663</v>
      </c>
      <c r="AD9" s="10">
        <f t="shared" si="6"/>
        <v>0.91666666666666663</v>
      </c>
      <c r="AE9" s="39">
        <f t="shared" si="7"/>
        <v>0.44983264369134079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378</v>
      </c>
      <c r="F10" s="12" t="s">
        <v>189</v>
      </c>
      <c r="G10" s="12">
        <v>1</v>
      </c>
      <c r="H10" s="13">
        <v>25</v>
      </c>
      <c r="I10" s="7">
        <v>65000</v>
      </c>
      <c r="J10" s="14">
        <v>18476</v>
      </c>
      <c r="K10" s="15">
        <f>L10</f>
        <v>18476</v>
      </c>
      <c r="L10" s="15">
        <f>3888*2+5350*2</f>
        <v>18476</v>
      </c>
      <c r="M10" s="16">
        <f t="shared" si="0"/>
        <v>18476</v>
      </c>
      <c r="N10" s="16">
        <v>0</v>
      </c>
      <c r="O10" s="62">
        <f t="shared" si="1"/>
        <v>0</v>
      </c>
      <c r="P10" s="42">
        <f t="shared" si="2"/>
        <v>22</v>
      </c>
      <c r="Q10" s="43">
        <f t="shared" si="3"/>
        <v>2</v>
      </c>
      <c r="R10" s="7"/>
      <c r="S10" s="6"/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0.91666666666666663</v>
      </c>
      <c r="AD10" s="10">
        <f t="shared" si="6"/>
        <v>0.91666666666666663</v>
      </c>
      <c r="AE10" s="39">
        <f t="shared" si="7"/>
        <v>0.44983264369134079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264</v>
      </c>
      <c r="F11" s="12" t="s">
        <v>172</v>
      </c>
      <c r="G11" s="12">
        <v>1</v>
      </c>
      <c r="H11" s="13">
        <v>25</v>
      </c>
      <c r="I11" s="34">
        <v>3000</v>
      </c>
      <c r="J11" s="5">
        <v>1994</v>
      </c>
      <c r="K11" s="15">
        <f>L11+2739+1994</f>
        <v>4733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0.44983264369134079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114</v>
      </c>
      <c r="D12" s="55" t="s">
        <v>123</v>
      </c>
      <c r="E12" s="57" t="s">
        <v>325</v>
      </c>
      <c r="F12" s="12" t="s">
        <v>129</v>
      </c>
      <c r="G12" s="12">
        <v>1</v>
      </c>
      <c r="H12" s="13">
        <v>25</v>
      </c>
      <c r="I12" s="7">
        <v>20000</v>
      </c>
      <c r="J12" s="14">
        <v>3260</v>
      </c>
      <c r="K12" s="15">
        <f>L12+1176+2351+2647+5277+6037</f>
        <v>20748</v>
      </c>
      <c r="L12" s="15">
        <f>2260+1000</f>
        <v>3260</v>
      </c>
      <c r="M12" s="16">
        <f t="shared" si="0"/>
        <v>3260</v>
      </c>
      <c r="N12" s="16">
        <v>0</v>
      </c>
      <c r="O12" s="62">
        <f t="shared" si="1"/>
        <v>0</v>
      </c>
      <c r="P12" s="42">
        <f t="shared" si="2"/>
        <v>19</v>
      </c>
      <c r="Q12" s="43">
        <f t="shared" si="3"/>
        <v>5</v>
      </c>
      <c r="R12" s="7"/>
      <c r="S12" s="6"/>
      <c r="T12" s="17"/>
      <c r="U12" s="17"/>
      <c r="V12" s="18"/>
      <c r="W12" s="19">
        <v>5</v>
      </c>
      <c r="X12" s="17"/>
      <c r="Y12" s="20"/>
      <c r="Z12" s="20"/>
      <c r="AA12" s="21"/>
      <c r="AB12" s="8">
        <f t="shared" si="4"/>
        <v>1</v>
      </c>
      <c r="AC12" s="9">
        <f t="shared" si="5"/>
        <v>0.79166666666666663</v>
      </c>
      <c r="AD12" s="10">
        <f t="shared" si="6"/>
        <v>0.79166666666666663</v>
      </c>
      <c r="AE12" s="39">
        <f t="shared" si="7"/>
        <v>0.44983264369134079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4930</v>
      </c>
      <c r="K13" s="15">
        <f>L13+544+4129+5286+4993+5552+4940+4370+5340+5259+3405+4689+3783</f>
        <v>57219</v>
      </c>
      <c r="L13" s="15">
        <f>2786+2143</f>
        <v>4929</v>
      </c>
      <c r="M13" s="16">
        <f t="shared" si="0"/>
        <v>4929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0.9997971602434077</v>
      </c>
      <c r="AC13" s="9">
        <f t="shared" si="5"/>
        <v>1</v>
      </c>
      <c r="AD13" s="10">
        <f t="shared" si="6"/>
        <v>0.9997971602434077</v>
      </c>
      <c r="AE13" s="39">
        <f t="shared" si="7"/>
        <v>0.44983264369134079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0.44983264369134079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0.44983264369134079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278</v>
      </c>
      <c r="E16" s="57" t="s">
        <v>379</v>
      </c>
      <c r="F16" s="33" t="s">
        <v>131</v>
      </c>
      <c r="G16" s="36">
        <v>1</v>
      </c>
      <c r="H16" s="38">
        <v>25</v>
      </c>
      <c r="I16" s="7">
        <v>13000</v>
      </c>
      <c r="J16" s="5">
        <v>3800</v>
      </c>
      <c r="K16" s="15">
        <f>L16</f>
        <v>3793</v>
      </c>
      <c r="L16" s="15">
        <f>1063+2730</f>
        <v>3793</v>
      </c>
      <c r="M16" s="16">
        <f t="shared" si="0"/>
        <v>3793</v>
      </c>
      <c r="N16" s="16">
        <v>0</v>
      </c>
      <c r="O16" s="62">
        <f t="shared" si="1"/>
        <v>0</v>
      </c>
      <c r="P16" s="42">
        <f t="shared" si="2"/>
        <v>18</v>
      </c>
      <c r="Q16" s="43">
        <f t="shared" si="3"/>
        <v>6</v>
      </c>
      <c r="R16" s="7"/>
      <c r="S16" s="6"/>
      <c r="T16" s="17">
        <v>6</v>
      </c>
      <c r="U16" s="17"/>
      <c r="V16" s="18"/>
      <c r="W16" s="19"/>
      <c r="X16" s="17"/>
      <c r="Y16" s="20"/>
      <c r="Z16" s="20"/>
      <c r="AA16" s="21"/>
      <c r="AB16" s="8">
        <f t="shared" si="4"/>
        <v>0.99815789473684213</v>
      </c>
      <c r="AC16" s="9">
        <f t="shared" si="5"/>
        <v>0.75</v>
      </c>
      <c r="AD16" s="10">
        <f t="shared" si="6"/>
        <v>0.74861842105263166</v>
      </c>
      <c r="AE16" s="39">
        <f t="shared" si="7"/>
        <v>0.44983264369134079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381</v>
      </c>
      <c r="E17" s="57" t="s">
        <v>380</v>
      </c>
      <c r="F17" s="12">
        <v>8301</v>
      </c>
      <c r="G17" s="12">
        <v>1</v>
      </c>
      <c r="H17" s="13">
        <v>24</v>
      </c>
      <c r="I17" s="34">
        <v>5000</v>
      </c>
      <c r="J17" s="14">
        <v>3012</v>
      </c>
      <c r="K17" s="15">
        <f>L17</f>
        <v>3012</v>
      </c>
      <c r="L17" s="15">
        <f>3012</f>
        <v>3012</v>
      </c>
      <c r="M17" s="16">
        <f t="shared" si="0"/>
        <v>3012</v>
      </c>
      <c r="N17" s="16">
        <v>0</v>
      </c>
      <c r="O17" s="62">
        <f t="shared" si="1"/>
        <v>0</v>
      </c>
      <c r="P17" s="42">
        <f t="shared" si="2"/>
        <v>17</v>
      </c>
      <c r="Q17" s="43">
        <f t="shared" si="3"/>
        <v>7</v>
      </c>
      <c r="R17" s="7"/>
      <c r="S17" s="6"/>
      <c r="T17" s="17">
        <v>7</v>
      </c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0.70833333333333337</v>
      </c>
      <c r="AD17" s="10">
        <f t="shared" si="6"/>
        <v>0.70833333333333337</v>
      </c>
      <c r="AE17" s="39">
        <f t="shared" si="7"/>
        <v>0.44983264369134079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4430</v>
      </c>
      <c r="K18" s="15">
        <f>L18+776+3105+4430</f>
        <v>8311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0.44983264369134079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150</v>
      </c>
      <c r="D19" s="55" t="s">
        <v>123</v>
      </c>
      <c r="E19" s="57" t="s">
        <v>167</v>
      </c>
      <c r="F19" s="12" t="s">
        <v>151</v>
      </c>
      <c r="G19" s="36">
        <v>1</v>
      </c>
      <c r="H19" s="38">
        <v>30</v>
      </c>
      <c r="I19" s="7">
        <v>10000</v>
      </c>
      <c r="J19" s="5">
        <v>1800</v>
      </c>
      <c r="K19" s="15">
        <f>L19+10016</f>
        <v>11808</v>
      </c>
      <c r="L19" s="15">
        <f>896*2</f>
        <v>1792</v>
      </c>
      <c r="M19" s="16">
        <f t="shared" ref="M19" si="9">L19-N19</f>
        <v>1792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5</v>
      </c>
      <c r="Q19" s="43">
        <f t="shared" ref="Q19" si="12">SUM(R19:AA19)</f>
        <v>19</v>
      </c>
      <c r="R19" s="7"/>
      <c r="S19" s="6"/>
      <c r="T19" s="17"/>
      <c r="U19" s="17"/>
      <c r="V19" s="18"/>
      <c r="W19" s="19">
        <v>19</v>
      </c>
      <c r="X19" s="17"/>
      <c r="Y19" s="20"/>
      <c r="Z19" s="20"/>
      <c r="AA19" s="21"/>
      <c r="AB19" s="8">
        <f t="shared" ref="AB19" si="13">IF(J19=0,"0",(L19/J19))</f>
        <v>0.99555555555555553</v>
      </c>
      <c r="AC19" s="9">
        <f t="shared" ref="AC19" si="14">IF(P19=0,"0",(P19/24))</f>
        <v>0.20833333333333334</v>
      </c>
      <c r="AD19" s="10">
        <f t="shared" ref="AD19" si="15">AC19*AB19*(1-O19)</f>
        <v>0.2074074074074074</v>
      </c>
      <c r="AE19" s="39">
        <f t="shared" si="7"/>
        <v>0.44983264369134079</v>
      </c>
      <c r="AF19" s="93">
        <f t="shared" ref="AF19" si="16">A19</f>
        <v>14</v>
      </c>
    </row>
    <row r="20" spans="1:32" ht="27" customHeight="1">
      <c r="A20" s="109">
        <v>14</v>
      </c>
      <c r="B20" s="11" t="s">
        <v>57</v>
      </c>
      <c r="C20" s="37" t="s">
        <v>114</v>
      </c>
      <c r="D20" s="55" t="s">
        <v>390</v>
      </c>
      <c r="E20" s="57" t="s">
        <v>391</v>
      </c>
      <c r="F20" s="12" t="s">
        <v>205</v>
      </c>
      <c r="G20" s="36">
        <v>2</v>
      </c>
      <c r="H20" s="38">
        <v>30</v>
      </c>
      <c r="I20" s="7">
        <v>10000</v>
      </c>
      <c r="J20" s="5">
        <v>5258</v>
      </c>
      <c r="K20" s="15">
        <f>L20</f>
        <v>5258</v>
      </c>
      <c r="L20" s="15">
        <f>2629*2</f>
        <v>5258</v>
      </c>
      <c r="M20" s="16">
        <f t="shared" si="0"/>
        <v>5258</v>
      </c>
      <c r="N20" s="16">
        <v>0</v>
      </c>
      <c r="O20" s="62">
        <f t="shared" si="1"/>
        <v>0</v>
      </c>
      <c r="P20" s="42">
        <f t="shared" si="2"/>
        <v>14</v>
      </c>
      <c r="Q20" s="43">
        <f t="shared" si="3"/>
        <v>10</v>
      </c>
      <c r="R20" s="7"/>
      <c r="S20" s="6"/>
      <c r="T20" s="17">
        <v>10</v>
      </c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0.58333333333333337</v>
      </c>
      <c r="AD20" s="10">
        <f t="shared" si="6"/>
        <v>0.58333333333333337</v>
      </c>
      <c r="AE20" s="39">
        <f t="shared" si="7"/>
        <v>0.44983264369134079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236</v>
      </c>
      <c r="F21" s="12" t="s">
        <v>122</v>
      </c>
      <c r="G21" s="12">
        <v>4</v>
      </c>
      <c r="H21" s="38">
        <v>20</v>
      </c>
      <c r="I21" s="7">
        <v>300000</v>
      </c>
      <c r="J21" s="14">
        <v>4524</v>
      </c>
      <c r="K21" s="15">
        <f>L21+20068+24564+48544+43996+30716+19196+21560+23324+19612+4524</f>
        <v>256104</v>
      </c>
      <c r="L21" s="15"/>
      <c r="M21" s="16">
        <f t="shared" si="0"/>
        <v>0</v>
      </c>
      <c r="N21" s="16">
        <v>0</v>
      </c>
      <c r="O21" s="62" t="str">
        <f t="shared" si="1"/>
        <v>0</v>
      </c>
      <c r="P21" s="42" t="str">
        <f t="shared" si="2"/>
        <v>0</v>
      </c>
      <c r="Q21" s="43">
        <f t="shared" si="3"/>
        <v>20</v>
      </c>
      <c r="R21" s="7"/>
      <c r="S21" s="6"/>
      <c r="T21" s="17"/>
      <c r="U21" s="17"/>
      <c r="V21" s="18"/>
      <c r="W21" s="19">
        <v>20</v>
      </c>
      <c r="X21" s="17"/>
      <c r="Y21" s="20"/>
      <c r="Z21" s="20"/>
      <c r="AA21" s="21"/>
      <c r="AB21" s="8">
        <f t="shared" si="4"/>
        <v>0</v>
      </c>
      <c r="AC21" s="9">
        <f t="shared" si="5"/>
        <v>0</v>
      </c>
      <c r="AD21" s="10">
        <f t="shared" si="6"/>
        <v>0</v>
      </c>
      <c r="AE21" s="39">
        <f t="shared" si="7"/>
        <v>0.44983264369134079</v>
      </c>
      <c r="AF21" s="93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680250</v>
      </c>
      <c r="J22" s="22">
        <f t="shared" si="17"/>
        <v>98595</v>
      </c>
      <c r="K22" s="23">
        <f t="shared" si="17"/>
        <v>586211</v>
      </c>
      <c r="L22" s="24">
        <f t="shared" si="17"/>
        <v>48618</v>
      </c>
      <c r="M22" s="23">
        <f t="shared" si="17"/>
        <v>48618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162</v>
      </c>
      <c r="Q22" s="46">
        <f t="shared" si="18"/>
        <v>218</v>
      </c>
      <c r="R22" s="26">
        <f t="shared" si="18"/>
        <v>48</v>
      </c>
      <c r="S22" s="27">
        <f t="shared" si="18"/>
        <v>0</v>
      </c>
      <c r="T22" s="27">
        <f t="shared" si="18"/>
        <v>30</v>
      </c>
      <c r="U22" s="27">
        <f t="shared" si="18"/>
        <v>0</v>
      </c>
      <c r="V22" s="28">
        <f t="shared" si="18"/>
        <v>0</v>
      </c>
      <c r="W22" s="29">
        <f t="shared" si="18"/>
        <v>140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0.59956737403572036</v>
      </c>
      <c r="AC22" s="4">
        <f>SUM(AC6:AC21)/15</f>
        <v>0.44999999999999996</v>
      </c>
      <c r="AD22" s="4">
        <f>SUM(AD6:AD21)/15</f>
        <v>0.44983264369134079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392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396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71" t="s">
        <v>46</v>
      </c>
      <c r="D51" s="271" t="s">
        <v>47</v>
      </c>
      <c r="E51" s="271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271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125</v>
      </c>
      <c r="B52" s="385"/>
      <c r="C52" s="273" t="s">
        <v>140</v>
      </c>
      <c r="D52" s="273" t="s">
        <v>255</v>
      </c>
      <c r="E52" s="273" t="s">
        <v>376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272" t="s">
        <v>125</v>
      </c>
      <c r="O52" s="124" t="s">
        <v>174</v>
      </c>
      <c r="P52" s="385" t="s">
        <v>132</v>
      </c>
      <c r="Q52" s="385"/>
      <c r="R52" s="385" t="s">
        <v>286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125</v>
      </c>
      <c r="B53" s="385"/>
      <c r="C53" s="273" t="s">
        <v>141</v>
      </c>
      <c r="D53" s="273" t="s">
        <v>136</v>
      </c>
      <c r="E53" s="273" t="s">
        <v>377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272" t="s">
        <v>125</v>
      </c>
      <c r="O53" s="124" t="s">
        <v>144</v>
      </c>
      <c r="P53" s="393" t="s">
        <v>138</v>
      </c>
      <c r="Q53" s="394"/>
      <c r="R53" s="385" t="s">
        <v>397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152</v>
      </c>
      <c r="B54" s="385"/>
      <c r="C54" s="273" t="s">
        <v>142</v>
      </c>
      <c r="D54" s="273" t="s">
        <v>393</v>
      </c>
      <c r="E54" s="273" t="s">
        <v>378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272" t="s">
        <v>125</v>
      </c>
      <c r="O54" s="124" t="s">
        <v>195</v>
      </c>
      <c r="P54" s="393" t="s">
        <v>278</v>
      </c>
      <c r="Q54" s="394"/>
      <c r="R54" s="385" t="s">
        <v>270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114</v>
      </c>
      <c r="B55" s="385"/>
      <c r="C55" s="273" t="s">
        <v>191</v>
      </c>
      <c r="D55" s="273" t="s">
        <v>278</v>
      </c>
      <c r="E55" s="273" t="s">
        <v>379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272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273" t="s">
        <v>181</v>
      </c>
      <c r="D56" s="273" t="s">
        <v>381</v>
      </c>
      <c r="E56" s="273" t="s">
        <v>380</v>
      </c>
      <c r="F56" s="376" t="s">
        <v>394</v>
      </c>
      <c r="G56" s="376"/>
      <c r="H56" s="376"/>
      <c r="I56" s="376"/>
      <c r="J56" s="376"/>
      <c r="K56" s="376"/>
      <c r="L56" s="376"/>
      <c r="M56" s="386"/>
      <c r="N56" s="272"/>
      <c r="O56" s="12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273" t="s">
        <v>145</v>
      </c>
      <c r="D57" s="273" t="s">
        <v>390</v>
      </c>
      <c r="E57" s="273" t="s">
        <v>391</v>
      </c>
      <c r="F57" s="376" t="s">
        <v>395</v>
      </c>
      <c r="G57" s="376"/>
      <c r="H57" s="376"/>
      <c r="I57" s="376"/>
      <c r="J57" s="376"/>
      <c r="K57" s="376"/>
      <c r="L57" s="376"/>
      <c r="M57" s="386"/>
      <c r="N57" s="272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73"/>
      <c r="D58" s="273"/>
      <c r="E58" s="273"/>
      <c r="F58" s="376"/>
      <c r="G58" s="376"/>
      <c r="H58" s="376"/>
      <c r="I58" s="376"/>
      <c r="J58" s="376"/>
      <c r="K58" s="376"/>
      <c r="L58" s="376"/>
      <c r="M58" s="386"/>
      <c r="N58" s="272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73"/>
      <c r="D59" s="273"/>
      <c r="E59" s="273"/>
      <c r="F59" s="376"/>
      <c r="G59" s="376"/>
      <c r="H59" s="376"/>
      <c r="I59" s="376"/>
      <c r="J59" s="376"/>
      <c r="K59" s="376"/>
      <c r="L59" s="376"/>
      <c r="M59" s="386"/>
      <c r="N59" s="272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273"/>
      <c r="D60" s="273"/>
      <c r="E60" s="273"/>
      <c r="F60" s="376"/>
      <c r="G60" s="376"/>
      <c r="H60" s="376"/>
      <c r="I60" s="376"/>
      <c r="J60" s="376"/>
      <c r="K60" s="376"/>
      <c r="L60" s="376"/>
      <c r="M60" s="386"/>
      <c r="N60" s="272"/>
      <c r="O60" s="12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3">
        <f>8*3000</f>
        <v>24000</v>
      </c>
    </row>
    <row r="61" spans="1:32" ht="27" customHeight="1" thickBot="1">
      <c r="A61" s="387"/>
      <c r="B61" s="388"/>
      <c r="C61" s="275"/>
      <c r="D61" s="275"/>
      <c r="E61" s="275"/>
      <c r="F61" s="389"/>
      <c r="G61" s="389"/>
      <c r="H61" s="389"/>
      <c r="I61" s="389"/>
      <c r="J61" s="389"/>
      <c r="K61" s="389"/>
      <c r="L61" s="389"/>
      <c r="M61" s="390"/>
      <c r="N61" s="274"/>
      <c r="O61" s="120"/>
      <c r="P61" s="388"/>
      <c r="Q61" s="388"/>
      <c r="R61" s="388"/>
      <c r="S61" s="388"/>
      <c r="T61" s="388"/>
      <c r="U61" s="388"/>
      <c r="V61" s="391"/>
      <c r="W61" s="391"/>
      <c r="X61" s="391"/>
      <c r="Y61" s="391"/>
      <c r="Z61" s="391"/>
      <c r="AA61" s="391"/>
      <c r="AB61" s="391"/>
      <c r="AC61" s="391"/>
      <c r="AD61" s="392"/>
      <c r="AF61" s="93">
        <f>16*3000</f>
        <v>48000</v>
      </c>
    </row>
    <row r="62" spans="1:32" ht="27.75" thickBot="1">
      <c r="A62" s="382" t="s">
        <v>398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83" t="s">
        <v>113</v>
      </c>
      <c r="B63" s="380"/>
      <c r="C63" s="276" t="s">
        <v>2</v>
      </c>
      <c r="D63" s="276" t="s">
        <v>37</v>
      </c>
      <c r="E63" s="276" t="s">
        <v>3</v>
      </c>
      <c r="F63" s="380" t="s">
        <v>110</v>
      </c>
      <c r="G63" s="380"/>
      <c r="H63" s="380"/>
      <c r="I63" s="380"/>
      <c r="J63" s="380"/>
      <c r="K63" s="380" t="s">
        <v>39</v>
      </c>
      <c r="L63" s="380"/>
      <c r="M63" s="276" t="s">
        <v>40</v>
      </c>
      <c r="N63" s="380" t="s">
        <v>41</v>
      </c>
      <c r="O63" s="380"/>
      <c r="P63" s="377" t="s">
        <v>42</v>
      </c>
      <c r="Q63" s="379"/>
      <c r="R63" s="377" t="s">
        <v>43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44</v>
      </c>
      <c r="AC63" s="380"/>
      <c r="AD63" s="381"/>
      <c r="AF63" s="93">
        <f>SUM(AF60:AF62)</f>
        <v>96000</v>
      </c>
    </row>
    <row r="64" spans="1:32" ht="25.5" customHeight="1">
      <c r="A64" s="372">
        <v>1</v>
      </c>
      <c r="B64" s="373"/>
      <c r="C64" s="123" t="s">
        <v>383</v>
      </c>
      <c r="D64" s="279"/>
      <c r="E64" s="277"/>
      <c r="F64" s="374" t="s">
        <v>384</v>
      </c>
      <c r="G64" s="366"/>
      <c r="H64" s="366"/>
      <c r="I64" s="366"/>
      <c r="J64" s="366"/>
      <c r="K64" s="366">
        <v>7301</v>
      </c>
      <c r="L64" s="366"/>
      <c r="M64" s="54" t="s">
        <v>385</v>
      </c>
      <c r="N64" s="366">
        <v>11</v>
      </c>
      <c r="O64" s="366"/>
      <c r="P64" s="375">
        <v>400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2</v>
      </c>
      <c r="B65" s="373"/>
      <c r="C65" s="123"/>
      <c r="D65" s="279"/>
      <c r="E65" s="277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3</v>
      </c>
      <c r="B66" s="373"/>
      <c r="C66" s="123"/>
      <c r="D66" s="279"/>
      <c r="E66" s="277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4</v>
      </c>
      <c r="B67" s="373"/>
      <c r="C67" s="123"/>
      <c r="D67" s="279"/>
      <c r="E67" s="277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5</v>
      </c>
      <c r="B68" s="373"/>
      <c r="C68" s="123"/>
      <c r="D68" s="279"/>
      <c r="E68" s="277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6</v>
      </c>
      <c r="B69" s="373"/>
      <c r="C69" s="123"/>
      <c r="D69" s="279"/>
      <c r="E69" s="277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7</v>
      </c>
      <c r="B70" s="373"/>
      <c r="C70" s="123"/>
      <c r="D70" s="279"/>
      <c r="E70" s="277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8</v>
      </c>
      <c r="B71" s="373"/>
      <c r="C71" s="123"/>
      <c r="D71" s="279"/>
      <c r="E71" s="277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6.25" customHeight="1" thickBot="1">
      <c r="A72" s="346" t="s">
        <v>399</v>
      </c>
      <c r="B72" s="346"/>
      <c r="C72" s="346"/>
      <c r="D72" s="346"/>
      <c r="E72" s="346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47" t="s">
        <v>113</v>
      </c>
      <c r="B73" s="348"/>
      <c r="C73" s="278" t="s">
        <v>2</v>
      </c>
      <c r="D73" s="278" t="s">
        <v>37</v>
      </c>
      <c r="E73" s="278" t="s">
        <v>3</v>
      </c>
      <c r="F73" s="348" t="s">
        <v>38</v>
      </c>
      <c r="G73" s="348"/>
      <c r="H73" s="348"/>
      <c r="I73" s="348"/>
      <c r="J73" s="348"/>
      <c r="K73" s="368" t="s">
        <v>58</v>
      </c>
      <c r="L73" s="369"/>
      <c r="M73" s="369"/>
      <c r="N73" s="369"/>
      <c r="O73" s="369"/>
      <c r="P73" s="369"/>
      <c r="Q73" s="369"/>
      <c r="R73" s="369"/>
      <c r="S73" s="370"/>
      <c r="T73" s="348" t="s">
        <v>49</v>
      </c>
      <c r="U73" s="348"/>
      <c r="V73" s="368" t="s">
        <v>50</v>
      </c>
      <c r="W73" s="370"/>
      <c r="X73" s="369" t="s">
        <v>51</v>
      </c>
      <c r="Y73" s="369"/>
      <c r="Z73" s="369"/>
      <c r="AA73" s="369"/>
      <c r="AB73" s="369"/>
      <c r="AC73" s="369"/>
      <c r="AD73" s="371"/>
      <c r="AF73" s="53"/>
    </row>
    <row r="74" spans="1:32" ht="33.75" customHeight="1">
      <c r="A74" s="340">
        <v>1</v>
      </c>
      <c r="B74" s="341"/>
      <c r="C74" s="280" t="s">
        <v>114</v>
      </c>
      <c r="D74" s="280"/>
      <c r="E74" s="71" t="s">
        <v>119</v>
      </c>
      <c r="F74" s="355" t="s">
        <v>120</v>
      </c>
      <c r="G74" s="356"/>
      <c r="H74" s="356"/>
      <c r="I74" s="356"/>
      <c r="J74" s="357"/>
      <c r="K74" s="358" t="s">
        <v>115</v>
      </c>
      <c r="L74" s="359"/>
      <c r="M74" s="359"/>
      <c r="N74" s="359"/>
      <c r="O74" s="359"/>
      <c r="P74" s="359"/>
      <c r="Q74" s="359"/>
      <c r="R74" s="359"/>
      <c r="S74" s="360"/>
      <c r="T74" s="361">
        <v>42901</v>
      </c>
      <c r="U74" s="362"/>
      <c r="V74" s="363"/>
      <c r="W74" s="363"/>
      <c r="X74" s="364"/>
      <c r="Y74" s="364"/>
      <c r="Z74" s="364"/>
      <c r="AA74" s="364"/>
      <c r="AB74" s="364"/>
      <c r="AC74" s="364"/>
      <c r="AD74" s="365"/>
      <c r="AF74" s="53"/>
    </row>
    <row r="75" spans="1:32" ht="30" customHeight="1">
      <c r="A75" s="333">
        <f>A74+1</f>
        <v>2</v>
      </c>
      <c r="B75" s="334"/>
      <c r="C75" s="279" t="s">
        <v>114</v>
      </c>
      <c r="D75" s="279"/>
      <c r="E75" s="35" t="s">
        <v>116</v>
      </c>
      <c r="F75" s="334" t="s">
        <v>117</v>
      </c>
      <c r="G75" s="334"/>
      <c r="H75" s="334"/>
      <c r="I75" s="334"/>
      <c r="J75" s="334"/>
      <c r="K75" s="349" t="s">
        <v>118</v>
      </c>
      <c r="L75" s="350"/>
      <c r="M75" s="350"/>
      <c r="N75" s="350"/>
      <c r="O75" s="350"/>
      <c r="P75" s="350"/>
      <c r="Q75" s="350"/>
      <c r="R75" s="350"/>
      <c r="S75" s="351"/>
      <c r="T75" s="352">
        <v>42867</v>
      </c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ref="A76:A82" si="19">A75+1</f>
        <v>3</v>
      </c>
      <c r="B76" s="334"/>
      <c r="C76" s="279"/>
      <c r="D76" s="279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4</v>
      </c>
      <c r="B77" s="334"/>
      <c r="C77" s="279"/>
      <c r="D77" s="279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5</v>
      </c>
      <c r="B78" s="334"/>
      <c r="C78" s="279"/>
      <c r="D78" s="279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6</v>
      </c>
      <c r="B79" s="334"/>
      <c r="C79" s="279"/>
      <c r="D79" s="279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7</v>
      </c>
      <c r="B80" s="334"/>
      <c r="C80" s="279"/>
      <c r="D80" s="279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8</v>
      </c>
      <c r="B81" s="334"/>
      <c r="C81" s="279"/>
      <c r="D81" s="279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9</v>
      </c>
      <c r="B82" s="334"/>
      <c r="C82" s="279"/>
      <c r="D82" s="279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6" thickBot="1">
      <c r="A83" s="346" t="s">
        <v>400</v>
      </c>
      <c r="B83" s="346"/>
      <c r="C83" s="346"/>
      <c r="D83" s="346"/>
      <c r="E83" s="346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7" t="s">
        <v>113</v>
      </c>
      <c r="B84" s="348"/>
      <c r="C84" s="338" t="s">
        <v>52</v>
      </c>
      <c r="D84" s="338"/>
      <c r="E84" s="338" t="s">
        <v>53</v>
      </c>
      <c r="F84" s="338"/>
      <c r="G84" s="338"/>
      <c r="H84" s="338"/>
      <c r="I84" s="338"/>
      <c r="J84" s="338"/>
      <c r="K84" s="338" t="s">
        <v>54</v>
      </c>
      <c r="L84" s="338"/>
      <c r="M84" s="338"/>
      <c r="N84" s="338"/>
      <c r="O84" s="338"/>
      <c r="P84" s="338"/>
      <c r="Q84" s="338"/>
      <c r="R84" s="338"/>
      <c r="S84" s="338"/>
      <c r="T84" s="338" t="s">
        <v>55</v>
      </c>
      <c r="U84" s="338"/>
      <c r="V84" s="338" t="s">
        <v>56</v>
      </c>
      <c r="W84" s="338"/>
      <c r="X84" s="338"/>
      <c r="Y84" s="338" t="s">
        <v>51</v>
      </c>
      <c r="Z84" s="338"/>
      <c r="AA84" s="338"/>
      <c r="AB84" s="338"/>
      <c r="AC84" s="338"/>
      <c r="AD84" s="339"/>
      <c r="AF84" s="53"/>
    </row>
    <row r="85" spans="1:32" ht="30.75" customHeight="1">
      <c r="A85" s="340">
        <v>1</v>
      </c>
      <c r="B85" s="341"/>
      <c r="C85" s="342">
        <v>9</v>
      </c>
      <c r="D85" s="342"/>
      <c r="E85" s="342" t="s">
        <v>157</v>
      </c>
      <c r="F85" s="342"/>
      <c r="G85" s="342"/>
      <c r="H85" s="342"/>
      <c r="I85" s="342"/>
      <c r="J85" s="342"/>
      <c r="K85" s="342" t="s">
        <v>158</v>
      </c>
      <c r="L85" s="342"/>
      <c r="M85" s="342"/>
      <c r="N85" s="342"/>
      <c r="O85" s="342"/>
      <c r="P85" s="342"/>
      <c r="Q85" s="342"/>
      <c r="R85" s="342"/>
      <c r="S85" s="342"/>
      <c r="T85" s="342" t="s">
        <v>159</v>
      </c>
      <c r="U85" s="342"/>
      <c r="V85" s="343">
        <v>11307000</v>
      </c>
      <c r="W85" s="343"/>
      <c r="X85" s="343"/>
      <c r="Y85" s="344"/>
      <c r="Z85" s="344"/>
      <c r="AA85" s="344"/>
      <c r="AB85" s="344"/>
      <c r="AC85" s="344"/>
      <c r="AD85" s="345"/>
      <c r="AF85" s="53"/>
    </row>
    <row r="86" spans="1:32" ht="30.75" customHeight="1">
      <c r="A86" s="333">
        <v>2</v>
      </c>
      <c r="B86" s="334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6"/>
      <c r="U86" s="336"/>
      <c r="V86" s="337"/>
      <c r="W86" s="337"/>
      <c r="X86" s="337"/>
      <c r="Y86" s="326"/>
      <c r="Z86" s="326"/>
      <c r="AA86" s="326"/>
      <c r="AB86" s="326"/>
      <c r="AC86" s="326"/>
      <c r="AD86" s="327"/>
      <c r="AF86" s="53"/>
    </row>
    <row r="87" spans="1:32" ht="30.75" customHeight="1" thickBot="1">
      <c r="A87" s="328">
        <v>3</v>
      </c>
      <c r="B87" s="329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1"/>
      <c r="Z87" s="331"/>
      <c r="AA87" s="331"/>
      <c r="AB87" s="331"/>
      <c r="AC87" s="331"/>
      <c r="AD87" s="332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8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C6C7-D2B5-4012-A00D-C84B74F251A1}">
  <sheetPr>
    <pageSetUpPr fitToPage="1"/>
  </sheetPr>
  <dimension ref="A1:AF86"/>
  <sheetViews>
    <sheetView zoomScale="72" zoomScaleNormal="72" zoomScaleSheetLayoutView="70" workbookViewId="0">
      <selection activeCell="F15" sqref="F1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408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91" t="s">
        <v>17</v>
      </c>
      <c r="L5" s="291" t="s">
        <v>18</v>
      </c>
      <c r="M5" s="291" t="s">
        <v>19</v>
      </c>
      <c r="N5" s="29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0.57499999999999996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0.57499999999999996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255</v>
      </c>
      <c r="E8" s="57" t="s">
        <v>376</v>
      </c>
      <c r="F8" s="33" t="s">
        <v>205</v>
      </c>
      <c r="G8" s="36">
        <v>1</v>
      </c>
      <c r="H8" s="38">
        <v>25</v>
      </c>
      <c r="I8" s="7">
        <v>8000</v>
      </c>
      <c r="J8" s="5">
        <v>5128</v>
      </c>
      <c r="K8" s="15">
        <f>L8+3877</f>
        <v>9005</v>
      </c>
      <c r="L8" s="15">
        <f>2439+2689</f>
        <v>5128</v>
      </c>
      <c r="M8" s="16">
        <f t="shared" si="0"/>
        <v>5128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0.57499999999999996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377</v>
      </c>
      <c r="F9" s="12" t="s">
        <v>147</v>
      </c>
      <c r="G9" s="12">
        <v>1</v>
      </c>
      <c r="H9" s="13">
        <v>25</v>
      </c>
      <c r="I9" s="7">
        <v>8000</v>
      </c>
      <c r="J9" s="14">
        <v>3147</v>
      </c>
      <c r="K9" s="15">
        <f>L9+4221</f>
        <v>7368</v>
      </c>
      <c r="L9" s="15">
        <f>2836+311</f>
        <v>3147</v>
      </c>
      <c r="M9" s="16">
        <f t="shared" si="0"/>
        <v>3147</v>
      </c>
      <c r="N9" s="16">
        <v>0</v>
      </c>
      <c r="O9" s="62">
        <f t="shared" si="1"/>
        <v>0</v>
      </c>
      <c r="P9" s="42">
        <f t="shared" si="2"/>
        <v>16</v>
      </c>
      <c r="Q9" s="43">
        <f t="shared" si="3"/>
        <v>8</v>
      </c>
      <c r="R9" s="7"/>
      <c r="S9" s="6"/>
      <c r="T9" s="17"/>
      <c r="U9" s="17"/>
      <c r="V9" s="18"/>
      <c r="W9" s="19">
        <v>8</v>
      </c>
      <c r="X9" s="17"/>
      <c r="Y9" s="20"/>
      <c r="Z9" s="20"/>
      <c r="AA9" s="21"/>
      <c r="AB9" s="8">
        <f t="shared" si="4"/>
        <v>1</v>
      </c>
      <c r="AC9" s="9">
        <f t="shared" si="5"/>
        <v>0.66666666666666663</v>
      </c>
      <c r="AD9" s="10">
        <f t="shared" si="6"/>
        <v>0.66666666666666663</v>
      </c>
      <c r="AE9" s="39">
        <f t="shared" si="7"/>
        <v>0.57499999999999996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378</v>
      </c>
      <c r="F10" s="12" t="s">
        <v>189</v>
      </c>
      <c r="G10" s="12">
        <v>1</v>
      </c>
      <c r="H10" s="13">
        <v>25</v>
      </c>
      <c r="I10" s="7">
        <v>65000</v>
      </c>
      <c r="J10" s="14">
        <v>20620</v>
      </c>
      <c r="K10" s="15">
        <f>L10+18476</f>
        <v>39096</v>
      </c>
      <c r="L10" s="15">
        <f>4901*2+5409*2</f>
        <v>20620</v>
      </c>
      <c r="M10" s="16">
        <f t="shared" si="0"/>
        <v>20620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0.57499999999999996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366</v>
      </c>
      <c r="F11" s="12" t="s">
        <v>172</v>
      </c>
      <c r="G11" s="12">
        <v>1</v>
      </c>
      <c r="H11" s="13">
        <v>25</v>
      </c>
      <c r="I11" s="34">
        <v>2000</v>
      </c>
      <c r="J11" s="5">
        <v>3410</v>
      </c>
      <c r="K11" s="15">
        <f>L11</f>
        <v>3410</v>
      </c>
      <c r="L11" s="15">
        <f>2110+1300</f>
        <v>3410</v>
      </c>
      <c r="M11" s="16">
        <f t="shared" si="0"/>
        <v>3410</v>
      </c>
      <c r="N11" s="16">
        <v>0</v>
      </c>
      <c r="O11" s="62">
        <f t="shared" si="1"/>
        <v>0</v>
      </c>
      <c r="P11" s="42">
        <f t="shared" si="2"/>
        <v>18</v>
      </c>
      <c r="Q11" s="43">
        <f t="shared" si="3"/>
        <v>6</v>
      </c>
      <c r="R11" s="7"/>
      <c r="S11" s="6">
        <v>4</v>
      </c>
      <c r="T11" s="17"/>
      <c r="U11" s="17"/>
      <c r="V11" s="18"/>
      <c r="W11" s="19">
        <v>2</v>
      </c>
      <c r="X11" s="17"/>
      <c r="Y11" s="20"/>
      <c r="Z11" s="20"/>
      <c r="AA11" s="21"/>
      <c r="AB11" s="8">
        <f t="shared" si="4"/>
        <v>1</v>
      </c>
      <c r="AC11" s="9">
        <f t="shared" si="5"/>
        <v>0.75</v>
      </c>
      <c r="AD11" s="10">
        <f t="shared" si="6"/>
        <v>0.75</v>
      </c>
      <c r="AE11" s="39">
        <f t="shared" si="7"/>
        <v>0.57499999999999996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286</v>
      </c>
      <c r="F12" s="12" t="s">
        <v>129</v>
      </c>
      <c r="G12" s="12">
        <v>1</v>
      </c>
      <c r="H12" s="13">
        <v>25</v>
      </c>
      <c r="I12" s="7">
        <v>8000</v>
      </c>
      <c r="J12" s="14">
        <v>4720</v>
      </c>
      <c r="K12" s="15">
        <f>L12</f>
        <v>4720</v>
      </c>
      <c r="L12" s="15">
        <f>3051+1669</f>
        <v>4720</v>
      </c>
      <c r="M12" s="16">
        <f t="shared" si="0"/>
        <v>4720</v>
      </c>
      <c r="N12" s="16">
        <v>0</v>
      </c>
      <c r="O12" s="62">
        <f t="shared" si="1"/>
        <v>0</v>
      </c>
      <c r="P12" s="42">
        <f t="shared" si="2"/>
        <v>21</v>
      </c>
      <c r="Q12" s="43">
        <f t="shared" si="3"/>
        <v>3</v>
      </c>
      <c r="R12" s="7"/>
      <c r="S12" s="6">
        <v>3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0.875</v>
      </c>
      <c r="AD12" s="10">
        <f t="shared" si="6"/>
        <v>0.875</v>
      </c>
      <c r="AE12" s="39">
        <f t="shared" si="7"/>
        <v>0.57499999999999996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138</v>
      </c>
      <c r="E13" s="57" t="s">
        <v>397</v>
      </c>
      <c r="F13" s="12">
        <v>7301</v>
      </c>
      <c r="G13" s="12">
        <v>1</v>
      </c>
      <c r="H13" s="13">
        <v>25</v>
      </c>
      <c r="I13" s="7">
        <v>8000</v>
      </c>
      <c r="J13" s="14">
        <v>3804</v>
      </c>
      <c r="K13" s="15">
        <f>L13</f>
        <v>3804</v>
      </c>
      <c r="L13" s="15">
        <f>2748+1056</f>
        <v>3804</v>
      </c>
      <c r="M13" s="16">
        <f t="shared" si="0"/>
        <v>3804</v>
      </c>
      <c r="N13" s="16">
        <v>0</v>
      </c>
      <c r="O13" s="62">
        <f t="shared" si="1"/>
        <v>0</v>
      </c>
      <c r="P13" s="42">
        <f t="shared" si="2"/>
        <v>19</v>
      </c>
      <c r="Q13" s="43">
        <f t="shared" si="3"/>
        <v>5</v>
      </c>
      <c r="R13" s="7"/>
      <c r="S13" s="6">
        <v>5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0.79166666666666663</v>
      </c>
      <c r="AD13" s="10">
        <f t="shared" si="6"/>
        <v>0.79166666666666663</v>
      </c>
      <c r="AE13" s="39">
        <f t="shared" si="7"/>
        <v>0.57499999999999996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0.57499999999999996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0.57499999999999996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278</v>
      </c>
      <c r="E16" s="57" t="s">
        <v>379</v>
      </c>
      <c r="F16" s="33" t="s">
        <v>131</v>
      </c>
      <c r="G16" s="36">
        <v>1</v>
      </c>
      <c r="H16" s="38">
        <v>25</v>
      </c>
      <c r="I16" s="7">
        <v>13000</v>
      </c>
      <c r="J16" s="5">
        <v>5289</v>
      </c>
      <c r="K16" s="15">
        <f>L16+3793</f>
        <v>9082</v>
      </c>
      <c r="L16" s="15">
        <f>2784+2505</f>
        <v>5289</v>
      </c>
      <c r="M16" s="16">
        <f t="shared" si="0"/>
        <v>5289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 t="shared" si="7"/>
        <v>0.57499999999999996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381</v>
      </c>
      <c r="E17" s="57" t="s">
        <v>380</v>
      </c>
      <c r="F17" s="12">
        <v>8301</v>
      </c>
      <c r="G17" s="12">
        <v>1</v>
      </c>
      <c r="H17" s="13">
        <v>24</v>
      </c>
      <c r="I17" s="34">
        <v>5000</v>
      </c>
      <c r="J17" s="14">
        <v>2941</v>
      </c>
      <c r="K17" s="15">
        <f>L17+3012</f>
        <v>5953</v>
      </c>
      <c r="L17" s="15">
        <f>2941</f>
        <v>2941</v>
      </c>
      <c r="M17" s="16">
        <f t="shared" si="0"/>
        <v>2941</v>
      </c>
      <c r="N17" s="16">
        <v>0</v>
      </c>
      <c r="O17" s="62">
        <f t="shared" si="1"/>
        <v>0</v>
      </c>
      <c r="P17" s="42">
        <f t="shared" si="2"/>
        <v>14</v>
      </c>
      <c r="Q17" s="43">
        <f t="shared" si="3"/>
        <v>10</v>
      </c>
      <c r="R17" s="7"/>
      <c r="S17" s="6"/>
      <c r="T17" s="17"/>
      <c r="U17" s="17"/>
      <c r="V17" s="18"/>
      <c r="W17" s="19">
        <v>10</v>
      </c>
      <c r="X17" s="17"/>
      <c r="Y17" s="20"/>
      <c r="Z17" s="20"/>
      <c r="AA17" s="21"/>
      <c r="AB17" s="8">
        <f t="shared" si="4"/>
        <v>1</v>
      </c>
      <c r="AC17" s="9">
        <f t="shared" si="5"/>
        <v>0.58333333333333337</v>
      </c>
      <c r="AD17" s="10">
        <f t="shared" si="6"/>
        <v>0.58333333333333337</v>
      </c>
      <c r="AE17" s="39">
        <f t="shared" si="7"/>
        <v>0.57499999999999996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123</v>
      </c>
      <c r="E18" s="57" t="s">
        <v>270</v>
      </c>
      <c r="F18" s="12">
        <v>7301</v>
      </c>
      <c r="G18" s="36">
        <v>1</v>
      </c>
      <c r="H18" s="38">
        <v>30</v>
      </c>
      <c r="I18" s="7">
        <v>8000</v>
      </c>
      <c r="J18" s="5">
        <v>4727</v>
      </c>
      <c r="K18" s="15">
        <f>L18</f>
        <v>4727</v>
      </c>
      <c r="L18" s="15">
        <f>2606+2121</f>
        <v>4727</v>
      </c>
      <c r="M18" s="16">
        <f t="shared" si="0"/>
        <v>4727</v>
      </c>
      <c r="N18" s="16">
        <v>0</v>
      </c>
      <c r="O18" s="62">
        <f t="shared" si="1"/>
        <v>0</v>
      </c>
      <c r="P18" s="42">
        <f t="shared" si="2"/>
        <v>23</v>
      </c>
      <c r="Q18" s="43">
        <f t="shared" si="3"/>
        <v>1</v>
      </c>
      <c r="R18" s="7"/>
      <c r="S18" s="6"/>
      <c r="T18" s="17">
        <v>1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0.95833333333333337</v>
      </c>
      <c r="AD18" s="10">
        <f t="shared" si="6"/>
        <v>0.95833333333333337</v>
      </c>
      <c r="AE18" s="39">
        <f t="shared" si="7"/>
        <v>0.57499999999999996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390</v>
      </c>
      <c r="E19" s="57" t="s">
        <v>391</v>
      </c>
      <c r="F19" s="12" t="s">
        <v>205</v>
      </c>
      <c r="G19" s="36">
        <v>2</v>
      </c>
      <c r="H19" s="38">
        <v>30</v>
      </c>
      <c r="I19" s="7">
        <v>10000</v>
      </c>
      <c r="J19" s="5">
        <v>9064</v>
      </c>
      <c r="K19" s="15">
        <f>L19+5258</f>
        <v>14322</v>
      </c>
      <c r="L19" s="15">
        <f>2182*2+2350*2</f>
        <v>9064</v>
      </c>
      <c r="M19" s="16">
        <f t="shared" si="0"/>
        <v>9064</v>
      </c>
      <c r="N19" s="16">
        <v>0</v>
      </c>
      <c r="O19" s="62">
        <f t="shared" si="1"/>
        <v>0</v>
      </c>
      <c r="P19" s="42">
        <f t="shared" si="2"/>
        <v>24</v>
      </c>
      <c r="Q19" s="43">
        <f t="shared" si="3"/>
        <v>0</v>
      </c>
      <c r="R19" s="7"/>
      <c r="S19" s="6"/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1</v>
      </c>
      <c r="AD19" s="10">
        <f t="shared" si="6"/>
        <v>1</v>
      </c>
      <c r="AE19" s="39">
        <f t="shared" si="7"/>
        <v>0.57499999999999996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0.57499999999999996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637250</v>
      </c>
      <c r="J21" s="22">
        <f t="shared" si="9"/>
        <v>106387</v>
      </c>
      <c r="K21" s="23">
        <f t="shared" si="9"/>
        <v>546242</v>
      </c>
      <c r="L21" s="24">
        <f t="shared" si="9"/>
        <v>62850</v>
      </c>
      <c r="M21" s="23">
        <f t="shared" si="9"/>
        <v>62850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207</v>
      </c>
      <c r="Q21" s="46">
        <f t="shared" si="10"/>
        <v>153</v>
      </c>
      <c r="R21" s="26">
        <f t="shared" si="10"/>
        <v>48</v>
      </c>
      <c r="S21" s="27">
        <f t="shared" si="10"/>
        <v>12</v>
      </c>
      <c r="T21" s="27">
        <f t="shared" si="10"/>
        <v>1</v>
      </c>
      <c r="U21" s="27">
        <f t="shared" si="10"/>
        <v>0</v>
      </c>
      <c r="V21" s="28">
        <f t="shared" si="10"/>
        <v>0</v>
      </c>
      <c r="W21" s="29">
        <f t="shared" si="10"/>
        <v>92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0.66666666666666663</v>
      </c>
      <c r="AC21" s="4">
        <f>SUM(AC6:AC20)/15</f>
        <v>0.57499999999999996</v>
      </c>
      <c r="AD21" s="4">
        <f>SUM(AD6:AD20)/15</f>
        <v>0.57499999999999996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401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403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90" t="s">
        <v>46</v>
      </c>
      <c r="D50" s="290" t="s">
        <v>47</v>
      </c>
      <c r="E50" s="290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90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87" t="s">
        <v>174</v>
      </c>
      <c r="D51" s="287" t="s">
        <v>132</v>
      </c>
      <c r="E51" s="287" t="s">
        <v>286</v>
      </c>
      <c r="F51" s="376" t="s">
        <v>130</v>
      </c>
      <c r="G51" s="376"/>
      <c r="H51" s="376"/>
      <c r="I51" s="376"/>
      <c r="J51" s="376"/>
      <c r="K51" s="376"/>
      <c r="L51" s="376"/>
      <c r="M51" s="386"/>
      <c r="N51" s="286" t="s">
        <v>125</v>
      </c>
      <c r="O51" s="124" t="s">
        <v>140</v>
      </c>
      <c r="P51" s="385" t="s">
        <v>208</v>
      </c>
      <c r="Q51" s="385"/>
      <c r="R51" s="385" t="s">
        <v>207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287" t="s">
        <v>144</v>
      </c>
      <c r="D52" s="287" t="s">
        <v>138</v>
      </c>
      <c r="E52" s="287" t="s">
        <v>397</v>
      </c>
      <c r="F52" s="376" t="s">
        <v>402</v>
      </c>
      <c r="G52" s="376"/>
      <c r="H52" s="376"/>
      <c r="I52" s="376"/>
      <c r="J52" s="376"/>
      <c r="K52" s="376"/>
      <c r="L52" s="376"/>
      <c r="M52" s="386"/>
      <c r="N52" s="286" t="s">
        <v>114</v>
      </c>
      <c r="O52" s="124" t="s">
        <v>145</v>
      </c>
      <c r="P52" s="393" t="s">
        <v>390</v>
      </c>
      <c r="Q52" s="394"/>
      <c r="R52" s="385" t="s">
        <v>404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125</v>
      </c>
      <c r="B53" s="385"/>
      <c r="C53" s="287" t="s">
        <v>216</v>
      </c>
      <c r="D53" s="287" t="s">
        <v>126</v>
      </c>
      <c r="E53" s="287" t="s">
        <v>366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286"/>
      <c r="O53" s="124"/>
      <c r="P53" s="393"/>
      <c r="Q53" s="394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/>
      <c r="B54" s="385"/>
      <c r="C54" s="287"/>
      <c r="D54" s="287"/>
      <c r="E54" s="287"/>
      <c r="F54" s="376"/>
      <c r="G54" s="376"/>
      <c r="H54" s="376"/>
      <c r="I54" s="376"/>
      <c r="J54" s="376"/>
      <c r="K54" s="376"/>
      <c r="L54" s="376"/>
      <c r="M54" s="386"/>
      <c r="N54" s="286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287"/>
      <c r="D55" s="287"/>
      <c r="E55" s="287"/>
      <c r="F55" s="376"/>
      <c r="G55" s="376"/>
      <c r="H55" s="376"/>
      <c r="I55" s="376"/>
      <c r="J55" s="376"/>
      <c r="K55" s="376"/>
      <c r="L55" s="376"/>
      <c r="M55" s="386"/>
      <c r="N55" s="286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287"/>
      <c r="D56" s="287"/>
      <c r="E56" s="287"/>
      <c r="F56" s="376"/>
      <c r="G56" s="376"/>
      <c r="H56" s="376"/>
      <c r="I56" s="376"/>
      <c r="J56" s="376"/>
      <c r="K56" s="376"/>
      <c r="L56" s="376"/>
      <c r="M56" s="386"/>
      <c r="N56" s="286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287"/>
      <c r="D57" s="287"/>
      <c r="E57" s="287"/>
      <c r="F57" s="376"/>
      <c r="G57" s="376"/>
      <c r="H57" s="376"/>
      <c r="I57" s="376"/>
      <c r="J57" s="376"/>
      <c r="K57" s="376"/>
      <c r="L57" s="376"/>
      <c r="M57" s="386"/>
      <c r="N57" s="286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87"/>
      <c r="D58" s="287"/>
      <c r="E58" s="287"/>
      <c r="F58" s="376"/>
      <c r="G58" s="376"/>
      <c r="H58" s="376"/>
      <c r="I58" s="376"/>
      <c r="J58" s="376"/>
      <c r="K58" s="376"/>
      <c r="L58" s="376"/>
      <c r="M58" s="386"/>
      <c r="N58" s="286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87"/>
      <c r="D59" s="287"/>
      <c r="E59" s="287"/>
      <c r="F59" s="376"/>
      <c r="G59" s="376"/>
      <c r="H59" s="376"/>
      <c r="I59" s="376"/>
      <c r="J59" s="376"/>
      <c r="K59" s="376"/>
      <c r="L59" s="376"/>
      <c r="M59" s="386"/>
      <c r="N59" s="286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89"/>
      <c r="D60" s="289"/>
      <c r="E60" s="289"/>
      <c r="F60" s="389"/>
      <c r="G60" s="389"/>
      <c r="H60" s="389"/>
      <c r="I60" s="389"/>
      <c r="J60" s="389"/>
      <c r="K60" s="389"/>
      <c r="L60" s="389"/>
      <c r="M60" s="390"/>
      <c r="N60" s="288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405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85" t="s">
        <v>2</v>
      </c>
      <c r="D62" s="285" t="s">
        <v>37</v>
      </c>
      <c r="E62" s="285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85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125</v>
      </c>
      <c r="D63" s="281"/>
      <c r="E63" s="284" t="s">
        <v>126</v>
      </c>
      <c r="F63" s="374" t="s">
        <v>366</v>
      </c>
      <c r="G63" s="366"/>
      <c r="H63" s="366"/>
      <c r="I63" s="366"/>
      <c r="J63" s="366"/>
      <c r="K63" s="366" t="s">
        <v>172</v>
      </c>
      <c r="L63" s="366"/>
      <c r="M63" s="54" t="s">
        <v>186</v>
      </c>
      <c r="N63" s="366">
        <v>6</v>
      </c>
      <c r="O63" s="366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/>
      <c r="D64" s="281"/>
      <c r="E64" s="284"/>
      <c r="F64" s="374"/>
      <c r="G64" s="366"/>
      <c r="H64" s="366"/>
      <c r="I64" s="366"/>
      <c r="J64" s="366"/>
      <c r="K64" s="366"/>
      <c r="L64" s="366"/>
      <c r="M64" s="54"/>
      <c r="N64" s="366"/>
      <c r="O64" s="366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281"/>
      <c r="E65" s="284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281"/>
      <c r="E66" s="284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281"/>
      <c r="E67" s="284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281"/>
      <c r="E68" s="284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281"/>
      <c r="E69" s="284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281"/>
      <c r="E70" s="284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406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283" t="s">
        <v>2</v>
      </c>
      <c r="D72" s="283" t="s">
        <v>37</v>
      </c>
      <c r="E72" s="283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282" t="s">
        <v>114</v>
      </c>
      <c r="D73" s="282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281" t="s">
        <v>114</v>
      </c>
      <c r="D74" s="281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281"/>
      <c r="D75" s="281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281"/>
      <c r="D76" s="281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281"/>
      <c r="D77" s="281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281"/>
      <c r="D78" s="281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281"/>
      <c r="D79" s="281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281"/>
      <c r="D80" s="281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281"/>
      <c r="D81" s="281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407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58DE-B8D5-45D4-9BAF-A92A35D59555}">
  <sheetPr>
    <pageSetUpPr fitToPage="1"/>
  </sheetPr>
  <dimension ref="A1:AF86"/>
  <sheetViews>
    <sheetView zoomScale="72" zoomScaleNormal="72" zoomScaleSheetLayoutView="70" workbookViewId="0">
      <selection activeCell="F72" sqref="F72:J72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409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92" t="s">
        <v>17</v>
      </c>
      <c r="L5" s="292" t="s">
        <v>18</v>
      </c>
      <c r="M5" s="292" t="s">
        <v>19</v>
      </c>
      <c r="N5" s="29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0.46111111111111114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0.46111111111111114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208</v>
      </c>
      <c r="E8" s="57" t="s">
        <v>207</v>
      </c>
      <c r="F8" s="33" t="s">
        <v>205</v>
      </c>
      <c r="G8" s="36">
        <v>2</v>
      </c>
      <c r="H8" s="38">
        <v>25</v>
      </c>
      <c r="I8" s="7">
        <v>51000</v>
      </c>
      <c r="J8" s="5">
        <v>10132</v>
      </c>
      <c r="K8" s="15">
        <f>L8</f>
        <v>10132</v>
      </c>
      <c r="L8" s="15">
        <f>1402*2+3664*2</f>
        <v>10132</v>
      </c>
      <c r="M8" s="16">
        <f t="shared" si="0"/>
        <v>10132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/>
      <c r="T8" s="17">
        <v>3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0.875</v>
      </c>
      <c r="AD8" s="10">
        <f t="shared" si="6"/>
        <v>0.875</v>
      </c>
      <c r="AE8" s="39">
        <f t="shared" si="7"/>
        <v>0.46111111111111114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410</v>
      </c>
      <c r="F9" s="12" t="s">
        <v>137</v>
      </c>
      <c r="G9" s="12">
        <v>1</v>
      </c>
      <c r="H9" s="13">
        <v>25</v>
      </c>
      <c r="I9" s="7">
        <v>5500</v>
      </c>
      <c r="J9" s="14">
        <v>3226</v>
      </c>
      <c r="K9" s="15">
        <f>L9</f>
        <v>3226</v>
      </c>
      <c r="L9" s="15">
        <f>3226</f>
        <v>3226</v>
      </c>
      <c r="M9" s="16">
        <f t="shared" si="0"/>
        <v>3226</v>
      </c>
      <c r="N9" s="16">
        <v>0</v>
      </c>
      <c r="O9" s="62">
        <f t="shared" si="1"/>
        <v>0</v>
      </c>
      <c r="P9" s="42">
        <f t="shared" si="2"/>
        <v>18</v>
      </c>
      <c r="Q9" s="43">
        <f t="shared" si="3"/>
        <v>6</v>
      </c>
      <c r="R9" s="7"/>
      <c r="S9" s="6"/>
      <c r="T9" s="17">
        <v>6</v>
      </c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0.75</v>
      </c>
      <c r="AD9" s="10">
        <f t="shared" si="6"/>
        <v>0.75</v>
      </c>
      <c r="AE9" s="39">
        <f t="shared" si="7"/>
        <v>0.46111111111111114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378</v>
      </c>
      <c r="F10" s="12" t="s">
        <v>189</v>
      </c>
      <c r="G10" s="12">
        <v>1</v>
      </c>
      <c r="H10" s="13">
        <v>25</v>
      </c>
      <c r="I10" s="7">
        <v>65000</v>
      </c>
      <c r="J10" s="14">
        <v>17546</v>
      </c>
      <c r="K10" s="15">
        <f>L10+18476+20620</f>
        <v>56642</v>
      </c>
      <c r="L10" s="15">
        <f>6304*2+2469*2</f>
        <v>17546</v>
      </c>
      <c r="M10" s="16">
        <f t="shared" si="0"/>
        <v>17546</v>
      </c>
      <c r="N10" s="16">
        <v>0</v>
      </c>
      <c r="O10" s="62">
        <f t="shared" si="1"/>
        <v>0</v>
      </c>
      <c r="P10" s="42">
        <f t="shared" si="2"/>
        <v>20</v>
      </c>
      <c r="Q10" s="43">
        <f t="shared" si="3"/>
        <v>4</v>
      </c>
      <c r="R10" s="7"/>
      <c r="S10" s="6">
        <v>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0.83333333333333337</v>
      </c>
      <c r="AD10" s="10">
        <f t="shared" si="6"/>
        <v>0.83333333333333337</v>
      </c>
      <c r="AE10" s="39">
        <f t="shared" si="7"/>
        <v>0.46111111111111114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366</v>
      </c>
      <c r="F11" s="12" t="s">
        <v>172</v>
      </c>
      <c r="G11" s="12">
        <v>1</v>
      </c>
      <c r="H11" s="13">
        <v>25</v>
      </c>
      <c r="I11" s="34">
        <v>2000</v>
      </c>
      <c r="J11" s="5">
        <v>3410</v>
      </c>
      <c r="K11" s="15">
        <f>L11+3410</f>
        <v>3410</v>
      </c>
      <c r="L11" s="15"/>
      <c r="M11" s="16">
        <f t="shared" si="0"/>
        <v>0</v>
      </c>
      <c r="N11" s="16">
        <v>0</v>
      </c>
      <c r="O11" s="62" t="str">
        <f t="shared" si="1"/>
        <v>0</v>
      </c>
      <c r="P11" s="42" t="str">
        <f t="shared" si="2"/>
        <v>0</v>
      </c>
      <c r="Q11" s="43">
        <f t="shared" si="3"/>
        <v>24</v>
      </c>
      <c r="R11" s="7"/>
      <c r="S11" s="6"/>
      <c r="T11" s="17"/>
      <c r="U11" s="17"/>
      <c r="V11" s="18"/>
      <c r="W11" s="19">
        <v>24</v>
      </c>
      <c r="X11" s="17"/>
      <c r="Y11" s="20"/>
      <c r="Z11" s="20"/>
      <c r="AA11" s="21"/>
      <c r="AB11" s="8">
        <f t="shared" si="4"/>
        <v>0</v>
      </c>
      <c r="AC11" s="9">
        <f t="shared" si="5"/>
        <v>0</v>
      </c>
      <c r="AD11" s="10">
        <f t="shared" si="6"/>
        <v>0</v>
      </c>
      <c r="AE11" s="39">
        <f t="shared" si="7"/>
        <v>0.46111111111111114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286</v>
      </c>
      <c r="F12" s="12" t="s">
        <v>129</v>
      </c>
      <c r="G12" s="12">
        <v>1</v>
      </c>
      <c r="H12" s="13">
        <v>25</v>
      </c>
      <c r="I12" s="7">
        <v>8000</v>
      </c>
      <c r="J12" s="14">
        <v>3841</v>
      </c>
      <c r="K12" s="15">
        <f>L12+4720</f>
        <v>8561</v>
      </c>
      <c r="L12" s="15">
        <f>1150+2691</f>
        <v>3841</v>
      </c>
      <c r="M12" s="16">
        <f t="shared" si="0"/>
        <v>3841</v>
      </c>
      <c r="N12" s="16">
        <v>0</v>
      </c>
      <c r="O12" s="62">
        <f t="shared" si="1"/>
        <v>0</v>
      </c>
      <c r="P12" s="42">
        <f t="shared" si="2"/>
        <v>18</v>
      </c>
      <c r="Q12" s="43">
        <f t="shared" si="3"/>
        <v>6</v>
      </c>
      <c r="R12" s="7"/>
      <c r="S12" s="6">
        <v>6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0.75</v>
      </c>
      <c r="AD12" s="10">
        <f t="shared" si="6"/>
        <v>0.75</v>
      </c>
      <c r="AE12" s="39">
        <f t="shared" si="7"/>
        <v>0.46111111111111114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138</v>
      </c>
      <c r="E13" s="57" t="s">
        <v>397</v>
      </c>
      <c r="F13" s="12">
        <v>7301</v>
      </c>
      <c r="G13" s="12">
        <v>1</v>
      </c>
      <c r="H13" s="13">
        <v>25</v>
      </c>
      <c r="I13" s="7">
        <v>8000</v>
      </c>
      <c r="J13" s="14">
        <v>2130</v>
      </c>
      <c r="K13" s="15">
        <f>L13+3804</f>
        <v>5934</v>
      </c>
      <c r="L13" s="15">
        <v>2130</v>
      </c>
      <c r="M13" s="16">
        <f t="shared" si="0"/>
        <v>2130</v>
      </c>
      <c r="N13" s="16">
        <v>0</v>
      </c>
      <c r="O13" s="62">
        <f t="shared" si="1"/>
        <v>0</v>
      </c>
      <c r="P13" s="42">
        <f t="shared" si="2"/>
        <v>11</v>
      </c>
      <c r="Q13" s="43">
        <f t="shared" si="3"/>
        <v>13</v>
      </c>
      <c r="R13" s="7"/>
      <c r="S13" s="6">
        <v>13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0.45833333333333331</v>
      </c>
      <c r="AD13" s="10">
        <f t="shared" si="6"/>
        <v>0.45833333333333331</v>
      </c>
      <c r="AE13" s="39">
        <f t="shared" si="7"/>
        <v>0.46111111111111114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0.46111111111111114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0.46111111111111114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278</v>
      </c>
      <c r="E16" s="57" t="s">
        <v>379</v>
      </c>
      <c r="F16" s="33" t="s">
        <v>131</v>
      </c>
      <c r="G16" s="36">
        <v>1</v>
      </c>
      <c r="H16" s="38">
        <v>25</v>
      </c>
      <c r="I16" s="7">
        <v>13000</v>
      </c>
      <c r="J16" s="5">
        <v>2810</v>
      </c>
      <c r="K16" s="15">
        <f>L16+3793+5289</f>
        <v>11892</v>
      </c>
      <c r="L16" s="15">
        <f>2455+355</f>
        <v>2810</v>
      </c>
      <c r="M16" s="16">
        <f t="shared" si="0"/>
        <v>2810</v>
      </c>
      <c r="N16" s="16">
        <v>0</v>
      </c>
      <c r="O16" s="62">
        <f t="shared" si="1"/>
        <v>0</v>
      </c>
      <c r="P16" s="42">
        <f t="shared" si="2"/>
        <v>14</v>
      </c>
      <c r="Q16" s="43">
        <f t="shared" si="3"/>
        <v>10</v>
      </c>
      <c r="R16" s="7"/>
      <c r="S16" s="6">
        <v>10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0.58333333333333337</v>
      </c>
      <c r="AD16" s="10">
        <f t="shared" si="6"/>
        <v>0.58333333333333337</v>
      </c>
      <c r="AE16" s="39">
        <f t="shared" si="7"/>
        <v>0.46111111111111114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381</v>
      </c>
      <c r="E17" s="57" t="s">
        <v>411</v>
      </c>
      <c r="F17" s="12">
        <v>8301</v>
      </c>
      <c r="G17" s="12">
        <v>1</v>
      </c>
      <c r="H17" s="13">
        <v>24</v>
      </c>
      <c r="I17" s="34">
        <v>5000</v>
      </c>
      <c r="J17" s="14">
        <v>4054</v>
      </c>
      <c r="K17" s="15">
        <f>L17</f>
        <v>4054</v>
      </c>
      <c r="L17" s="15">
        <f>985+3069</f>
        <v>4054</v>
      </c>
      <c r="M17" s="16">
        <f t="shared" si="0"/>
        <v>4054</v>
      </c>
      <c r="N17" s="16">
        <v>0</v>
      </c>
      <c r="O17" s="62">
        <f t="shared" si="1"/>
        <v>0</v>
      </c>
      <c r="P17" s="42">
        <f t="shared" si="2"/>
        <v>19</v>
      </c>
      <c r="Q17" s="43">
        <f t="shared" si="3"/>
        <v>5</v>
      </c>
      <c r="R17" s="7"/>
      <c r="S17" s="6">
        <v>4</v>
      </c>
      <c r="T17" s="17"/>
      <c r="U17" s="17"/>
      <c r="V17" s="18"/>
      <c r="W17" s="19"/>
      <c r="X17" s="17"/>
      <c r="Y17" s="20"/>
      <c r="Z17" s="20"/>
      <c r="AA17" s="21">
        <v>1</v>
      </c>
      <c r="AB17" s="8">
        <f t="shared" si="4"/>
        <v>1</v>
      </c>
      <c r="AC17" s="9">
        <f t="shared" si="5"/>
        <v>0.79166666666666663</v>
      </c>
      <c r="AD17" s="10">
        <f t="shared" si="6"/>
        <v>0.79166666666666663</v>
      </c>
      <c r="AE17" s="39">
        <f t="shared" si="7"/>
        <v>0.46111111111111114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123</v>
      </c>
      <c r="E18" s="57" t="s">
        <v>270</v>
      </c>
      <c r="F18" s="12">
        <v>7301</v>
      </c>
      <c r="G18" s="36">
        <v>1</v>
      </c>
      <c r="H18" s="38">
        <v>30</v>
      </c>
      <c r="I18" s="7">
        <v>8000</v>
      </c>
      <c r="J18" s="5">
        <v>4828</v>
      </c>
      <c r="K18" s="15">
        <f>L18+4727</f>
        <v>9555</v>
      </c>
      <c r="L18" s="15">
        <f>2412+2416</f>
        <v>4828</v>
      </c>
      <c r="M18" s="16">
        <f t="shared" si="0"/>
        <v>4828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 t="shared" si="7"/>
        <v>0.46111111111111114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390</v>
      </c>
      <c r="E19" s="57" t="s">
        <v>404</v>
      </c>
      <c r="F19" s="12" t="s">
        <v>205</v>
      </c>
      <c r="G19" s="36">
        <v>2</v>
      </c>
      <c r="H19" s="38">
        <v>30</v>
      </c>
      <c r="I19" s="7">
        <v>10000</v>
      </c>
      <c r="J19" s="5">
        <v>10434</v>
      </c>
      <c r="K19" s="15">
        <f>L19</f>
        <v>10434</v>
      </c>
      <c r="L19" s="15">
        <f>1727*2+3490*2</f>
        <v>10434</v>
      </c>
      <c r="M19" s="16">
        <f t="shared" si="0"/>
        <v>10434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9">
        <f t="shared" si="7"/>
        <v>0.46111111111111114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0.46111111111111114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677750</v>
      </c>
      <c r="J21" s="22">
        <f t="shared" si="9"/>
        <v>105948</v>
      </c>
      <c r="K21" s="23">
        <f t="shared" si="9"/>
        <v>568595</v>
      </c>
      <c r="L21" s="24">
        <f t="shared" si="9"/>
        <v>59001</v>
      </c>
      <c r="M21" s="23">
        <f t="shared" si="9"/>
        <v>59001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166</v>
      </c>
      <c r="Q21" s="46">
        <f t="shared" si="10"/>
        <v>194</v>
      </c>
      <c r="R21" s="26">
        <f t="shared" si="10"/>
        <v>48</v>
      </c>
      <c r="S21" s="27">
        <f t="shared" si="10"/>
        <v>40</v>
      </c>
      <c r="T21" s="27">
        <f t="shared" si="10"/>
        <v>9</v>
      </c>
      <c r="U21" s="27">
        <f t="shared" si="10"/>
        <v>0</v>
      </c>
      <c r="V21" s="28">
        <f t="shared" si="10"/>
        <v>0</v>
      </c>
      <c r="W21" s="29">
        <f t="shared" si="10"/>
        <v>96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1</v>
      </c>
      <c r="AB21" s="31">
        <f>SUM(AB6:AB20)/15</f>
        <v>0.6</v>
      </c>
      <c r="AC21" s="4">
        <f>SUM(AC6:AC20)/15</f>
        <v>0.46111111111111114</v>
      </c>
      <c r="AD21" s="4">
        <f>SUM(AD6:AD20)/15</f>
        <v>0.46111111111111114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412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415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293" t="s">
        <v>46</v>
      </c>
      <c r="D50" s="293" t="s">
        <v>47</v>
      </c>
      <c r="E50" s="293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293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295" t="s">
        <v>174</v>
      </c>
      <c r="D51" s="295" t="s">
        <v>132</v>
      </c>
      <c r="E51" s="295" t="s">
        <v>286</v>
      </c>
      <c r="F51" s="376" t="s">
        <v>347</v>
      </c>
      <c r="G51" s="376"/>
      <c r="H51" s="376"/>
      <c r="I51" s="376"/>
      <c r="J51" s="376"/>
      <c r="K51" s="376"/>
      <c r="L51" s="376"/>
      <c r="M51" s="386"/>
      <c r="N51" s="294" t="s">
        <v>150</v>
      </c>
      <c r="O51" s="124" t="s">
        <v>216</v>
      </c>
      <c r="P51" s="385" t="s">
        <v>136</v>
      </c>
      <c r="Q51" s="385"/>
      <c r="R51" s="385" t="s">
        <v>337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295" t="s">
        <v>144</v>
      </c>
      <c r="D52" s="295" t="s">
        <v>138</v>
      </c>
      <c r="E52" s="295" t="s">
        <v>397</v>
      </c>
      <c r="F52" s="376" t="s">
        <v>316</v>
      </c>
      <c r="G52" s="376"/>
      <c r="H52" s="376"/>
      <c r="I52" s="376"/>
      <c r="J52" s="376"/>
      <c r="K52" s="376"/>
      <c r="L52" s="376"/>
      <c r="M52" s="386"/>
      <c r="N52" s="294" t="s">
        <v>125</v>
      </c>
      <c r="O52" s="124" t="s">
        <v>174</v>
      </c>
      <c r="P52" s="393" t="s">
        <v>132</v>
      </c>
      <c r="Q52" s="394"/>
      <c r="R52" s="385" t="s">
        <v>416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125</v>
      </c>
      <c r="B53" s="385"/>
      <c r="C53" s="295" t="s">
        <v>140</v>
      </c>
      <c r="D53" s="295" t="s">
        <v>208</v>
      </c>
      <c r="E53" s="295" t="s">
        <v>207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294" t="s">
        <v>125</v>
      </c>
      <c r="O53" s="124" t="s">
        <v>144</v>
      </c>
      <c r="P53" s="393" t="s">
        <v>123</v>
      </c>
      <c r="Q53" s="394"/>
      <c r="R53" s="385" t="s">
        <v>417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295" t="s">
        <v>141</v>
      </c>
      <c r="D54" s="295" t="s">
        <v>136</v>
      </c>
      <c r="E54" s="295" t="s">
        <v>410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294" t="s">
        <v>114</v>
      </c>
      <c r="O54" s="124" t="s">
        <v>191</v>
      </c>
      <c r="P54" s="385" t="s">
        <v>132</v>
      </c>
      <c r="Q54" s="385"/>
      <c r="R54" s="385" t="s">
        <v>418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152</v>
      </c>
      <c r="B55" s="385"/>
      <c r="C55" s="295" t="s">
        <v>142</v>
      </c>
      <c r="D55" s="295" t="s">
        <v>393</v>
      </c>
      <c r="E55" s="295" t="s">
        <v>378</v>
      </c>
      <c r="F55" s="376" t="s">
        <v>260</v>
      </c>
      <c r="G55" s="376"/>
      <c r="H55" s="376"/>
      <c r="I55" s="376"/>
      <c r="J55" s="376"/>
      <c r="K55" s="376"/>
      <c r="L55" s="376"/>
      <c r="M55" s="386"/>
      <c r="N55" s="294" t="s">
        <v>125</v>
      </c>
      <c r="O55" s="124" t="s">
        <v>191</v>
      </c>
      <c r="P55" s="385" t="s">
        <v>255</v>
      </c>
      <c r="Q55" s="385"/>
      <c r="R55" s="385" t="s">
        <v>419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295" t="s">
        <v>181</v>
      </c>
      <c r="D56" s="295" t="s">
        <v>413</v>
      </c>
      <c r="E56" s="295" t="s">
        <v>411</v>
      </c>
      <c r="F56" s="376" t="s">
        <v>414</v>
      </c>
      <c r="G56" s="376"/>
      <c r="H56" s="376"/>
      <c r="I56" s="376"/>
      <c r="J56" s="376"/>
      <c r="K56" s="376"/>
      <c r="L56" s="376"/>
      <c r="M56" s="386"/>
      <c r="N56" s="294" t="s">
        <v>114</v>
      </c>
      <c r="O56" s="124" t="s">
        <v>181</v>
      </c>
      <c r="P56" s="393" t="s">
        <v>413</v>
      </c>
      <c r="Q56" s="394"/>
      <c r="R56" s="385" t="s">
        <v>420</v>
      </c>
      <c r="S56" s="385"/>
      <c r="T56" s="385"/>
      <c r="U56" s="385"/>
      <c r="V56" s="376" t="s">
        <v>421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295" t="s">
        <v>145</v>
      </c>
      <c r="D57" s="295" t="s">
        <v>390</v>
      </c>
      <c r="E57" s="295" t="s">
        <v>404</v>
      </c>
      <c r="F57" s="376" t="s">
        <v>130</v>
      </c>
      <c r="G57" s="376"/>
      <c r="H57" s="376"/>
      <c r="I57" s="376"/>
      <c r="J57" s="376"/>
      <c r="K57" s="376"/>
      <c r="L57" s="376"/>
      <c r="M57" s="386"/>
      <c r="N57" s="294" t="s">
        <v>125</v>
      </c>
      <c r="O57" s="124" t="s">
        <v>195</v>
      </c>
      <c r="P57" s="393" t="s">
        <v>136</v>
      </c>
      <c r="Q57" s="394"/>
      <c r="R57" s="385" t="s">
        <v>422</v>
      </c>
      <c r="S57" s="385"/>
      <c r="T57" s="385"/>
      <c r="U57" s="385"/>
      <c r="V57" s="376" t="s">
        <v>130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295"/>
      <c r="D58" s="295"/>
      <c r="E58" s="295"/>
      <c r="F58" s="376"/>
      <c r="G58" s="376"/>
      <c r="H58" s="376"/>
      <c r="I58" s="376"/>
      <c r="J58" s="376"/>
      <c r="K58" s="376"/>
      <c r="L58" s="376"/>
      <c r="M58" s="386"/>
      <c r="N58" s="294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295"/>
      <c r="D59" s="295"/>
      <c r="E59" s="295"/>
      <c r="F59" s="376"/>
      <c r="G59" s="376"/>
      <c r="H59" s="376"/>
      <c r="I59" s="376"/>
      <c r="J59" s="376"/>
      <c r="K59" s="376"/>
      <c r="L59" s="376"/>
      <c r="M59" s="386"/>
      <c r="N59" s="294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297"/>
      <c r="D60" s="297"/>
      <c r="E60" s="297"/>
      <c r="F60" s="389"/>
      <c r="G60" s="389"/>
      <c r="H60" s="389"/>
      <c r="I60" s="389"/>
      <c r="J60" s="389"/>
      <c r="K60" s="389"/>
      <c r="L60" s="389"/>
      <c r="M60" s="390"/>
      <c r="N60" s="296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423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298" t="s">
        <v>2</v>
      </c>
      <c r="D62" s="298" t="s">
        <v>37</v>
      </c>
      <c r="E62" s="298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298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114</v>
      </c>
      <c r="D63" s="301"/>
      <c r="E63" s="299" t="s">
        <v>413</v>
      </c>
      <c r="F63" s="374" t="s">
        <v>411</v>
      </c>
      <c r="G63" s="366"/>
      <c r="H63" s="366"/>
      <c r="I63" s="366"/>
      <c r="J63" s="366"/>
      <c r="K63" s="366" t="s">
        <v>424</v>
      </c>
      <c r="L63" s="366"/>
      <c r="M63" s="54" t="s">
        <v>248</v>
      </c>
      <c r="N63" s="366">
        <v>12</v>
      </c>
      <c r="O63" s="366"/>
      <c r="P63" s="375">
        <v>50</v>
      </c>
      <c r="Q63" s="375"/>
      <c r="R63" s="376" t="s">
        <v>425</v>
      </c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/>
      <c r="D64" s="301"/>
      <c r="E64" s="299"/>
      <c r="F64" s="374"/>
      <c r="G64" s="366"/>
      <c r="H64" s="366"/>
      <c r="I64" s="366"/>
      <c r="J64" s="366"/>
      <c r="K64" s="366"/>
      <c r="L64" s="366"/>
      <c r="M64" s="54"/>
      <c r="N64" s="366"/>
      <c r="O64" s="366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301"/>
      <c r="E65" s="299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301"/>
      <c r="E66" s="299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301"/>
      <c r="E67" s="299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301"/>
      <c r="E68" s="299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301"/>
      <c r="E69" s="299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301"/>
      <c r="E70" s="299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426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300" t="s">
        <v>2</v>
      </c>
      <c r="D72" s="300" t="s">
        <v>37</v>
      </c>
      <c r="E72" s="300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302" t="s">
        <v>114</v>
      </c>
      <c r="D73" s="302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301" t="s">
        <v>114</v>
      </c>
      <c r="D74" s="301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301"/>
      <c r="D75" s="301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301"/>
      <c r="D76" s="301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301"/>
      <c r="D77" s="301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301"/>
      <c r="D78" s="301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301"/>
      <c r="D79" s="301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301"/>
      <c r="D80" s="301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301"/>
      <c r="D81" s="301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427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473E-C2CC-4804-98A7-3543729512F5}">
  <sheetPr>
    <pageSetUpPr fitToPage="1"/>
  </sheetPr>
  <dimension ref="A1:AF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428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313" t="s">
        <v>17</v>
      </c>
      <c r="L5" s="313" t="s">
        <v>18</v>
      </c>
      <c r="M5" s="313" t="s">
        <v>19</v>
      </c>
      <c r="N5" s="31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2" si="0">L6-N6</f>
        <v>0</v>
      </c>
      <c r="N6" s="16">
        <v>0</v>
      </c>
      <c r="O6" s="62" t="str">
        <f t="shared" ref="O6:O23" si="1">IF(L6=0,"0",N6/L6)</f>
        <v>0</v>
      </c>
      <c r="P6" s="42" t="str">
        <f t="shared" ref="P6:P22" si="2">IF(L6=0,"0",(24-Q6))</f>
        <v>0</v>
      </c>
      <c r="Q6" s="43">
        <f t="shared" ref="Q6:Q22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9">
        <f t="shared" ref="AE6:AE22" si="7">$AD$23</f>
        <v>0.55833333333333335</v>
      </c>
      <c r="AF6" s="93">
        <f t="shared" ref="AF6:AF22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0.55833333333333335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208</v>
      </c>
      <c r="E8" s="57" t="s">
        <v>207</v>
      </c>
      <c r="F8" s="33" t="s">
        <v>205</v>
      </c>
      <c r="G8" s="36">
        <v>2</v>
      </c>
      <c r="H8" s="38">
        <v>25</v>
      </c>
      <c r="I8" s="7">
        <v>51000</v>
      </c>
      <c r="J8" s="5">
        <v>11782</v>
      </c>
      <c r="K8" s="15">
        <f>L8+10132</f>
        <v>21914</v>
      </c>
      <c r="L8" s="15">
        <f>3331*2+2560*2</f>
        <v>11782</v>
      </c>
      <c r="M8" s="16">
        <f t="shared" si="0"/>
        <v>11782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0.55833333333333335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410</v>
      </c>
      <c r="F9" s="12" t="s">
        <v>137</v>
      </c>
      <c r="G9" s="12">
        <v>1</v>
      </c>
      <c r="H9" s="13">
        <v>25</v>
      </c>
      <c r="I9" s="7">
        <v>5500</v>
      </c>
      <c r="J9" s="14">
        <v>5248</v>
      </c>
      <c r="K9" s="15">
        <f>L9+3226</f>
        <v>8474</v>
      </c>
      <c r="L9" s="15">
        <f>2852+2396</f>
        <v>5248</v>
      </c>
      <c r="M9" s="16">
        <f t="shared" si="0"/>
        <v>5248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0.55833333333333335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378</v>
      </c>
      <c r="F10" s="12" t="s">
        <v>189</v>
      </c>
      <c r="G10" s="12">
        <v>1</v>
      </c>
      <c r="H10" s="13">
        <v>25</v>
      </c>
      <c r="I10" s="7">
        <v>65000</v>
      </c>
      <c r="J10" s="14">
        <v>17546</v>
      </c>
      <c r="K10" s="15">
        <f>L10+18476+20620+17546</f>
        <v>56642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0.55833333333333335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337</v>
      </c>
      <c r="F11" s="12" t="s">
        <v>165</v>
      </c>
      <c r="G11" s="12">
        <v>1</v>
      </c>
      <c r="H11" s="13">
        <v>25</v>
      </c>
      <c r="I11" s="34">
        <v>6500</v>
      </c>
      <c r="J11" s="5">
        <v>5687</v>
      </c>
      <c r="K11" s="15">
        <f>L11</f>
        <v>5687</v>
      </c>
      <c r="L11" s="15">
        <f>3253+2434</f>
        <v>5687</v>
      </c>
      <c r="M11" s="16">
        <f t="shared" si="0"/>
        <v>5687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0.55833333333333335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416</v>
      </c>
      <c r="F12" s="12" t="s">
        <v>129</v>
      </c>
      <c r="G12" s="12">
        <v>1</v>
      </c>
      <c r="H12" s="13">
        <v>25</v>
      </c>
      <c r="I12" s="7">
        <v>17000</v>
      </c>
      <c r="J12" s="14">
        <v>5543</v>
      </c>
      <c r="K12" s="15">
        <f>L12</f>
        <v>5543</v>
      </c>
      <c r="L12" s="15">
        <f>2401+3142</f>
        <v>5543</v>
      </c>
      <c r="M12" s="16">
        <f t="shared" si="0"/>
        <v>5543</v>
      </c>
      <c r="N12" s="16">
        <v>0</v>
      </c>
      <c r="O12" s="62">
        <f t="shared" si="1"/>
        <v>0</v>
      </c>
      <c r="P12" s="42">
        <f t="shared" si="2"/>
        <v>23</v>
      </c>
      <c r="Q12" s="43">
        <f t="shared" si="3"/>
        <v>1</v>
      </c>
      <c r="R12" s="7"/>
      <c r="S12" s="6"/>
      <c r="T12" s="17">
        <v>1</v>
      </c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0.95833333333333337</v>
      </c>
      <c r="AD12" s="10">
        <f t="shared" si="6"/>
        <v>0.95833333333333337</v>
      </c>
      <c r="AE12" s="39">
        <f t="shared" si="7"/>
        <v>0.55833333333333335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417</v>
      </c>
      <c r="F13" s="12" t="s">
        <v>189</v>
      </c>
      <c r="G13" s="12">
        <v>1</v>
      </c>
      <c r="H13" s="13">
        <v>25</v>
      </c>
      <c r="I13" s="7">
        <v>17000</v>
      </c>
      <c r="J13" s="14">
        <v>4333</v>
      </c>
      <c r="K13" s="15">
        <f>L13</f>
        <v>4333</v>
      </c>
      <c r="L13" s="15">
        <f>1413+2920</f>
        <v>4333</v>
      </c>
      <c r="M13" s="16">
        <f t="shared" si="0"/>
        <v>4333</v>
      </c>
      <c r="N13" s="16">
        <v>0</v>
      </c>
      <c r="O13" s="62">
        <f t="shared" si="1"/>
        <v>0</v>
      </c>
      <c r="P13" s="42">
        <f t="shared" si="2"/>
        <v>21</v>
      </c>
      <c r="Q13" s="43">
        <f t="shared" si="3"/>
        <v>3</v>
      </c>
      <c r="R13" s="7"/>
      <c r="S13" s="6">
        <v>3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0.875</v>
      </c>
      <c r="AD13" s="10">
        <f t="shared" si="6"/>
        <v>0.875</v>
      </c>
      <c r="AE13" s="39">
        <f t="shared" si="7"/>
        <v>0.55833333333333335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0.55833333333333335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0.55833333333333335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114</v>
      </c>
      <c r="D16" s="55" t="s">
        <v>132</v>
      </c>
      <c r="E16" s="57" t="s">
        <v>418</v>
      </c>
      <c r="F16" s="33" t="s">
        <v>131</v>
      </c>
      <c r="G16" s="36">
        <v>1</v>
      </c>
      <c r="H16" s="38">
        <v>25</v>
      </c>
      <c r="I16" s="7">
        <v>1000</v>
      </c>
      <c r="J16" s="5">
        <v>1168</v>
      </c>
      <c r="K16" s="15">
        <f>L16</f>
        <v>1168</v>
      </c>
      <c r="L16" s="15">
        <v>1168</v>
      </c>
      <c r="M16" s="16">
        <f t="shared" si="0"/>
        <v>1168</v>
      </c>
      <c r="N16" s="16">
        <v>0</v>
      </c>
      <c r="O16" s="62">
        <f t="shared" si="1"/>
        <v>0</v>
      </c>
      <c r="P16" s="42">
        <f t="shared" si="2"/>
        <v>6</v>
      </c>
      <c r="Q16" s="43">
        <f t="shared" si="3"/>
        <v>18</v>
      </c>
      <c r="R16" s="7"/>
      <c r="S16" s="6"/>
      <c r="T16" s="17"/>
      <c r="U16" s="17"/>
      <c r="V16" s="18"/>
      <c r="W16" s="19">
        <v>18</v>
      </c>
      <c r="X16" s="17"/>
      <c r="Y16" s="20"/>
      <c r="Z16" s="20"/>
      <c r="AA16" s="21"/>
      <c r="AB16" s="8">
        <f t="shared" si="4"/>
        <v>1</v>
      </c>
      <c r="AC16" s="9">
        <f t="shared" si="5"/>
        <v>0.25</v>
      </c>
      <c r="AD16" s="10">
        <f t="shared" si="6"/>
        <v>0.25</v>
      </c>
      <c r="AE16" s="39">
        <f t="shared" si="7"/>
        <v>0.55833333333333335</v>
      </c>
      <c r="AF16" s="93">
        <f t="shared" si="8"/>
        <v>11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255</v>
      </c>
      <c r="E17" s="57" t="s">
        <v>419</v>
      </c>
      <c r="F17" s="33" t="s">
        <v>205</v>
      </c>
      <c r="G17" s="36">
        <v>1</v>
      </c>
      <c r="H17" s="38">
        <v>25</v>
      </c>
      <c r="I17" s="7">
        <v>19000</v>
      </c>
      <c r="J17" s="5">
        <v>3687</v>
      </c>
      <c r="K17" s="15">
        <f>L17</f>
        <v>3687</v>
      </c>
      <c r="L17" s="15">
        <f>723+2964</f>
        <v>3687</v>
      </c>
      <c r="M17" s="16">
        <f t="shared" ref="M17" si="9">L17-N17</f>
        <v>3687</v>
      </c>
      <c r="N17" s="16">
        <v>0</v>
      </c>
      <c r="O17" s="62">
        <f t="shared" ref="O17" si="10">IF(L17=0,"0",N17/L17)</f>
        <v>0</v>
      </c>
      <c r="P17" s="42">
        <f t="shared" ref="P17" si="11">IF(L17=0,"0",(24-Q17))</f>
        <v>17</v>
      </c>
      <c r="Q17" s="43">
        <f t="shared" ref="Q17" si="12">SUM(R17:AA17)</f>
        <v>7</v>
      </c>
      <c r="R17" s="7"/>
      <c r="S17" s="6"/>
      <c r="T17" s="17">
        <v>7</v>
      </c>
      <c r="U17" s="17"/>
      <c r="V17" s="18"/>
      <c r="W17" s="19"/>
      <c r="X17" s="17"/>
      <c r="Y17" s="20"/>
      <c r="Z17" s="20"/>
      <c r="AA17" s="21"/>
      <c r="AB17" s="8">
        <f t="shared" ref="AB17" si="13">IF(J17=0,"0",(L17/J17))</f>
        <v>1</v>
      </c>
      <c r="AC17" s="9">
        <f t="shared" ref="AC17" si="14">IF(P17=0,"0",(P17/24))</f>
        <v>0.70833333333333337</v>
      </c>
      <c r="AD17" s="10">
        <f t="shared" ref="AD17" si="15">AC17*AB17*(1-O17)</f>
        <v>0.70833333333333337</v>
      </c>
      <c r="AE17" s="39">
        <f t="shared" si="7"/>
        <v>0.55833333333333335</v>
      </c>
      <c r="AF17" s="93">
        <f t="shared" ref="AF17" si="16">A17</f>
        <v>11</v>
      </c>
    </row>
    <row r="18" spans="1:32" ht="27" customHeight="1">
      <c r="A18" s="108">
        <v>12</v>
      </c>
      <c r="B18" s="11" t="s">
        <v>57</v>
      </c>
      <c r="C18" s="11" t="s">
        <v>114</v>
      </c>
      <c r="D18" s="55" t="s">
        <v>381</v>
      </c>
      <c r="E18" s="57" t="s">
        <v>380</v>
      </c>
      <c r="F18" s="12">
        <v>8301</v>
      </c>
      <c r="G18" s="12">
        <v>1</v>
      </c>
      <c r="H18" s="13">
        <v>24</v>
      </c>
      <c r="I18" s="34">
        <v>5000</v>
      </c>
      <c r="J18" s="14">
        <v>4404</v>
      </c>
      <c r="K18" s="15">
        <f>L18</f>
        <v>4404</v>
      </c>
      <c r="L18" s="15">
        <f>1396+3008</f>
        <v>4404</v>
      </c>
      <c r="M18" s="16">
        <f t="shared" si="0"/>
        <v>4404</v>
      </c>
      <c r="N18" s="16">
        <v>0</v>
      </c>
      <c r="O18" s="62">
        <f t="shared" si="1"/>
        <v>0</v>
      </c>
      <c r="P18" s="42">
        <f t="shared" si="2"/>
        <v>20</v>
      </c>
      <c r="Q18" s="43">
        <f t="shared" si="3"/>
        <v>4</v>
      </c>
      <c r="R18" s="7"/>
      <c r="S18" s="6"/>
      <c r="T18" s="17">
        <v>4</v>
      </c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0.83333333333333337</v>
      </c>
      <c r="AD18" s="10">
        <f t="shared" si="6"/>
        <v>0.83333333333333337</v>
      </c>
      <c r="AE18" s="39">
        <f t="shared" si="7"/>
        <v>0.55833333333333335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125</v>
      </c>
      <c r="D19" s="55" t="s">
        <v>136</v>
      </c>
      <c r="E19" s="57" t="s">
        <v>422</v>
      </c>
      <c r="F19" s="12" t="s">
        <v>137</v>
      </c>
      <c r="G19" s="36">
        <v>1</v>
      </c>
      <c r="H19" s="38">
        <v>30</v>
      </c>
      <c r="I19" s="7">
        <v>16000</v>
      </c>
      <c r="J19" s="5">
        <v>4340</v>
      </c>
      <c r="K19" s="15">
        <f>L19</f>
        <v>4340</v>
      </c>
      <c r="L19" s="15">
        <f>1956+2384</f>
        <v>4340</v>
      </c>
      <c r="M19" s="16">
        <f t="shared" si="0"/>
        <v>4340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9">
        <f t="shared" si="7"/>
        <v>0.55833333333333335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114</v>
      </c>
      <c r="D20" s="55" t="s">
        <v>390</v>
      </c>
      <c r="E20" s="57" t="s">
        <v>404</v>
      </c>
      <c r="F20" s="12" t="s">
        <v>205</v>
      </c>
      <c r="G20" s="36">
        <v>2</v>
      </c>
      <c r="H20" s="38">
        <v>30</v>
      </c>
      <c r="I20" s="7">
        <v>10000</v>
      </c>
      <c r="J20" s="5">
        <v>1336</v>
      </c>
      <c r="K20" s="15">
        <f>L20+10434</f>
        <v>11770</v>
      </c>
      <c r="L20" s="15">
        <f>668*2</f>
        <v>1336</v>
      </c>
      <c r="M20" s="16">
        <f t="shared" ref="M20" si="17">L20-N20</f>
        <v>1336</v>
      </c>
      <c r="N20" s="16">
        <v>0</v>
      </c>
      <c r="O20" s="62">
        <f t="shared" ref="O20" si="18">IF(L20=0,"0",N20/L20)</f>
        <v>0</v>
      </c>
      <c r="P20" s="42">
        <f t="shared" ref="P20" si="19">IF(L20=0,"0",(24-Q20))</f>
        <v>3</v>
      </c>
      <c r="Q20" s="43">
        <f t="shared" ref="Q20" si="20">SUM(R20:AA20)</f>
        <v>21</v>
      </c>
      <c r="R20" s="7"/>
      <c r="S20" s="6"/>
      <c r="T20" s="17"/>
      <c r="U20" s="17"/>
      <c r="V20" s="18"/>
      <c r="W20" s="19">
        <v>21</v>
      </c>
      <c r="X20" s="17"/>
      <c r="Y20" s="20"/>
      <c r="Z20" s="20"/>
      <c r="AA20" s="21"/>
      <c r="AB20" s="8">
        <f t="shared" ref="AB20" si="21">IF(J20=0,"0",(L20/J20))</f>
        <v>1</v>
      </c>
      <c r="AC20" s="9">
        <f t="shared" ref="AC20" si="22">IF(P20=0,"0",(P20/24))</f>
        <v>0.125</v>
      </c>
      <c r="AD20" s="10">
        <f t="shared" ref="AD20" si="23">AC20*AB20*(1-O20)</f>
        <v>0.125</v>
      </c>
      <c r="AE20" s="39">
        <f t="shared" si="7"/>
        <v>0.55833333333333335</v>
      </c>
      <c r="AF20" s="93">
        <f t="shared" ref="AF20" si="24">A20</f>
        <v>14</v>
      </c>
    </row>
    <row r="21" spans="1:32" ht="27" customHeight="1">
      <c r="A21" s="109">
        <v>14</v>
      </c>
      <c r="B21" s="11" t="s">
        <v>57</v>
      </c>
      <c r="C21" s="37" t="s">
        <v>125</v>
      </c>
      <c r="D21" s="55" t="s">
        <v>138</v>
      </c>
      <c r="E21" s="57" t="s">
        <v>397</v>
      </c>
      <c r="F21" s="12">
        <v>7301</v>
      </c>
      <c r="G21" s="36">
        <v>1</v>
      </c>
      <c r="H21" s="38">
        <v>30</v>
      </c>
      <c r="I21" s="7">
        <v>5000</v>
      </c>
      <c r="J21" s="5">
        <v>4420</v>
      </c>
      <c r="K21" s="15">
        <f>L21</f>
        <v>4420</v>
      </c>
      <c r="L21" s="15">
        <f>1580+2840</f>
        <v>4420</v>
      </c>
      <c r="M21" s="16">
        <f t="shared" si="0"/>
        <v>4420</v>
      </c>
      <c r="N21" s="16">
        <v>0</v>
      </c>
      <c r="O21" s="62">
        <f t="shared" si="1"/>
        <v>0</v>
      </c>
      <c r="P21" s="42">
        <f t="shared" si="2"/>
        <v>18</v>
      </c>
      <c r="Q21" s="43">
        <f t="shared" si="3"/>
        <v>6</v>
      </c>
      <c r="R21" s="7"/>
      <c r="S21" s="6">
        <v>2</v>
      </c>
      <c r="T21" s="17">
        <v>4</v>
      </c>
      <c r="U21" s="17"/>
      <c r="V21" s="18"/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0.75</v>
      </c>
      <c r="AD21" s="10">
        <f t="shared" si="6"/>
        <v>0.75</v>
      </c>
      <c r="AE21" s="39">
        <f t="shared" si="7"/>
        <v>0.55833333333333335</v>
      </c>
      <c r="AF21" s="93">
        <f t="shared" si="8"/>
        <v>14</v>
      </c>
    </row>
    <row r="22" spans="1:32" ht="27" customHeight="1" thickBot="1">
      <c r="A22" s="109">
        <v>15</v>
      </c>
      <c r="B22" s="11" t="s">
        <v>57</v>
      </c>
      <c r="C22" s="11" t="s">
        <v>121</v>
      </c>
      <c r="D22" s="55"/>
      <c r="E22" s="56" t="s">
        <v>236</v>
      </c>
      <c r="F22" s="12" t="s">
        <v>122</v>
      </c>
      <c r="G22" s="12">
        <v>4</v>
      </c>
      <c r="H22" s="38">
        <v>20</v>
      </c>
      <c r="I22" s="7">
        <v>300000</v>
      </c>
      <c r="J22" s="14">
        <v>4524</v>
      </c>
      <c r="K22" s="15">
        <f>L22+20068+24564+48544+43996+30716+19196+21560+23324+19612+4524</f>
        <v>256104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0.55833333333333335</v>
      </c>
      <c r="AF22" s="93">
        <f t="shared" si="8"/>
        <v>15</v>
      </c>
    </row>
    <row r="23" spans="1:32" ht="31.5" customHeight="1" thickBot="1">
      <c r="A23" s="397" t="s">
        <v>34</v>
      </c>
      <c r="B23" s="398"/>
      <c r="C23" s="398"/>
      <c r="D23" s="398"/>
      <c r="E23" s="398"/>
      <c r="F23" s="398"/>
      <c r="G23" s="398"/>
      <c r="H23" s="399"/>
      <c r="I23" s="25">
        <f t="shared" ref="I23:N23" si="25">SUM(I6:I22)</f>
        <v>720250</v>
      </c>
      <c r="J23" s="22">
        <f t="shared" si="25"/>
        <v>113031</v>
      </c>
      <c r="K23" s="23">
        <f t="shared" si="25"/>
        <v>577137</v>
      </c>
      <c r="L23" s="24">
        <f t="shared" si="25"/>
        <v>51948</v>
      </c>
      <c r="M23" s="23">
        <f t="shared" si="25"/>
        <v>51948</v>
      </c>
      <c r="N23" s="24">
        <f t="shared" si="25"/>
        <v>0</v>
      </c>
      <c r="O23" s="44">
        <f t="shared" si="1"/>
        <v>0</v>
      </c>
      <c r="P23" s="45">
        <f t="shared" ref="P23:AA23" si="26">SUM(P6:P22)</f>
        <v>201</v>
      </c>
      <c r="Q23" s="46">
        <f t="shared" si="26"/>
        <v>207</v>
      </c>
      <c r="R23" s="26">
        <f t="shared" si="26"/>
        <v>48</v>
      </c>
      <c r="S23" s="27">
        <f t="shared" si="26"/>
        <v>32</v>
      </c>
      <c r="T23" s="27">
        <f t="shared" si="26"/>
        <v>16</v>
      </c>
      <c r="U23" s="27">
        <f t="shared" si="26"/>
        <v>0</v>
      </c>
      <c r="V23" s="28">
        <f t="shared" si="26"/>
        <v>0</v>
      </c>
      <c r="W23" s="29">
        <f t="shared" si="26"/>
        <v>111</v>
      </c>
      <c r="X23" s="30">
        <f t="shared" si="26"/>
        <v>0</v>
      </c>
      <c r="Y23" s="30">
        <f t="shared" si="26"/>
        <v>0</v>
      </c>
      <c r="Z23" s="30">
        <f t="shared" si="26"/>
        <v>0</v>
      </c>
      <c r="AA23" s="30">
        <f t="shared" si="26"/>
        <v>0</v>
      </c>
      <c r="AB23" s="31">
        <f>SUM(AB6:AB22)/15</f>
        <v>0.73333333333333328</v>
      </c>
      <c r="AC23" s="4">
        <f>SUM(AC6:AC22)/15</f>
        <v>0.55833333333333335</v>
      </c>
      <c r="AD23" s="4">
        <f>SUM(AD6:AD22)/15</f>
        <v>0.55833333333333335</v>
      </c>
      <c r="AE23" s="32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1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94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27">
      <c r="A40" s="63"/>
      <c r="B40" s="63"/>
      <c r="C40" s="63"/>
      <c r="D40" s="63"/>
      <c r="E40" s="63"/>
      <c r="F40" s="64"/>
      <c r="G40" s="64"/>
      <c r="H40" s="65"/>
      <c r="I40" s="65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F40" s="53"/>
    </row>
    <row r="41" spans="1:32" ht="29.25" customHeight="1">
      <c r="A41" s="66"/>
      <c r="B41" s="66"/>
      <c r="C41" s="67"/>
      <c r="D41" s="67"/>
      <c r="E41" s="67"/>
      <c r="F41" s="66"/>
      <c r="G41" s="66"/>
      <c r="H41" s="66"/>
      <c r="I41" s="66"/>
      <c r="J41" s="66"/>
      <c r="K41" s="66"/>
      <c r="L41" s="66"/>
      <c r="M41" s="67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36" thickBot="1">
      <c r="A50" s="400" t="s">
        <v>45</v>
      </c>
      <c r="B50" s="400"/>
      <c r="C50" s="400"/>
      <c r="D50" s="400"/>
      <c r="E50" s="400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26.25" thickBot="1">
      <c r="A51" s="401" t="s">
        <v>429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3"/>
      <c r="N51" s="404" t="s">
        <v>430</v>
      </c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  <c r="AD51" s="406"/>
    </row>
    <row r="52" spans="1:32" ht="27" customHeight="1">
      <c r="A52" s="407" t="s">
        <v>2</v>
      </c>
      <c r="B52" s="408"/>
      <c r="C52" s="312" t="s">
        <v>46</v>
      </c>
      <c r="D52" s="312" t="s">
        <v>47</v>
      </c>
      <c r="E52" s="312" t="s">
        <v>108</v>
      </c>
      <c r="F52" s="408" t="s">
        <v>107</v>
      </c>
      <c r="G52" s="408"/>
      <c r="H52" s="408"/>
      <c r="I52" s="408"/>
      <c r="J52" s="408"/>
      <c r="K52" s="408"/>
      <c r="L52" s="408"/>
      <c r="M52" s="409"/>
      <c r="N52" s="73" t="s">
        <v>112</v>
      </c>
      <c r="O52" s="312" t="s">
        <v>46</v>
      </c>
      <c r="P52" s="410" t="s">
        <v>47</v>
      </c>
      <c r="Q52" s="411"/>
      <c r="R52" s="410" t="s">
        <v>38</v>
      </c>
      <c r="S52" s="412"/>
      <c r="T52" s="412"/>
      <c r="U52" s="411"/>
      <c r="V52" s="410" t="s">
        <v>48</v>
      </c>
      <c r="W52" s="412"/>
      <c r="X52" s="412"/>
      <c r="Y52" s="412"/>
      <c r="Z52" s="412"/>
      <c r="AA52" s="412"/>
      <c r="AB52" s="412"/>
      <c r="AC52" s="412"/>
      <c r="AD52" s="413"/>
    </row>
    <row r="53" spans="1:32" ht="27" customHeight="1">
      <c r="A53" s="384" t="s">
        <v>150</v>
      </c>
      <c r="B53" s="385"/>
      <c r="C53" s="309" t="s">
        <v>216</v>
      </c>
      <c r="D53" s="309" t="s">
        <v>136</v>
      </c>
      <c r="E53" s="309" t="s">
        <v>337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308"/>
      <c r="O53" s="12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309" t="s">
        <v>174</v>
      </c>
      <c r="D54" s="309" t="s">
        <v>132</v>
      </c>
      <c r="E54" s="309" t="s">
        <v>416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308"/>
      <c r="O54" s="124"/>
      <c r="P54" s="393"/>
      <c r="Q54" s="394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125</v>
      </c>
      <c r="B55" s="385"/>
      <c r="C55" s="309" t="s">
        <v>144</v>
      </c>
      <c r="D55" s="309" t="s">
        <v>123</v>
      </c>
      <c r="E55" s="309" t="s">
        <v>417</v>
      </c>
      <c r="F55" s="376" t="s">
        <v>395</v>
      </c>
      <c r="G55" s="376"/>
      <c r="H55" s="376"/>
      <c r="I55" s="376"/>
      <c r="J55" s="376"/>
      <c r="K55" s="376"/>
      <c r="L55" s="376"/>
      <c r="M55" s="386"/>
      <c r="N55" s="308"/>
      <c r="O55" s="124"/>
      <c r="P55" s="393"/>
      <c r="Q55" s="394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309" t="s">
        <v>191</v>
      </c>
      <c r="D56" s="309" t="s">
        <v>132</v>
      </c>
      <c r="E56" s="309" t="s">
        <v>418</v>
      </c>
      <c r="F56" s="376" t="s">
        <v>130</v>
      </c>
      <c r="G56" s="376"/>
      <c r="H56" s="376"/>
      <c r="I56" s="376"/>
      <c r="J56" s="376"/>
      <c r="K56" s="376"/>
      <c r="L56" s="376"/>
      <c r="M56" s="386"/>
      <c r="N56" s="308"/>
      <c r="O56" s="12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125</v>
      </c>
      <c r="B57" s="385"/>
      <c r="C57" s="309" t="s">
        <v>191</v>
      </c>
      <c r="D57" s="309" t="s">
        <v>255</v>
      </c>
      <c r="E57" s="309" t="s">
        <v>419</v>
      </c>
      <c r="F57" s="376" t="s">
        <v>130</v>
      </c>
      <c r="G57" s="376"/>
      <c r="H57" s="376"/>
      <c r="I57" s="376"/>
      <c r="J57" s="376"/>
      <c r="K57" s="376"/>
      <c r="L57" s="376"/>
      <c r="M57" s="386"/>
      <c r="N57" s="308"/>
      <c r="O57" s="124"/>
      <c r="P57" s="385"/>
      <c r="Q57" s="385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114</v>
      </c>
      <c r="B58" s="385"/>
      <c r="C58" s="309" t="s">
        <v>181</v>
      </c>
      <c r="D58" s="309" t="s">
        <v>381</v>
      </c>
      <c r="E58" s="309" t="s">
        <v>420</v>
      </c>
      <c r="F58" s="376" t="s">
        <v>130</v>
      </c>
      <c r="G58" s="376"/>
      <c r="H58" s="376"/>
      <c r="I58" s="376"/>
      <c r="J58" s="376"/>
      <c r="K58" s="376"/>
      <c r="L58" s="376"/>
      <c r="M58" s="386"/>
      <c r="N58" s="308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 t="s">
        <v>125</v>
      </c>
      <c r="B59" s="385"/>
      <c r="C59" s="309" t="s">
        <v>195</v>
      </c>
      <c r="D59" s="309" t="s">
        <v>136</v>
      </c>
      <c r="E59" s="309" t="s">
        <v>422</v>
      </c>
      <c r="F59" s="376" t="s">
        <v>239</v>
      </c>
      <c r="G59" s="376"/>
      <c r="H59" s="376"/>
      <c r="I59" s="376"/>
      <c r="J59" s="376"/>
      <c r="K59" s="376"/>
      <c r="L59" s="376"/>
      <c r="M59" s="386"/>
      <c r="N59" s="308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 t="s">
        <v>125</v>
      </c>
      <c r="B60" s="385"/>
      <c r="C60" s="309" t="s">
        <v>145</v>
      </c>
      <c r="D60" s="309" t="s">
        <v>138</v>
      </c>
      <c r="E60" s="309" t="s">
        <v>397</v>
      </c>
      <c r="F60" s="376" t="s">
        <v>239</v>
      </c>
      <c r="G60" s="376"/>
      <c r="H60" s="376"/>
      <c r="I60" s="376"/>
      <c r="J60" s="376"/>
      <c r="K60" s="376"/>
      <c r="L60" s="376"/>
      <c r="M60" s="386"/>
      <c r="N60" s="308"/>
      <c r="O60" s="124"/>
      <c r="P60" s="393"/>
      <c r="Q60" s="394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</row>
    <row r="61" spans="1:32" ht="27" customHeight="1">
      <c r="A61" s="384"/>
      <c r="B61" s="385"/>
      <c r="C61" s="309"/>
      <c r="D61" s="309"/>
      <c r="E61" s="309"/>
      <c r="F61" s="376"/>
      <c r="G61" s="376"/>
      <c r="H61" s="376"/>
      <c r="I61" s="376"/>
      <c r="J61" s="376"/>
      <c r="K61" s="376"/>
      <c r="L61" s="376"/>
      <c r="M61" s="386"/>
      <c r="N61" s="308"/>
      <c r="O61" s="124"/>
      <c r="P61" s="385"/>
      <c r="Q61" s="385"/>
      <c r="R61" s="385"/>
      <c r="S61" s="385"/>
      <c r="T61" s="385"/>
      <c r="U61" s="385"/>
      <c r="V61" s="376"/>
      <c r="W61" s="376"/>
      <c r="X61" s="376"/>
      <c r="Y61" s="376"/>
      <c r="Z61" s="376"/>
      <c r="AA61" s="376"/>
      <c r="AB61" s="376"/>
      <c r="AC61" s="376"/>
      <c r="AD61" s="386"/>
      <c r="AF61" s="93">
        <f>8*3000</f>
        <v>24000</v>
      </c>
    </row>
    <row r="62" spans="1:32" ht="27" customHeight="1" thickBot="1">
      <c r="A62" s="387"/>
      <c r="B62" s="388"/>
      <c r="C62" s="311"/>
      <c r="D62" s="311"/>
      <c r="E62" s="311"/>
      <c r="F62" s="389"/>
      <c r="G62" s="389"/>
      <c r="H62" s="389"/>
      <c r="I62" s="389"/>
      <c r="J62" s="389"/>
      <c r="K62" s="389"/>
      <c r="L62" s="389"/>
      <c r="M62" s="390"/>
      <c r="N62" s="310"/>
      <c r="O62" s="120"/>
      <c r="P62" s="388"/>
      <c r="Q62" s="388"/>
      <c r="R62" s="388"/>
      <c r="S62" s="388"/>
      <c r="T62" s="388"/>
      <c r="U62" s="388"/>
      <c r="V62" s="391"/>
      <c r="W62" s="391"/>
      <c r="X62" s="391"/>
      <c r="Y62" s="391"/>
      <c r="Z62" s="391"/>
      <c r="AA62" s="391"/>
      <c r="AB62" s="391"/>
      <c r="AC62" s="391"/>
      <c r="AD62" s="392"/>
      <c r="AF62" s="93">
        <f>16*3000</f>
        <v>48000</v>
      </c>
    </row>
    <row r="63" spans="1:32" ht="27.75" thickBot="1">
      <c r="A63" s="382" t="s">
        <v>431</v>
      </c>
      <c r="B63" s="382"/>
      <c r="C63" s="382"/>
      <c r="D63" s="382"/>
      <c r="E63" s="382"/>
      <c r="F63" s="40"/>
      <c r="G63" s="40"/>
      <c r="H63" s="41"/>
      <c r="I63" s="4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F63" s="93">
        <v>24000</v>
      </c>
    </row>
    <row r="64" spans="1:32" ht="29.25" customHeight="1" thickBot="1">
      <c r="A64" s="383" t="s">
        <v>113</v>
      </c>
      <c r="B64" s="380"/>
      <c r="C64" s="307" t="s">
        <v>2</v>
      </c>
      <c r="D64" s="307" t="s">
        <v>37</v>
      </c>
      <c r="E64" s="307" t="s">
        <v>3</v>
      </c>
      <c r="F64" s="380" t="s">
        <v>110</v>
      </c>
      <c r="G64" s="380"/>
      <c r="H64" s="380"/>
      <c r="I64" s="380"/>
      <c r="J64" s="380"/>
      <c r="K64" s="380" t="s">
        <v>39</v>
      </c>
      <c r="L64" s="380"/>
      <c r="M64" s="307" t="s">
        <v>40</v>
      </c>
      <c r="N64" s="380" t="s">
        <v>41</v>
      </c>
      <c r="O64" s="380"/>
      <c r="P64" s="377" t="s">
        <v>42</v>
      </c>
      <c r="Q64" s="379"/>
      <c r="R64" s="377" t="s">
        <v>43</v>
      </c>
      <c r="S64" s="378"/>
      <c r="T64" s="378"/>
      <c r="U64" s="378"/>
      <c r="V64" s="378"/>
      <c r="W64" s="378"/>
      <c r="X64" s="378"/>
      <c r="Y64" s="378"/>
      <c r="Z64" s="378"/>
      <c r="AA64" s="379"/>
      <c r="AB64" s="380" t="s">
        <v>44</v>
      </c>
      <c r="AC64" s="380"/>
      <c r="AD64" s="381"/>
      <c r="AF64" s="93">
        <f>SUM(AF61:AF63)</f>
        <v>96000</v>
      </c>
    </row>
    <row r="65" spans="1:32" ht="25.5" customHeight="1">
      <c r="A65" s="372">
        <v>1</v>
      </c>
      <c r="B65" s="373"/>
      <c r="C65" s="123"/>
      <c r="D65" s="303"/>
      <c r="E65" s="306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2</v>
      </c>
      <c r="B66" s="373"/>
      <c r="C66" s="123"/>
      <c r="D66" s="303"/>
      <c r="E66" s="306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3</v>
      </c>
      <c r="B67" s="373"/>
      <c r="C67" s="123"/>
      <c r="D67" s="303"/>
      <c r="E67" s="306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4</v>
      </c>
      <c r="B68" s="373"/>
      <c r="C68" s="123"/>
      <c r="D68" s="303"/>
      <c r="E68" s="306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5</v>
      </c>
      <c r="B69" s="373"/>
      <c r="C69" s="123"/>
      <c r="D69" s="303"/>
      <c r="E69" s="306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6</v>
      </c>
      <c r="B70" s="373"/>
      <c r="C70" s="123"/>
      <c r="D70" s="303"/>
      <c r="E70" s="306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7</v>
      </c>
      <c r="B71" s="373"/>
      <c r="C71" s="123"/>
      <c r="D71" s="303"/>
      <c r="E71" s="306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5.5" customHeight="1">
      <c r="A72" s="372">
        <v>8</v>
      </c>
      <c r="B72" s="373"/>
      <c r="C72" s="123"/>
      <c r="D72" s="303"/>
      <c r="E72" s="306"/>
      <c r="F72" s="374"/>
      <c r="G72" s="366"/>
      <c r="H72" s="366"/>
      <c r="I72" s="366"/>
      <c r="J72" s="366"/>
      <c r="K72" s="366"/>
      <c r="L72" s="366"/>
      <c r="M72" s="54"/>
      <c r="N72" s="366"/>
      <c r="O72" s="366"/>
      <c r="P72" s="375"/>
      <c r="Q72" s="375"/>
      <c r="R72" s="376"/>
      <c r="S72" s="376"/>
      <c r="T72" s="376"/>
      <c r="U72" s="376"/>
      <c r="V72" s="376"/>
      <c r="W72" s="376"/>
      <c r="X72" s="376"/>
      <c r="Y72" s="376"/>
      <c r="Z72" s="376"/>
      <c r="AA72" s="376"/>
      <c r="AB72" s="366"/>
      <c r="AC72" s="366"/>
      <c r="AD72" s="367"/>
      <c r="AF72" s="53"/>
    </row>
    <row r="73" spans="1:32" ht="26.25" customHeight="1" thickBot="1">
      <c r="A73" s="346" t="s">
        <v>432</v>
      </c>
      <c r="B73" s="346"/>
      <c r="C73" s="346"/>
      <c r="D73" s="346"/>
      <c r="E73" s="346"/>
      <c r="F73" s="40"/>
      <c r="G73" s="40"/>
      <c r="H73" s="41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F73" s="53"/>
    </row>
    <row r="74" spans="1:32" ht="23.25" thickBot="1">
      <c r="A74" s="347" t="s">
        <v>113</v>
      </c>
      <c r="B74" s="348"/>
      <c r="C74" s="305" t="s">
        <v>2</v>
      </c>
      <c r="D74" s="305" t="s">
        <v>37</v>
      </c>
      <c r="E74" s="305" t="s">
        <v>3</v>
      </c>
      <c r="F74" s="348" t="s">
        <v>38</v>
      </c>
      <c r="G74" s="348"/>
      <c r="H74" s="348"/>
      <c r="I74" s="348"/>
      <c r="J74" s="348"/>
      <c r="K74" s="368" t="s">
        <v>58</v>
      </c>
      <c r="L74" s="369"/>
      <c r="M74" s="369"/>
      <c r="N74" s="369"/>
      <c r="O74" s="369"/>
      <c r="P74" s="369"/>
      <c r="Q74" s="369"/>
      <c r="R74" s="369"/>
      <c r="S74" s="370"/>
      <c r="T74" s="348" t="s">
        <v>49</v>
      </c>
      <c r="U74" s="348"/>
      <c r="V74" s="368" t="s">
        <v>50</v>
      </c>
      <c r="W74" s="370"/>
      <c r="X74" s="369" t="s">
        <v>51</v>
      </c>
      <c r="Y74" s="369"/>
      <c r="Z74" s="369"/>
      <c r="AA74" s="369"/>
      <c r="AB74" s="369"/>
      <c r="AC74" s="369"/>
      <c r="AD74" s="371"/>
      <c r="AF74" s="53"/>
    </row>
    <row r="75" spans="1:32" ht="33.75" customHeight="1">
      <c r="A75" s="340">
        <v>1</v>
      </c>
      <c r="B75" s="341"/>
      <c r="C75" s="304" t="s">
        <v>114</v>
      </c>
      <c r="D75" s="304"/>
      <c r="E75" s="71" t="s">
        <v>119</v>
      </c>
      <c r="F75" s="355" t="s">
        <v>120</v>
      </c>
      <c r="G75" s="356"/>
      <c r="H75" s="356"/>
      <c r="I75" s="356"/>
      <c r="J75" s="357"/>
      <c r="K75" s="358" t="s">
        <v>115</v>
      </c>
      <c r="L75" s="359"/>
      <c r="M75" s="359"/>
      <c r="N75" s="359"/>
      <c r="O75" s="359"/>
      <c r="P75" s="359"/>
      <c r="Q75" s="359"/>
      <c r="R75" s="359"/>
      <c r="S75" s="360"/>
      <c r="T75" s="361">
        <v>42901</v>
      </c>
      <c r="U75" s="362"/>
      <c r="V75" s="363"/>
      <c r="W75" s="363"/>
      <c r="X75" s="364"/>
      <c r="Y75" s="364"/>
      <c r="Z75" s="364"/>
      <c r="AA75" s="364"/>
      <c r="AB75" s="364"/>
      <c r="AC75" s="364"/>
      <c r="AD75" s="365"/>
      <c r="AF75" s="53"/>
    </row>
    <row r="76" spans="1:32" ht="30" customHeight="1">
      <c r="A76" s="333">
        <f>A75+1</f>
        <v>2</v>
      </c>
      <c r="B76" s="334"/>
      <c r="C76" s="303" t="s">
        <v>114</v>
      </c>
      <c r="D76" s="303"/>
      <c r="E76" s="35" t="s">
        <v>116</v>
      </c>
      <c r="F76" s="334" t="s">
        <v>117</v>
      </c>
      <c r="G76" s="334"/>
      <c r="H76" s="334"/>
      <c r="I76" s="334"/>
      <c r="J76" s="334"/>
      <c r="K76" s="349" t="s">
        <v>118</v>
      </c>
      <c r="L76" s="350"/>
      <c r="M76" s="350"/>
      <c r="N76" s="350"/>
      <c r="O76" s="350"/>
      <c r="P76" s="350"/>
      <c r="Q76" s="350"/>
      <c r="R76" s="350"/>
      <c r="S76" s="351"/>
      <c r="T76" s="352">
        <v>42867</v>
      </c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ref="A77:A83" si="27">A76+1</f>
        <v>3</v>
      </c>
      <c r="B77" s="334"/>
      <c r="C77" s="303"/>
      <c r="D77" s="303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27"/>
        <v>4</v>
      </c>
      <c r="B78" s="334"/>
      <c r="C78" s="303"/>
      <c r="D78" s="303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27"/>
        <v>5</v>
      </c>
      <c r="B79" s="334"/>
      <c r="C79" s="303"/>
      <c r="D79" s="303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27"/>
        <v>6</v>
      </c>
      <c r="B80" s="334"/>
      <c r="C80" s="303"/>
      <c r="D80" s="303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27"/>
        <v>7</v>
      </c>
      <c r="B81" s="334"/>
      <c r="C81" s="303"/>
      <c r="D81" s="303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27"/>
        <v>8</v>
      </c>
      <c r="B82" s="334"/>
      <c r="C82" s="303"/>
      <c r="D82" s="303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0" customHeight="1">
      <c r="A83" s="333">
        <f t="shared" si="27"/>
        <v>9</v>
      </c>
      <c r="B83" s="334"/>
      <c r="C83" s="303"/>
      <c r="D83" s="303"/>
      <c r="E83" s="35"/>
      <c r="F83" s="334"/>
      <c r="G83" s="334"/>
      <c r="H83" s="334"/>
      <c r="I83" s="334"/>
      <c r="J83" s="334"/>
      <c r="K83" s="349"/>
      <c r="L83" s="350"/>
      <c r="M83" s="350"/>
      <c r="N83" s="350"/>
      <c r="O83" s="350"/>
      <c r="P83" s="350"/>
      <c r="Q83" s="350"/>
      <c r="R83" s="350"/>
      <c r="S83" s="351"/>
      <c r="T83" s="352"/>
      <c r="U83" s="352"/>
      <c r="V83" s="352"/>
      <c r="W83" s="352"/>
      <c r="X83" s="353"/>
      <c r="Y83" s="353"/>
      <c r="Z83" s="353"/>
      <c r="AA83" s="353"/>
      <c r="AB83" s="353"/>
      <c r="AC83" s="353"/>
      <c r="AD83" s="354"/>
      <c r="AF83" s="53"/>
    </row>
    <row r="84" spans="1:32" ht="36" thickBot="1">
      <c r="A84" s="346" t="s">
        <v>433</v>
      </c>
      <c r="B84" s="346"/>
      <c r="C84" s="346"/>
      <c r="D84" s="346"/>
      <c r="E84" s="346"/>
      <c r="F84" s="40"/>
      <c r="G84" s="40"/>
      <c r="H84" s="41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F84" s="53"/>
    </row>
    <row r="85" spans="1:32" ht="30.75" customHeight="1" thickBot="1">
      <c r="A85" s="347" t="s">
        <v>113</v>
      </c>
      <c r="B85" s="348"/>
      <c r="C85" s="338" t="s">
        <v>52</v>
      </c>
      <c r="D85" s="338"/>
      <c r="E85" s="338" t="s">
        <v>53</v>
      </c>
      <c r="F85" s="338"/>
      <c r="G85" s="338"/>
      <c r="H85" s="338"/>
      <c r="I85" s="338"/>
      <c r="J85" s="338"/>
      <c r="K85" s="338" t="s">
        <v>54</v>
      </c>
      <c r="L85" s="338"/>
      <c r="M85" s="338"/>
      <c r="N85" s="338"/>
      <c r="O85" s="338"/>
      <c r="P85" s="338"/>
      <c r="Q85" s="338"/>
      <c r="R85" s="338"/>
      <c r="S85" s="338"/>
      <c r="T85" s="338" t="s">
        <v>55</v>
      </c>
      <c r="U85" s="338"/>
      <c r="V85" s="338" t="s">
        <v>56</v>
      </c>
      <c r="W85" s="338"/>
      <c r="X85" s="338"/>
      <c r="Y85" s="338" t="s">
        <v>51</v>
      </c>
      <c r="Z85" s="338"/>
      <c r="AA85" s="338"/>
      <c r="AB85" s="338"/>
      <c r="AC85" s="338"/>
      <c r="AD85" s="339"/>
      <c r="AF85" s="53"/>
    </row>
    <row r="86" spans="1:32" ht="30.75" customHeight="1">
      <c r="A86" s="340">
        <v>1</v>
      </c>
      <c r="B86" s="341"/>
      <c r="C86" s="342">
        <v>9</v>
      </c>
      <c r="D86" s="342"/>
      <c r="E86" s="342" t="s">
        <v>157</v>
      </c>
      <c r="F86" s="342"/>
      <c r="G86" s="342"/>
      <c r="H86" s="342"/>
      <c r="I86" s="342"/>
      <c r="J86" s="342"/>
      <c r="K86" s="342" t="s">
        <v>158</v>
      </c>
      <c r="L86" s="342"/>
      <c r="M86" s="342"/>
      <c r="N86" s="342"/>
      <c r="O86" s="342"/>
      <c r="P86" s="342"/>
      <c r="Q86" s="342"/>
      <c r="R86" s="342"/>
      <c r="S86" s="342"/>
      <c r="T86" s="342" t="s">
        <v>159</v>
      </c>
      <c r="U86" s="342"/>
      <c r="V86" s="343">
        <v>11307000</v>
      </c>
      <c r="W86" s="343"/>
      <c r="X86" s="343"/>
      <c r="Y86" s="344"/>
      <c r="Z86" s="344"/>
      <c r="AA86" s="344"/>
      <c r="AB86" s="344"/>
      <c r="AC86" s="344"/>
      <c r="AD86" s="345"/>
      <c r="AF86" s="53"/>
    </row>
    <row r="87" spans="1:32" ht="30.75" customHeight="1">
      <c r="A87" s="333">
        <v>2</v>
      </c>
      <c r="B87" s="334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6"/>
      <c r="U87" s="336"/>
      <c r="V87" s="337"/>
      <c r="W87" s="337"/>
      <c r="X87" s="337"/>
      <c r="Y87" s="326"/>
      <c r="Z87" s="326"/>
      <c r="AA87" s="326"/>
      <c r="AB87" s="326"/>
      <c r="AC87" s="326"/>
      <c r="AD87" s="327"/>
      <c r="AF87" s="53"/>
    </row>
    <row r="88" spans="1:32" ht="30.75" customHeight="1" thickBot="1">
      <c r="A88" s="328">
        <v>3</v>
      </c>
      <c r="B88" s="329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1"/>
      <c r="Z88" s="331"/>
      <c r="AA88" s="331"/>
      <c r="AB88" s="331"/>
      <c r="AC88" s="331"/>
      <c r="AD88" s="332"/>
      <c r="AF88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2CFA-7B63-4B9C-9408-2919052B48A7}">
  <sheetPr>
    <pageSetUpPr fitToPage="1"/>
  </sheetPr>
  <dimension ref="A1:AF86"/>
  <sheetViews>
    <sheetView zoomScale="72" zoomScaleNormal="72" zoomScaleSheetLayoutView="70" workbookViewId="0">
      <selection activeCell="U11" sqref="U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173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0.38051643192488266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0.38051643192488266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150</v>
      </c>
      <c r="D8" s="55" t="s">
        <v>132</v>
      </c>
      <c r="E8" s="57" t="s">
        <v>161</v>
      </c>
      <c r="F8" s="33" t="s">
        <v>131</v>
      </c>
      <c r="G8" s="36">
        <v>1</v>
      </c>
      <c r="H8" s="38">
        <v>25</v>
      </c>
      <c r="I8" s="7">
        <v>25000</v>
      </c>
      <c r="J8" s="5">
        <v>5126</v>
      </c>
      <c r="K8" s="15">
        <f>L8+4360+4180+3188+4010+6004</f>
        <v>26868</v>
      </c>
      <c r="L8" s="15">
        <f>3591+1535</f>
        <v>5126</v>
      </c>
      <c r="M8" s="16">
        <f t="shared" si="0"/>
        <v>5126</v>
      </c>
      <c r="N8" s="16">
        <v>0</v>
      </c>
      <c r="O8" s="62">
        <f t="shared" si="1"/>
        <v>0</v>
      </c>
      <c r="P8" s="42">
        <f t="shared" si="2"/>
        <v>21</v>
      </c>
      <c r="Q8" s="43">
        <f t="shared" si="3"/>
        <v>3</v>
      </c>
      <c r="R8" s="7"/>
      <c r="S8" s="6">
        <v>3</v>
      </c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0.875</v>
      </c>
      <c r="AD8" s="10">
        <f t="shared" si="6"/>
        <v>0.875</v>
      </c>
      <c r="AE8" s="39">
        <f t="shared" si="7"/>
        <v>0.38051643192488266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168</v>
      </c>
      <c r="F9" s="12" t="s">
        <v>147</v>
      </c>
      <c r="G9" s="12">
        <v>1</v>
      </c>
      <c r="H9" s="13">
        <v>25</v>
      </c>
      <c r="I9" s="7">
        <v>500</v>
      </c>
      <c r="J9" s="14">
        <v>640</v>
      </c>
      <c r="K9" s="15">
        <f>L9</f>
        <v>640</v>
      </c>
      <c r="L9" s="15">
        <f>640</f>
        <v>640</v>
      </c>
      <c r="M9" s="16">
        <f t="shared" si="0"/>
        <v>640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0.38051643192488266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114</v>
      </c>
      <c r="D10" s="55" t="s">
        <v>149</v>
      </c>
      <c r="E10" s="57" t="s">
        <v>170</v>
      </c>
      <c r="F10" s="12" t="s">
        <v>137</v>
      </c>
      <c r="G10" s="12">
        <v>1</v>
      </c>
      <c r="H10" s="13">
        <v>25</v>
      </c>
      <c r="I10" s="7">
        <v>9000</v>
      </c>
      <c r="J10" s="14">
        <v>903</v>
      </c>
      <c r="K10" s="15">
        <f>L10+903</f>
        <v>903</v>
      </c>
      <c r="L10" s="15"/>
      <c r="M10" s="16">
        <f t="shared" ref="M10" si="9">L10-N10</f>
        <v>0</v>
      </c>
      <c r="N10" s="16">
        <v>0</v>
      </c>
      <c r="O10" s="62" t="str">
        <f t="shared" ref="O10" si="10">IF(L10=0,"0",N10/L10)</f>
        <v>0</v>
      </c>
      <c r="P10" s="42" t="str">
        <f t="shared" ref="P10" si="11">IF(L10=0,"0",(24-Q10))</f>
        <v>0</v>
      </c>
      <c r="Q10" s="43">
        <f t="shared" ref="Q10" si="12">SUM(R10:AA10)</f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ref="AB10" si="13">IF(J10=0,"0",(L10/J10))</f>
        <v>0</v>
      </c>
      <c r="AC10" s="9">
        <f t="shared" ref="AC10" si="14">IF(P10=0,"0",(P10/24))</f>
        <v>0</v>
      </c>
      <c r="AD10" s="10">
        <f t="shared" ref="AD10" si="15">AC10*AB10*(1-O10)</f>
        <v>0</v>
      </c>
      <c r="AE10" s="39">
        <f t="shared" si="7"/>
        <v>0.38051643192488266</v>
      </c>
      <c r="AF10" s="93">
        <f t="shared" ref="AF10" si="16">A10</f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164</v>
      </c>
      <c r="F11" s="12" t="s">
        <v>165</v>
      </c>
      <c r="G11" s="12">
        <v>1</v>
      </c>
      <c r="H11" s="13">
        <v>25</v>
      </c>
      <c r="I11" s="34">
        <v>25000</v>
      </c>
      <c r="J11" s="5">
        <v>6064</v>
      </c>
      <c r="K11" s="15">
        <f>L11+2801+5801+2006+3836</f>
        <v>20508</v>
      </c>
      <c r="L11" s="15">
        <f>2749+3315</f>
        <v>6064</v>
      </c>
      <c r="M11" s="16">
        <f t="shared" si="0"/>
        <v>6064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0.38051643192488266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6302</v>
      </c>
      <c r="K12" s="15">
        <f>L12</f>
        <v>6302</v>
      </c>
      <c r="L12" s="15">
        <f>3754+2548</f>
        <v>6302</v>
      </c>
      <c r="M12" s="16">
        <f t="shared" si="0"/>
        <v>6302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0.38051643192488266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150</v>
      </c>
      <c r="D13" s="55" t="s">
        <v>123</v>
      </c>
      <c r="E13" s="57" t="s">
        <v>167</v>
      </c>
      <c r="F13" s="12" t="s">
        <v>151</v>
      </c>
      <c r="G13" s="12">
        <v>1</v>
      </c>
      <c r="H13" s="13">
        <v>25</v>
      </c>
      <c r="I13" s="7">
        <v>20000</v>
      </c>
      <c r="J13" s="14">
        <v>1924</v>
      </c>
      <c r="K13" s="15">
        <f>L13+9828+10598+1924</f>
        <v>22350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0.38051643192488266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0.38051643192488266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 t="s">
        <v>126</v>
      </c>
      <c r="E15" s="57" t="s">
        <v>169</v>
      </c>
      <c r="F15" s="12" t="s">
        <v>156</v>
      </c>
      <c r="G15" s="12">
        <v>1</v>
      </c>
      <c r="H15" s="13">
        <v>24</v>
      </c>
      <c r="I15" s="34">
        <v>500</v>
      </c>
      <c r="J15" s="14">
        <v>500</v>
      </c>
      <c r="K15" s="15">
        <f>L15</f>
        <v>500</v>
      </c>
      <c r="L15" s="15">
        <v>500</v>
      </c>
      <c r="M15" s="16">
        <f t="shared" si="0"/>
        <v>500</v>
      </c>
      <c r="N15" s="16">
        <v>0</v>
      </c>
      <c r="O15" s="62">
        <f t="shared" si="1"/>
        <v>0</v>
      </c>
      <c r="P15" s="42">
        <f t="shared" si="2"/>
        <v>4</v>
      </c>
      <c r="Q15" s="43">
        <f t="shared" si="3"/>
        <v>20</v>
      </c>
      <c r="R15" s="7"/>
      <c r="S15" s="6"/>
      <c r="T15" s="17"/>
      <c r="U15" s="17"/>
      <c r="V15" s="18"/>
      <c r="W15" s="19">
        <v>20</v>
      </c>
      <c r="X15" s="17"/>
      <c r="Y15" s="20"/>
      <c r="Z15" s="20"/>
      <c r="AA15" s="21"/>
      <c r="AB15" s="8">
        <f t="shared" si="4"/>
        <v>1</v>
      </c>
      <c r="AC15" s="9">
        <f t="shared" si="5"/>
        <v>0.16666666666666666</v>
      </c>
      <c r="AD15" s="10">
        <f t="shared" si="6"/>
        <v>0.16666666666666666</v>
      </c>
      <c r="AE15" s="39">
        <f t="shared" si="7"/>
        <v>0.38051643192488266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150</v>
      </c>
      <c r="D16" s="55" t="s">
        <v>138</v>
      </c>
      <c r="E16" s="57" t="s">
        <v>162</v>
      </c>
      <c r="F16" s="33" t="s">
        <v>131</v>
      </c>
      <c r="G16" s="36">
        <v>1</v>
      </c>
      <c r="H16" s="38">
        <v>25</v>
      </c>
      <c r="I16" s="7">
        <v>25000</v>
      </c>
      <c r="J16" s="5">
        <v>5238</v>
      </c>
      <c r="K16" s="15">
        <f>L16+4499+5214+3718+6243</f>
        <v>24912</v>
      </c>
      <c r="L16" s="15">
        <f>2080+3158</f>
        <v>5238</v>
      </c>
      <c r="M16" s="16">
        <f t="shared" si="0"/>
        <v>5238</v>
      </c>
      <c r="N16" s="16">
        <v>0</v>
      </c>
      <c r="O16" s="62">
        <f t="shared" si="1"/>
        <v>0</v>
      </c>
      <c r="P16" s="42">
        <f t="shared" si="2"/>
        <v>22</v>
      </c>
      <c r="Q16" s="43">
        <f t="shared" si="3"/>
        <v>2</v>
      </c>
      <c r="R16" s="7">
        <v>2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0.91666666666666663</v>
      </c>
      <c r="AD16" s="10">
        <f t="shared" si="6"/>
        <v>0.91666666666666663</v>
      </c>
      <c r="AE16" s="39">
        <f t="shared" si="7"/>
        <v>0.38051643192488266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</f>
        <v>709</v>
      </c>
      <c r="L17" s="15">
        <v>709</v>
      </c>
      <c r="M17" s="16">
        <f t="shared" si="0"/>
        <v>709</v>
      </c>
      <c r="N17" s="16">
        <v>0</v>
      </c>
      <c r="O17" s="62">
        <f t="shared" si="1"/>
        <v>0</v>
      </c>
      <c r="P17" s="42">
        <f t="shared" si="2"/>
        <v>4</v>
      </c>
      <c r="Q17" s="43">
        <f t="shared" si="3"/>
        <v>20</v>
      </c>
      <c r="R17" s="7"/>
      <c r="S17" s="6"/>
      <c r="T17" s="17"/>
      <c r="U17" s="17"/>
      <c r="V17" s="18"/>
      <c r="W17" s="19">
        <v>20</v>
      </c>
      <c r="X17" s="17"/>
      <c r="Y17" s="20"/>
      <c r="Z17" s="20"/>
      <c r="AA17" s="21"/>
      <c r="AB17" s="8">
        <f t="shared" si="4"/>
        <v>0.99859154929577465</v>
      </c>
      <c r="AC17" s="9">
        <f t="shared" si="5"/>
        <v>0.16666666666666666</v>
      </c>
      <c r="AD17" s="10">
        <f t="shared" si="6"/>
        <v>0.16643192488262909</v>
      </c>
      <c r="AE17" s="39">
        <f t="shared" si="7"/>
        <v>0.38051643192488266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150</v>
      </c>
      <c r="D18" s="55" t="s">
        <v>123</v>
      </c>
      <c r="E18" s="57" t="s">
        <v>163</v>
      </c>
      <c r="F18" s="12" t="s">
        <v>151</v>
      </c>
      <c r="G18" s="36">
        <v>1</v>
      </c>
      <c r="H18" s="38">
        <v>30</v>
      </c>
      <c r="I18" s="7">
        <v>25000</v>
      </c>
      <c r="J18" s="5">
        <v>5680</v>
      </c>
      <c r="K18" s="15">
        <f>L18+4599+5522+2773+4743+5504</f>
        <v>28819</v>
      </c>
      <c r="L18" s="15">
        <f>3110+2568</f>
        <v>5678</v>
      </c>
      <c r="M18" s="16">
        <f t="shared" si="0"/>
        <v>5678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0.99964788732394361</v>
      </c>
      <c r="AC18" s="9">
        <f t="shared" si="5"/>
        <v>1</v>
      </c>
      <c r="AD18" s="10">
        <f t="shared" si="6"/>
        <v>0.99964788732394361</v>
      </c>
      <c r="AE18" s="39">
        <f t="shared" si="7"/>
        <v>0.38051643192488266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149</v>
      </c>
      <c r="E19" s="57" t="s">
        <v>170</v>
      </c>
      <c r="F19" s="33" t="s">
        <v>137</v>
      </c>
      <c r="G19" s="12">
        <v>1</v>
      </c>
      <c r="H19" s="13">
        <v>25</v>
      </c>
      <c r="I19" s="34">
        <v>10000</v>
      </c>
      <c r="J19" s="5">
        <v>1951</v>
      </c>
      <c r="K19" s="15">
        <f>L19</f>
        <v>1951</v>
      </c>
      <c r="L19" s="15">
        <f>1742+209</f>
        <v>1951</v>
      </c>
      <c r="M19" s="16">
        <f t="shared" si="0"/>
        <v>1951</v>
      </c>
      <c r="N19" s="16">
        <v>0</v>
      </c>
      <c r="O19" s="62">
        <f t="shared" si="1"/>
        <v>0</v>
      </c>
      <c r="P19" s="42">
        <f t="shared" si="2"/>
        <v>10</v>
      </c>
      <c r="Q19" s="43">
        <f t="shared" si="3"/>
        <v>14</v>
      </c>
      <c r="R19" s="7"/>
      <c r="S19" s="6">
        <v>14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0.41666666666666669</v>
      </c>
      <c r="AD19" s="10">
        <f t="shared" si="6"/>
        <v>0.41666666666666669</v>
      </c>
      <c r="AE19" s="39">
        <f t="shared" si="7"/>
        <v>0.38051643192488266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300000</v>
      </c>
      <c r="J20" s="14">
        <v>21344</v>
      </c>
      <c r="K20" s="15">
        <f>L20+44148+50632+51280+53100+49924+22424+45520+51608+29260+21344</f>
        <v>419240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>
        <v>24</v>
      </c>
      <c r="W20" s="19"/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0.38051643192488266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17">SUM(I6:I20)</f>
        <v>672500</v>
      </c>
      <c r="J21" s="22">
        <f t="shared" si="17"/>
        <v>95090</v>
      </c>
      <c r="K21" s="23">
        <f t="shared" si="17"/>
        <v>742048</v>
      </c>
      <c r="L21" s="24">
        <f t="shared" si="17"/>
        <v>32208</v>
      </c>
      <c r="M21" s="23">
        <f t="shared" si="17"/>
        <v>32208</v>
      </c>
      <c r="N21" s="24">
        <f t="shared" si="17"/>
        <v>0</v>
      </c>
      <c r="O21" s="44">
        <f t="shared" si="1"/>
        <v>0</v>
      </c>
      <c r="P21" s="45">
        <f t="shared" ref="P21:AA21" si="18">SUM(P6:P20)</f>
        <v>137</v>
      </c>
      <c r="Q21" s="46">
        <f t="shared" si="18"/>
        <v>223</v>
      </c>
      <c r="R21" s="26">
        <f t="shared" si="18"/>
        <v>50</v>
      </c>
      <c r="S21" s="27">
        <f t="shared" si="18"/>
        <v>17</v>
      </c>
      <c r="T21" s="27">
        <f t="shared" si="18"/>
        <v>0</v>
      </c>
      <c r="U21" s="27">
        <f t="shared" si="18"/>
        <v>0</v>
      </c>
      <c r="V21" s="28">
        <f t="shared" si="18"/>
        <v>48</v>
      </c>
      <c r="W21" s="29">
        <f t="shared" si="18"/>
        <v>108</v>
      </c>
      <c r="X21" s="30">
        <f t="shared" si="18"/>
        <v>0</v>
      </c>
      <c r="Y21" s="30">
        <f t="shared" si="18"/>
        <v>0</v>
      </c>
      <c r="Z21" s="30">
        <f t="shared" si="18"/>
        <v>0</v>
      </c>
      <c r="AA21" s="30">
        <f t="shared" si="18"/>
        <v>0</v>
      </c>
      <c r="AB21" s="31">
        <f>SUM(AB6:AB20)/15</f>
        <v>0.59988262910798118</v>
      </c>
      <c r="AC21" s="4">
        <f>SUM(AC6:AC20)/15</f>
        <v>0.38055555555555559</v>
      </c>
      <c r="AD21" s="4">
        <f>SUM(AD6:AD20)/15</f>
        <v>0.38051643192488266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139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148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26" t="s">
        <v>46</v>
      </c>
      <c r="D50" s="126" t="s">
        <v>47</v>
      </c>
      <c r="E50" s="126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26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150</v>
      </c>
      <c r="B51" s="385"/>
      <c r="C51" s="128" t="s">
        <v>140</v>
      </c>
      <c r="D51" s="128" t="s">
        <v>132</v>
      </c>
      <c r="E51" s="128" t="s">
        <v>166</v>
      </c>
      <c r="F51" s="376" t="s">
        <v>143</v>
      </c>
      <c r="G51" s="376"/>
      <c r="H51" s="376"/>
      <c r="I51" s="376"/>
      <c r="J51" s="376"/>
      <c r="K51" s="376"/>
      <c r="L51" s="376"/>
      <c r="M51" s="386"/>
      <c r="N51" s="127" t="s">
        <v>125</v>
      </c>
      <c r="O51" s="124" t="s">
        <v>144</v>
      </c>
      <c r="P51" s="385" t="s">
        <v>123</v>
      </c>
      <c r="Q51" s="385"/>
      <c r="R51" s="385" t="s">
        <v>177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128" t="s">
        <v>141</v>
      </c>
      <c r="D52" s="128" t="s">
        <v>136</v>
      </c>
      <c r="E52" s="137" t="s">
        <v>168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136" t="s">
        <v>114</v>
      </c>
      <c r="O52" s="124" t="s">
        <v>145</v>
      </c>
      <c r="P52" s="385" t="s">
        <v>149</v>
      </c>
      <c r="Q52" s="385"/>
      <c r="R52" s="385" t="s">
        <v>170</v>
      </c>
      <c r="S52" s="385"/>
      <c r="T52" s="385"/>
      <c r="U52" s="385"/>
      <c r="V52" s="376" t="s">
        <v>143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125</v>
      </c>
      <c r="B53" s="385"/>
      <c r="C53" s="128" t="s">
        <v>174</v>
      </c>
      <c r="D53" s="128" t="s">
        <v>132</v>
      </c>
      <c r="E53" s="128" t="s">
        <v>175</v>
      </c>
      <c r="F53" s="376" t="s">
        <v>130</v>
      </c>
      <c r="G53" s="376"/>
      <c r="H53" s="376"/>
      <c r="I53" s="376"/>
      <c r="J53" s="376"/>
      <c r="K53" s="376"/>
      <c r="L53" s="376"/>
      <c r="M53" s="386"/>
      <c r="N53" s="127"/>
      <c r="O53" s="124"/>
      <c r="P53" s="385"/>
      <c r="Q53" s="385"/>
      <c r="R53" s="385"/>
      <c r="S53" s="385"/>
      <c r="T53" s="385"/>
      <c r="U53" s="385"/>
      <c r="V53" s="376"/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114</v>
      </c>
      <c r="B54" s="385"/>
      <c r="C54" s="137" t="s">
        <v>142</v>
      </c>
      <c r="D54" s="137" t="s">
        <v>149</v>
      </c>
      <c r="E54" s="137" t="s">
        <v>170</v>
      </c>
      <c r="F54" s="376" t="s">
        <v>176</v>
      </c>
      <c r="G54" s="376"/>
      <c r="H54" s="376"/>
      <c r="I54" s="376"/>
      <c r="J54" s="376"/>
      <c r="K54" s="376"/>
      <c r="L54" s="376"/>
      <c r="M54" s="386"/>
      <c r="N54" s="127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125</v>
      </c>
      <c r="B55" s="385"/>
      <c r="C55" s="128" t="s">
        <v>181</v>
      </c>
      <c r="D55" s="128" t="s">
        <v>182</v>
      </c>
      <c r="E55" s="128" t="s">
        <v>178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127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183</v>
      </c>
      <c r="B56" s="385"/>
      <c r="C56" s="128" t="s">
        <v>184</v>
      </c>
      <c r="D56" s="128" t="s">
        <v>182</v>
      </c>
      <c r="E56" s="128" t="s">
        <v>179</v>
      </c>
      <c r="F56" s="376" t="s">
        <v>180</v>
      </c>
      <c r="G56" s="376"/>
      <c r="H56" s="376"/>
      <c r="I56" s="376"/>
      <c r="J56" s="376"/>
      <c r="K56" s="376"/>
      <c r="L56" s="376"/>
      <c r="M56" s="386"/>
      <c r="N56" s="127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28"/>
      <c r="D57" s="128"/>
      <c r="E57" s="128"/>
      <c r="F57" s="376"/>
      <c r="G57" s="376"/>
      <c r="H57" s="376"/>
      <c r="I57" s="376"/>
      <c r="J57" s="376"/>
      <c r="K57" s="376"/>
      <c r="L57" s="376"/>
      <c r="M57" s="386"/>
      <c r="N57" s="127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28"/>
      <c r="D58" s="128"/>
      <c r="E58" s="128"/>
      <c r="F58" s="376"/>
      <c r="G58" s="376"/>
      <c r="H58" s="376"/>
      <c r="I58" s="376"/>
      <c r="J58" s="376"/>
      <c r="K58" s="376"/>
      <c r="L58" s="376"/>
      <c r="M58" s="386"/>
      <c r="N58" s="127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28"/>
      <c r="D59" s="128"/>
      <c r="E59" s="128"/>
      <c r="F59" s="376"/>
      <c r="G59" s="376"/>
      <c r="H59" s="376"/>
      <c r="I59" s="376"/>
      <c r="J59" s="376"/>
      <c r="K59" s="376"/>
      <c r="L59" s="376"/>
      <c r="M59" s="386"/>
      <c r="N59" s="127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130"/>
      <c r="D60" s="130"/>
      <c r="E60" s="130"/>
      <c r="F60" s="389"/>
      <c r="G60" s="389"/>
      <c r="H60" s="389"/>
      <c r="I60" s="389"/>
      <c r="J60" s="389"/>
      <c r="K60" s="389"/>
      <c r="L60" s="389"/>
      <c r="M60" s="390"/>
      <c r="N60" s="129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146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131" t="s">
        <v>2</v>
      </c>
      <c r="D62" s="131" t="s">
        <v>37</v>
      </c>
      <c r="E62" s="131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131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183</v>
      </c>
      <c r="D63" s="134"/>
      <c r="E63" s="132"/>
      <c r="F63" s="374" t="s">
        <v>179</v>
      </c>
      <c r="G63" s="366"/>
      <c r="H63" s="366"/>
      <c r="I63" s="366"/>
      <c r="J63" s="366"/>
      <c r="K63" s="366" t="s">
        <v>185</v>
      </c>
      <c r="L63" s="366"/>
      <c r="M63" s="54" t="s">
        <v>186</v>
      </c>
      <c r="N63" s="366">
        <v>10</v>
      </c>
      <c r="O63" s="366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/>
      <c r="D64" s="134"/>
      <c r="E64" s="132"/>
      <c r="F64" s="374"/>
      <c r="G64" s="366"/>
      <c r="H64" s="366"/>
      <c r="I64" s="366"/>
      <c r="J64" s="366"/>
      <c r="K64" s="366"/>
      <c r="L64" s="366"/>
      <c r="M64" s="54"/>
      <c r="N64" s="366"/>
      <c r="O64" s="366"/>
      <c r="P64" s="375"/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134"/>
      <c r="E65" s="132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134"/>
      <c r="E66" s="132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134"/>
      <c r="E67" s="132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134"/>
      <c r="E68" s="132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134"/>
      <c r="E69" s="132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134"/>
      <c r="E70" s="132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134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133" t="s">
        <v>2</v>
      </c>
      <c r="D72" s="133" t="s">
        <v>37</v>
      </c>
      <c r="E72" s="133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135" t="s">
        <v>114</v>
      </c>
      <c r="D73" s="135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134" t="s">
        <v>114</v>
      </c>
      <c r="D74" s="134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9">A74+1</f>
        <v>3</v>
      </c>
      <c r="B75" s="334"/>
      <c r="C75" s="134"/>
      <c r="D75" s="134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9"/>
        <v>4</v>
      </c>
      <c r="B76" s="334"/>
      <c r="C76" s="134"/>
      <c r="D76" s="134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5</v>
      </c>
      <c r="B77" s="334"/>
      <c r="C77" s="134"/>
      <c r="D77" s="134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6</v>
      </c>
      <c r="B78" s="334"/>
      <c r="C78" s="134"/>
      <c r="D78" s="134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7</v>
      </c>
      <c r="B79" s="334"/>
      <c r="C79" s="134"/>
      <c r="D79" s="134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8</v>
      </c>
      <c r="B80" s="334"/>
      <c r="C80" s="134"/>
      <c r="D80" s="134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9</v>
      </c>
      <c r="B81" s="334"/>
      <c r="C81" s="134"/>
      <c r="D81" s="134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135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 t="s">
        <v>160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721-4190-40EE-B366-90E5030B2ECB}">
  <sheetPr>
    <pageSetUpPr fitToPage="1"/>
  </sheetPr>
  <dimension ref="A1:AF86"/>
  <sheetViews>
    <sheetView tabSelected="1" zoomScale="72" zoomScaleNormal="72" zoomScaleSheetLayoutView="70" workbookViewId="0">
      <selection activeCell="A83" sqref="A83:B83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434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314" t="s">
        <v>17</v>
      </c>
      <c r="L5" s="314" t="s">
        <v>18</v>
      </c>
      <c r="M5" s="314" t="s">
        <v>19</v>
      </c>
      <c r="N5" s="314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>$AD$21</f>
        <v>0.36665452337583487</v>
      </c>
      <c r="AF6" s="93">
        <f t="shared" ref="AF6:AF20" si="7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>$AD$21</f>
        <v>0.36665452337583487</v>
      </c>
      <c r="AF7" s="93">
        <f t="shared" si="7"/>
        <v>2</v>
      </c>
    </row>
    <row r="8" spans="1:32" ht="27" customHeight="1">
      <c r="A8" s="108">
        <v>3</v>
      </c>
      <c r="B8" s="11" t="s">
        <v>57</v>
      </c>
      <c r="C8" s="37" t="s">
        <v>125</v>
      </c>
      <c r="D8" s="55" t="s">
        <v>208</v>
      </c>
      <c r="E8" s="57" t="s">
        <v>207</v>
      </c>
      <c r="F8" s="33" t="s">
        <v>205</v>
      </c>
      <c r="G8" s="36">
        <v>2</v>
      </c>
      <c r="H8" s="38">
        <v>25</v>
      </c>
      <c r="I8" s="7">
        <v>51000</v>
      </c>
      <c r="J8" s="5">
        <v>13156</v>
      </c>
      <c r="K8" s="15">
        <f>L8+10132+11782</f>
        <v>35070</v>
      </c>
      <c r="L8" s="15">
        <f>3778*2+2800*2</f>
        <v>13156</v>
      </c>
      <c r="M8" s="16">
        <f t="shared" si="0"/>
        <v>13156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>$AD$21</f>
        <v>0.36665452337583487</v>
      </c>
      <c r="AF8" s="93">
        <f t="shared" si="7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410</v>
      </c>
      <c r="F9" s="12" t="s">
        <v>137</v>
      </c>
      <c r="G9" s="12">
        <v>1</v>
      </c>
      <c r="H9" s="13">
        <v>25</v>
      </c>
      <c r="I9" s="7">
        <v>5500</v>
      </c>
      <c r="J9" s="14">
        <v>5248</v>
      </c>
      <c r="K9" s="15">
        <f>L9+3226+5248</f>
        <v>8474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/>
      <c r="X9" s="17"/>
      <c r="Y9" s="20"/>
      <c r="Z9" s="20"/>
      <c r="AA9" s="21">
        <v>24</v>
      </c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>$AD$21</f>
        <v>0.36665452337583487</v>
      </c>
      <c r="AF9" s="93">
        <f t="shared" si="7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378</v>
      </c>
      <c r="F10" s="12" t="s">
        <v>189</v>
      </c>
      <c r="G10" s="12">
        <v>1</v>
      </c>
      <c r="H10" s="13">
        <v>25</v>
      </c>
      <c r="I10" s="7">
        <v>65000</v>
      </c>
      <c r="J10" s="14">
        <v>17546</v>
      </c>
      <c r="K10" s="15">
        <f>L10+18476+20620+17546</f>
        <v>56642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>
        <v>24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>$AD$21</f>
        <v>0.36665452337583487</v>
      </c>
      <c r="AF10" s="93">
        <f t="shared" si="7"/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337</v>
      </c>
      <c r="F11" s="12" t="s">
        <v>165</v>
      </c>
      <c r="G11" s="12">
        <v>1</v>
      </c>
      <c r="H11" s="13">
        <v>25</v>
      </c>
      <c r="I11" s="34">
        <v>6500</v>
      </c>
      <c r="J11" s="5">
        <v>2357</v>
      </c>
      <c r="K11" s="15">
        <f>L11+5687</f>
        <v>8044</v>
      </c>
      <c r="L11" s="15">
        <f>2357</f>
        <v>2357</v>
      </c>
      <c r="M11" s="16">
        <f t="shared" si="0"/>
        <v>2357</v>
      </c>
      <c r="N11" s="16">
        <v>0</v>
      </c>
      <c r="O11" s="62">
        <f t="shared" si="1"/>
        <v>0</v>
      </c>
      <c r="P11" s="42">
        <f t="shared" si="2"/>
        <v>12</v>
      </c>
      <c r="Q11" s="43">
        <f t="shared" si="3"/>
        <v>12</v>
      </c>
      <c r="R11" s="7"/>
      <c r="S11" s="6"/>
      <c r="T11" s="17"/>
      <c r="U11" s="17"/>
      <c r="V11" s="18"/>
      <c r="W11" s="19">
        <v>12</v>
      </c>
      <c r="X11" s="17"/>
      <c r="Y11" s="20"/>
      <c r="Z11" s="20"/>
      <c r="AA11" s="21"/>
      <c r="AB11" s="8">
        <f t="shared" si="4"/>
        <v>1</v>
      </c>
      <c r="AC11" s="9">
        <f t="shared" si="5"/>
        <v>0.5</v>
      </c>
      <c r="AD11" s="10">
        <f t="shared" si="6"/>
        <v>0.5</v>
      </c>
      <c r="AE11" s="39">
        <f>$AD$21</f>
        <v>0.36665452337583487</v>
      </c>
      <c r="AF11" s="93">
        <f t="shared" si="7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416</v>
      </c>
      <c r="F12" s="12" t="s">
        <v>129</v>
      </c>
      <c r="G12" s="12">
        <v>1</v>
      </c>
      <c r="H12" s="13">
        <v>25</v>
      </c>
      <c r="I12" s="7">
        <v>17000</v>
      </c>
      <c r="J12" s="14">
        <v>2850</v>
      </c>
      <c r="K12" s="15">
        <f>L12+5543</f>
        <v>8393</v>
      </c>
      <c r="L12" s="15">
        <f>450+2400</f>
        <v>2850</v>
      </c>
      <c r="M12" s="16">
        <f t="shared" si="0"/>
        <v>2850</v>
      </c>
      <c r="N12" s="16">
        <v>0</v>
      </c>
      <c r="O12" s="62">
        <f t="shared" si="1"/>
        <v>0</v>
      </c>
      <c r="P12" s="42">
        <f t="shared" si="2"/>
        <v>14</v>
      </c>
      <c r="Q12" s="43">
        <f t="shared" si="3"/>
        <v>10</v>
      </c>
      <c r="R12" s="7"/>
      <c r="S12" s="6">
        <v>10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0.58333333333333337</v>
      </c>
      <c r="AD12" s="10">
        <f t="shared" si="6"/>
        <v>0.58333333333333337</v>
      </c>
      <c r="AE12" s="39">
        <f>$AD$21</f>
        <v>0.36665452337583487</v>
      </c>
      <c r="AF12" s="93">
        <f t="shared" si="7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417</v>
      </c>
      <c r="F13" s="12" t="s">
        <v>189</v>
      </c>
      <c r="G13" s="12">
        <v>1</v>
      </c>
      <c r="H13" s="13">
        <v>25</v>
      </c>
      <c r="I13" s="7">
        <v>17000</v>
      </c>
      <c r="J13" s="14">
        <v>5490</v>
      </c>
      <c r="K13" s="15">
        <f>L13+4333</f>
        <v>9822</v>
      </c>
      <c r="L13" s="15">
        <f>2977+2512</f>
        <v>5489</v>
      </c>
      <c r="M13" s="16">
        <f t="shared" si="0"/>
        <v>5489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0.99981785063752282</v>
      </c>
      <c r="AC13" s="9">
        <f t="shared" si="5"/>
        <v>1</v>
      </c>
      <c r="AD13" s="10">
        <f t="shared" si="6"/>
        <v>0.99981785063752282</v>
      </c>
      <c r="AE13" s="39">
        <f>$AD$21</f>
        <v>0.36665452337583487</v>
      </c>
      <c r="AF13" s="93">
        <f t="shared" si="7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>$AD$21</f>
        <v>0.36665452337583487</v>
      </c>
      <c r="AF14" s="93">
        <f t="shared" si="7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>$AD$21</f>
        <v>0.36665452337583487</v>
      </c>
      <c r="AF15" s="93">
        <f t="shared" si="7"/>
        <v>10</v>
      </c>
    </row>
    <row r="16" spans="1:32" ht="27" customHeight="1">
      <c r="A16" s="108">
        <v>11</v>
      </c>
      <c r="B16" s="11" t="s">
        <v>57</v>
      </c>
      <c r="C16" s="37" t="s">
        <v>125</v>
      </c>
      <c r="D16" s="55" t="s">
        <v>255</v>
      </c>
      <c r="E16" s="57" t="s">
        <v>419</v>
      </c>
      <c r="F16" s="33" t="s">
        <v>205</v>
      </c>
      <c r="G16" s="36">
        <v>1</v>
      </c>
      <c r="H16" s="38">
        <v>25</v>
      </c>
      <c r="I16" s="7">
        <v>19000</v>
      </c>
      <c r="J16" s="5">
        <v>5870</v>
      </c>
      <c r="K16" s="15">
        <f>L16+3687</f>
        <v>9557</v>
      </c>
      <c r="L16" s="15">
        <f>3402+2468</f>
        <v>5870</v>
      </c>
      <c r="M16" s="16">
        <f t="shared" si="0"/>
        <v>5870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1</v>
      </c>
      <c r="AD16" s="10">
        <f t="shared" si="6"/>
        <v>1</v>
      </c>
      <c r="AE16" s="39">
        <f>$AD$21</f>
        <v>0.36665452337583487</v>
      </c>
      <c r="AF16" s="93">
        <f t="shared" si="7"/>
        <v>11</v>
      </c>
    </row>
    <row r="17" spans="1:32" ht="27" customHeight="1">
      <c r="A17" s="108">
        <v>12</v>
      </c>
      <c r="B17" s="11" t="s">
        <v>57</v>
      </c>
      <c r="C17" s="11" t="s">
        <v>114</v>
      </c>
      <c r="D17" s="55" t="s">
        <v>381</v>
      </c>
      <c r="E17" s="57" t="s">
        <v>380</v>
      </c>
      <c r="F17" s="12">
        <v>8301</v>
      </c>
      <c r="G17" s="12">
        <v>1</v>
      </c>
      <c r="H17" s="13">
        <v>24</v>
      </c>
      <c r="I17" s="34">
        <v>5000</v>
      </c>
      <c r="J17" s="14">
        <v>2081</v>
      </c>
      <c r="K17" s="15">
        <f>L17+4404</f>
        <v>6485</v>
      </c>
      <c r="L17" s="15">
        <v>2081</v>
      </c>
      <c r="M17" s="16">
        <f t="shared" si="0"/>
        <v>2081</v>
      </c>
      <c r="N17" s="16">
        <v>0</v>
      </c>
      <c r="O17" s="62">
        <f t="shared" si="1"/>
        <v>0</v>
      </c>
      <c r="P17" s="42">
        <f t="shared" si="2"/>
        <v>10</v>
      </c>
      <c r="Q17" s="43">
        <f t="shared" si="3"/>
        <v>14</v>
      </c>
      <c r="R17" s="7"/>
      <c r="S17" s="6"/>
      <c r="T17" s="17"/>
      <c r="U17" s="17"/>
      <c r="V17" s="18"/>
      <c r="W17" s="19">
        <v>14</v>
      </c>
      <c r="X17" s="17"/>
      <c r="Y17" s="20"/>
      <c r="Z17" s="20"/>
      <c r="AA17" s="21"/>
      <c r="AB17" s="8">
        <f t="shared" si="4"/>
        <v>1</v>
      </c>
      <c r="AC17" s="9">
        <f t="shared" si="5"/>
        <v>0.41666666666666669</v>
      </c>
      <c r="AD17" s="10">
        <f t="shared" si="6"/>
        <v>0.41666666666666669</v>
      </c>
      <c r="AE17" s="39">
        <f>$AD$21</f>
        <v>0.36665452337583487</v>
      </c>
      <c r="AF17" s="93">
        <f t="shared" si="7"/>
        <v>12</v>
      </c>
    </row>
    <row r="18" spans="1:32" ht="27" customHeight="1">
      <c r="A18" s="109">
        <v>13</v>
      </c>
      <c r="B18" s="11" t="s">
        <v>57</v>
      </c>
      <c r="C18" s="37" t="s">
        <v>125</v>
      </c>
      <c r="D18" s="55" t="s">
        <v>136</v>
      </c>
      <c r="E18" s="57" t="s">
        <v>422</v>
      </c>
      <c r="F18" s="12" t="s">
        <v>137</v>
      </c>
      <c r="G18" s="36">
        <v>1</v>
      </c>
      <c r="H18" s="38">
        <v>30</v>
      </c>
      <c r="I18" s="7">
        <v>16000</v>
      </c>
      <c r="J18" s="5">
        <v>5496</v>
      </c>
      <c r="K18" s="15">
        <f>L18+4340</f>
        <v>9836</v>
      </c>
      <c r="L18" s="15">
        <f>3027+2469</f>
        <v>5496</v>
      </c>
      <c r="M18" s="16">
        <f t="shared" si="0"/>
        <v>5496</v>
      </c>
      <c r="N18" s="16">
        <v>0</v>
      </c>
      <c r="O18" s="62">
        <f t="shared" si="1"/>
        <v>0</v>
      </c>
      <c r="P18" s="42">
        <f t="shared" si="2"/>
        <v>24</v>
      </c>
      <c r="Q18" s="43">
        <f t="shared" si="3"/>
        <v>0</v>
      </c>
      <c r="R18" s="7"/>
      <c r="S18" s="6"/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1</v>
      </c>
      <c r="AD18" s="10">
        <f t="shared" si="6"/>
        <v>1</v>
      </c>
      <c r="AE18" s="39">
        <f>$AD$21</f>
        <v>0.36665452337583487</v>
      </c>
      <c r="AF18" s="93">
        <f t="shared" si="7"/>
        <v>13</v>
      </c>
    </row>
    <row r="19" spans="1:32" ht="27" customHeight="1">
      <c r="A19" s="109">
        <v>14</v>
      </c>
      <c r="B19" s="11" t="s">
        <v>57</v>
      </c>
      <c r="C19" s="37" t="s">
        <v>125</v>
      </c>
      <c r="D19" s="55" t="s">
        <v>138</v>
      </c>
      <c r="E19" s="57" t="s">
        <v>397</v>
      </c>
      <c r="F19" s="12">
        <v>7301</v>
      </c>
      <c r="G19" s="36">
        <v>1</v>
      </c>
      <c r="H19" s="38">
        <v>30</v>
      </c>
      <c r="I19" s="7">
        <v>5000</v>
      </c>
      <c r="J19" s="5">
        <v>4420</v>
      </c>
      <c r="K19" s="15">
        <f>L19+4420</f>
        <v>4420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/>
      <c r="X19" s="17"/>
      <c r="Y19" s="20"/>
      <c r="Z19" s="20"/>
      <c r="AA19" s="21">
        <v>24</v>
      </c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>$AD$21</f>
        <v>0.36665452337583487</v>
      </c>
      <c r="AF19" s="93">
        <f t="shared" si="7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4524</v>
      </c>
      <c r="K20" s="15">
        <f>L20+20068+24564+48544+43996+30716+19196+21560+23324+19612+4524</f>
        <v>256104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>$AD$21</f>
        <v>0.36665452337583487</v>
      </c>
      <c r="AF20" s="93">
        <f t="shared" si="7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>SUM(I6:I20)</f>
        <v>709250</v>
      </c>
      <c r="J21" s="22">
        <f>SUM(J6:J20)</f>
        <v>108051</v>
      </c>
      <c r="K21" s="23">
        <f>SUM(K6:K20)</f>
        <v>601498</v>
      </c>
      <c r="L21" s="24">
        <f>SUM(L6:L20)</f>
        <v>37299</v>
      </c>
      <c r="M21" s="23">
        <f>SUM(M6:M20)</f>
        <v>37299</v>
      </c>
      <c r="N21" s="24">
        <f>SUM(N6:N20)</f>
        <v>0</v>
      </c>
      <c r="O21" s="44">
        <f t="shared" si="1"/>
        <v>0</v>
      </c>
      <c r="P21" s="45">
        <f>SUM(P6:P20)</f>
        <v>132</v>
      </c>
      <c r="Q21" s="46">
        <f>SUM(Q6:Q20)</f>
        <v>228</v>
      </c>
      <c r="R21" s="26">
        <f>SUM(R6:R20)</f>
        <v>48</v>
      </c>
      <c r="S21" s="27">
        <f>SUM(S6:S20)</f>
        <v>34</v>
      </c>
      <c r="T21" s="27">
        <f>SUM(T6:T20)</f>
        <v>0</v>
      </c>
      <c r="U21" s="27">
        <f>SUM(U6:U20)</f>
        <v>0</v>
      </c>
      <c r="V21" s="28">
        <f>SUM(V6:V20)</f>
        <v>0</v>
      </c>
      <c r="W21" s="29">
        <f>SUM(W6:W20)</f>
        <v>98</v>
      </c>
      <c r="X21" s="30">
        <f>SUM(X6:X20)</f>
        <v>0</v>
      </c>
      <c r="Y21" s="30">
        <f>SUM(Y6:Y20)</f>
        <v>0</v>
      </c>
      <c r="Z21" s="30">
        <f>SUM(Z6:Z20)</f>
        <v>0</v>
      </c>
      <c r="AA21" s="30">
        <f>SUM(AA6:AA20)</f>
        <v>48</v>
      </c>
      <c r="AB21" s="31">
        <f>SUM(AB6:AB20)/15</f>
        <v>0.46665452337583491</v>
      </c>
      <c r="AC21" s="4">
        <f>SUM(AC6:AC20)/15</f>
        <v>0.36666666666666675</v>
      </c>
      <c r="AD21" s="4">
        <f>SUM(AD6:AD20)/15</f>
        <v>0.36665452337583487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435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438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315" t="s">
        <v>46</v>
      </c>
      <c r="D50" s="315" t="s">
        <v>47</v>
      </c>
      <c r="E50" s="315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315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125</v>
      </c>
      <c r="B51" s="385"/>
      <c r="C51" s="317" t="s">
        <v>174</v>
      </c>
      <c r="D51" s="317" t="s">
        <v>132</v>
      </c>
      <c r="E51" s="317" t="s">
        <v>416</v>
      </c>
      <c r="F51" s="376" t="s">
        <v>436</v>
      </c>
      <c r="G51" s="376"/>
      <c r="H51" s="376"/>
      <c r="I51" s="376"/>
      <c r="J51" s="376"/>
      <c r="K51" s="376"/>
      <c r="L51" s="376"/>
      <c r="M51" s="386"/>
      <c r="N51" s="316" t="s">
        <v>125</v>
      </c>
      <c r="O51" s="124" t="s">
        <v>174</v>
      </c>
      <c r="P51" s="385" t="s">
        <v>132</v>
      </c>
      <c r="Q51" s="385"/>
      <c r="R51" s="385" t="s">
        <v>416</v>
      </c>
      <c r="S51" s="385"/>
      <c r="T51" s="385"/>
      <c r="U51" s="385"/>
      <c r="V51" s="376" t="s">
        <v>143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317" t="s">
        <v>144</v>
      </c>
      <c r="D52" s="317" t="s">
        <v>123</v>
      </c>
      <c r="E52" s="317" t="s">
        <v>417</v>
      </c>
      <c r="F52" s="376" t="s">
        <v>437</v>
      </c>
      <c r="G52" s="376"/>
      <c r="H52" s="376"/>
      <c r="I52" s="376"/>
      <c r="J52" s="376"/>
      <c r="K52" s="376"/>
      <c r="L52" s="376"/>
      <c r="M52" s="386"/>
      <c r="N52" s="316" t="s">
        <v>125</v>
      </c>
      <c r="O52" s="124" t="s">
        <v>144</v>
      </c>
      <c r="P52" s="393" t="s">
        <v>123</v>
      </c>
      <c r="Q52" s="394"/>
      <c r="R52" s="385" t="s">
        <v>417</v>
      </c>
      <c r="S52" s="385"/>
      <c r="T52" s="385"/>
      <c r="U52" s="385"/>
      <c r="V52" s="376" t="s">
        <v>143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/>
      <c r="B53" s="385"/>
      <c r="C53" s="317"/>
      <c r="D53" s="317"/>
      <c r="E53" s="317"/>
      <c r="F53" s="376"/>
      <c r="G53" s="376"/>
      <c r="H53" s="376"/>
      <c r="I53" s="376"/>
      <c r="J53" s="376"/>
      <c r="K53" s="376"/>
      <c r="L53" s="376"/>
      <c r="M53" s="386"/>
      <c r="N53" s="316" t="s">
        <v>152</v>
      </c>
      <c r="O53" s="124" t="s">
        <v>142</v>
      </c>
      <c r="P53" s="393"/>
      <c r="Q53" s="394"/>
      <c r="R53" s="385" t="s">
        <v>378</v>
      </c>
      <c r="S53" s="385"/>
      <c r="T53" s="385"/>
      <c r="U53" s="385"/>
      <c r="V53" s="376" t="s">
        <v>143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/>
      <c r="B54" s="385"/>
      <c r="C54" s="317"/>
      <c r="D54" s="317"/>
      <c r="E54" s="317"/>
      <c r="F54" s="376"/>
      <c r="G54" s="376"/>
      <c r="H54" s="376"/>
      <c r="I54" s="376"/>
      <c r="J54" s="376"/>
      <c r="K54" s="376"/>
      <c r="L54" s="376"/>
      <c r="M54" s="386"/>
      <c r="N54" s="316" t="s">
        <v>150</v>
      </c>
      <c r="O54" s="124" t="s">
        <v>145</v>
      </c>
      <c r="P54" s="385"/>
      <c r="Q54" s="385"/>
      <c r="R54" s="385" t="s">
        <v>439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317"/>
      <c r="D55" s="317"/>
      <c r="E55" s="317"/>
      <c r="F55" s="376"/>
      <c r="G55" s="376"/>
      <c r="H55" s="376"/>
      <c r="I55" s="376"/>
      <c r="J55" s="376"/>
      <c r="K55" s="376"/>
      <c r="L55" s="376"/>
      <c r="M55" s="386"/>
      <c r="N55" s="316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317"/>
      <c r="D56" s="317"/>
      <c r="E56" s="317"/>
      <c r="F56" s="376"/>
      <c r="G56" s="376"/>
      <c r="H56" s="376"/>
      <c r="I56" s="376"/>
      <c r="J56" s="376"/>
      <c r="K56" s="376"/>
      <c r="L56" s="376"/>
      <c r="M56" s="386"/>
      <c r="N56" s="316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317"/>
      <c r="D57" s="317"/>
      <c r="E57" s="317"/>
      <c r="F57" s="376"/>
      <c r="G57" s="376"/>
      <c r="H57" s="376"/>
      <c r="I57" s="376"/>
      <c r="J57" s="376"/>
      <c r="K57" s="376"/>
      <c r="L57" s="376"/>
      <c r="M57" s="386"/>
      <c r="N57" s="316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317"/>
      <c r="D58" s="317"/>
      <c r="E58" s="317"/>
      <c r="F58" s="376"/>
      <c r="G58" s="376"/>
      <c r="H58" s="376"/>
      <c r="I58" s="376"/>
      <c r="J58" s="376"/>
      <c r="K58" s="376"/>
      <c r="L58" s="376"/>
      <c r="M58" s="386"/>
      <c r="N58" s="316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317"/>
      <c r="D59" s="317"/>
      <c r="E59" s="317"/>
      <c r="F59" s="376"/>
      <c r="G59" s="376"/>
      <c r="H59" s="376"/>
      <c r="I59" s="376"/>
      <c r="J59" s="376"/>
      <c r="K59" s="376"/>
      <c r="L59" s="376"/>
      <c r="M59" s="386"/>
      <c r="N59" s="316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319"/>
      <c r="D60" s="319"/>
      <c r="E60" s="319"/>
      <c r="F60" s="389"/>
      <c r="G60" s="389"/>
      <c r="H60" s="389"/>
      <c r="I60" s="389"/>
      <c r="J60" s="389"/>
      <c r="K60" s="389"/>
      <c r="L60" s="389"/>
      <c r="M60" s="390"/>
      <c r="N60" s="318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440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320" t="s">
        <v>2</v>
      </c>
      <c r="D62" s="320" t="s">
        <v>37</v>
      </c>
      <c r="E62" s="320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320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150</v>
      </c>
      <c r="D63" s="323"/>
      <c r="E63" s="321" t="s">
        <v>123</v>
      </c>
      <c r="F63" s="374" t="s">
        <v>441</v>
      </c>
      <c r="G63" s="366"/>
      <c r="H63" s="366"/>
      <c r="I63" s="366"/>
      <c r="J63" s="366"/>
      <c r="K63" s="366" t="s">
        <v>151</v>
      </c>
      <c r="L63" s="366"/>
      <c r="M63" s="54" t="s">
        <v>186</v>
      </c>
      <c r="N63" s="366">
        <v>14</v>
      </c>
      <c r="O63" s="366"/>
      <c r="P63" s="375">
        <v>200</v>
      </c>
      <c r="Q63" s="375"/>
      <c r="R63" s="376" t="s">
        <v>442</v>
      </c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150</v>
      </c>
      <c r="D64" s="323"/>
      <c r="E64" s="321" t="s">
        <v>132</v>
      </c>
      <c r="F64" s="374" t="s">
        <v>443</v>
      </c>
      <c r="G64" s="366"/>
      <c r="H64" s="366"/>
      <c r="I64" s="366"/>
      <c r="J64" s="366"/>
      <c r="K64" s="366" t="s">
        <v>151</v>
      </c>
      <c r="L64" s="366"/>
      <c r="M64" s="54" t="s">
        <v>186</v>
      </c>
      <c r="N64" s="366">
        <v>4</v>
      </c>
      <c r="O64" s="366"/>
      <c r="P64" s="375">
        <v>200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 t="s">
        <v>150</v>
      </c>
      <c r="D65" s="323"/>
      <c r="E65" s="321" t="s">
        <v>136</v>
      </c>
      <c r="F65" s="374" t="s">
        <v>444</v>
      </c>
      <c r="G65" s="366"/>
      <c r="H65" s="366"/>
      <c r="I65" s="366"/>
      <c r="J65" s="366"/>
      <c r="K65" s="366" t="s">
        <v>424</v>
      </c>
      <c r="L65" s="366"/>
      <c r="M65" s="54" t="s">
        <v>186</v>
      </c>
      <c r="N65" s="366">
        <v>10</v>
      </c>
      <c r="O65" s="366"/>
      <c r="P65" s="375">
        <v>200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 t="s">
        <v>125</v>
      </c>
      <c r="D66" s="323"/>
      <c r="E66" s="321" t="s">
        <v>255</v>
      </c>
      <c r="F66" s="374" t="s">
        <v>445</v>
      </c>
      <c r="G66" s="366"/>
      <c r="H66" s="366"/>
      <c r="I66" s="366"/>
      <c r="J66" s="366"/>
      <c r="K66" s="366" t="s">
        <v>205</v>
      </c>
      <c r="L66" s="366"/>
      <c r="M66" s="54" t="s">
        <v>385</v>
      </c>
      <c r="N66" s="366">
        <v>14</v>
      </c>
      <c r="O66" s="366"/>
      <c r="P66" s="375">
        <v>50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 t="s">
        <v>125</v>
      </c>
      <c r="D67" s="323"/>
      <c r="E67" s="321" t="s">
        <v>208</v>
      </c>
      <c r="F67" s="374" t="s">
        <v>350</v>
      </c>
      <c r="G67" s="366"/>
      <c r="H67" s="366"/>
      <c r="I67" s="366"/>
      <c r="J67" s="366"/>
      <c r="K67" s="366" t="s">
        <v>205</v>
      </c>
      <c r="L67" s="366"/>
      <c r="M67" s="54" t="s">
        <v>186</v>
      </c>
      <c r="N67" s="366">
        <v>14</v>
      </c>
      <c r="O67" s="366"/>
      <c r="P67" s="375">
        <v>100</v>
      </c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323"/>
      <c r="E68" s="321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323"/>
      <c r="E69" s="321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323"/>
      <c r="E70" s="321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446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322" t="s">
        <v>2</v>
      </c>
      <c r="D72" s="322" t="s">
        <v>37</v>
      </c>
      <c r="E72" s="322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324" t="s">
        <v>114</v>
      </c>
      <c r="D73" s="324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323" t="s">
        <v>114</v>
      </c>
      <c r="D74" s="323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8">A74+1</f>
        <v>3</v>
      </c>
      <c r="B75" s="334"/>
      <c r="C75" s="323"/>
      <c r="D75" s="323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8"/>
        <v>4</v>
      </c>
      <c r="B76" s="334"/>
      <c r="C76" s="323"/>
      <c r="D76" s="323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8"/>
        <v>5</v>
      </c>
      <c r="B77" s="334"/>
      <c r="C77" s="323"/>
      <c r="D77" s="323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8"/>
        <v>6</v>
      </c>
      <c r="B78" s="334"/>
      <c r="C78" s="323"/>
      <c r="D78" s="323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8"/>
        <v>7</v>
      </c>
      <c r="B79" s="334"/>
      <c r="C79" s="323"/>
      <c r="D79" s="323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8"/>
        <v>8</v>
      </c>
      <c r="B80" s="334"/>
      <c r="C80" s="323"/>
      <c r="D80" s="323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8"/>
        <v>9</v>
      </c>
      <c r="B81" s="334"/>
      <c r="C81" s="323"/>
      <c r="D81" s="323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447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horizontalDpi="4294967293" verticalDpi="4294967293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E8E6-26BE-49A5-90EA-DEB643AAB40F}">
  <sheetPr>
    <pageSetUpPr fitToPage="1"/>
  </sheetPr>
  <dimension ref="A1:AF86"/>
  <sheetViews>
    <sheetView zoomScale="72" zoomScaleNormal="72" zoomScaleSheetLayoutView="70" workbookViewId="0">
      <selection activeCell="K76" sqref="K76:S76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187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48" t="s">
        <v>17</v>
      </c>
      <c r="L5" s="148" t="s">
        <v>18</v>
      </c>
      <c r="M5" s="148" t="s">
        <v>19</v>
      </c>
      <c r="N5" s="148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0.40555555555555556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0.40555555555555556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150</v>
      </c>
      <c r="D8" s="55" t="s">
        <v>132</v>
      </c>
      <c r="E8" s="57" t="s">
        <v>161</v>
      </c>
      <c r="F8" s="33" t="s">
        <v>131</v>
      </c>
      <c r="G8" s="36">
        <v>1</v>
      </c>
      <c r="H8" s="38">
        <v>25</v>
      </c>
      <c r="I8" s="7">
        <v>25000</v>
      </c>
      <c r="J8" s="5">
        <v>5823</v>
      </c>
      <c r="K8" s="15">
        <f>L8+4360+4180+3188+4010+6004+5126</f>
        <v>32691</v>
      </c>
      <c r="L8" s="15">
        <f>2942+2881</f>
        <v>5823</v>
      </c>
      <c r="M8" s="16">
        <f t="shared" si="0"/>
        <v>5823</v>
      </c>
      <c r="N8" s="16">
        <v>0</v>
      </c>
      <c r="O8" s="62">
        <f t="shared" si="1"/>
        <v>0</v>
      </c>
      <c r="P8" s="42">
        <f t="shared" si="2"/>
        <v>24</v>
      </c>
      <c r="Q8" s="43">
        <f t="shared" si="3"/>
        <v>0</v>
      </c>
      <c r="R8" s="7"/>
      <c r="S8" s="6"/>
      <c r="T8" s="17"/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1</v>
      </c>
      <c r="AD8" s="10">
        <f t="shared" si="6"/>
        <v>1</v>
      </c>
      <c r="AE8" s="39">
        <f t="shared" si="7"/>
        <v>0.40555555555555556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168</v>
      </c>
      <c r="F9" s="12" t="s">
        <v>147</v>
      </c>
      <c r="G9" s="12">
        <v>1</v>
      </c>
      <c r="H9" s="13">
        <v>25</v>
      </c>
      <c r="I9" s="7">
        <v>500</v>
      </c>
      <c r="J9" s="14">
        <v>640</v>
      </c>
      <c r="K9" s="15">
        <f>L9+640</f>
        <v>640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0.40555555555555556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114</v>
      </c>
      <c r="D10" s="55" t="s">
        <v>149</v>
      </c>
      <c r="E10" s="57" t="s">
        <v>170</v>
      </c>
      <c r="F10" s="12" t="s">
        <v>137</v>
      </c>
      <c r="G10" s="12">
        <v>1</v>
      </c>
      <c r="H10" s="13">
        <v>25</v>
      </c>
      <c r="I10" s="7">
        <v>9000</v>
      </c>
      <c r="J10" s="14">
        <v>903</v>
      </c>
      <c r="K10" s="15">
        <f>L10+903</f>
        <v>903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0.40555555555555556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164</v>
      </c>
      <c r="F11" s="12" t="s">
        <v>165</v>
      </c>
      <c r="G11" s="12">
        <v>1</v>
      </c>
      <c r="H11" s="13">
        <v>25</v>
      </c>
      <c r="I11" s="34">
        <v>25000</v>
      </c>
      <c r="J11" s="5">
        <v>5221</v>
      </c>
      <c r="K11" s="15">
        <f>L11+2801+5801+2006+3836+6064</f>
        <v>25729</v>
      </c>
      <c r="L11" s="15">
        <f>2846+2375</f>
        <v>5221</v>
      </c>
      <c r="M11" s="16">
        <f t="shared" si="0"/>
        <v>5221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0.40555555555555556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5982</v>
      </c>
      <c r="K12" s="15">
        <f>L12+6302</f>
        <v>12284</v>
      </c>
      <c r="L12" s="15">
        <f>2989+2993</f>
        <v>5982</v>
      </c>
      <c r="M12" s="16">
        <f t="shared" si="0"/>
        <v>5982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0.40555555555555556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544</v>
      </c>
      <c r="K13" s="15">
        <f>L13</f>
        <v>544</v>
      </c>
      <c r="L13" s="15">
        <f>544</f>
        <v>544</v>
      </c>
      <c r="M13" s="16">
        <f t="shared" si="0"/>
        <v>544</v>
      </c>
      <c r="N13" s="16">
        <v>0</v>
      </c>
      <c r="O13" s="62">
        <f t="shared" si="1"/>
        <v>0</v>
      </c>
      <c r="P13" s="42">
        <f t="shared" si="2"/>
        <v>4</v>
      </c>
      <c r="Q13" s="43">
        <f t="shared" si="3"/>
        <v>20</v>
      </c>
      <c r="R13" s="7"/>
      <c r="S13" s="6">
        <v>20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0.16666666666666666</v>
      </c>
      <c r="AD13" s="10">
        <f t="shared" si="6"/>
        <v>0.16666666666666666</v>
      </c>
      <c r="AE13" s="39">
        <f t="shared" si="7"/>
        <v>0.40555555555555556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0.40555555555555556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 t="s">
        <v>126</v>
      </c>
      <c r="E15" s="57" t="s">
        <v>169</v>
      </c>
      <c r="F15" s="12" t="s">
        <v>156</v>
      </c>
      <c r="G15" s="12">
        <v>1</v>
      </c>
      <c r="H15" s="13">
        <v>24</v>
      </c>
      <c r="I15" s="34">
        <v>500</v>
      </c>
      <c r="J15" s="14">
        <v>500</v>
      </c>
      <c r="K15" s="15">
        <f>L15+500</f>
        <v>500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0.40555555555555556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150</v>
      </c>
      <c r="D16" s="55" t="s">
        <v>138</v>
      </c>
      <c r="E16" s="57" t="s">
        <v>162</v>
      </c>
      <c r="F16" s="33" t="s">
        <v>131</v>
      </c>
      <c r="G16" s="36">
        <v>1</v>
      </c>
      <c r="H16" s="38">
        <v>25</v>
      </c>
      <c r="I16" s="7">
        <v>25000</v>
      </c>
      <c r="J16" s="5">
        <v>3891</v>
      </c>
      <c r="K16" s="15">
        <f>L16+4499+5214+3718+6243+5238</f>
        <v>28803</v>
      </c>
      <c r="L16" s="15">
        <f>3150+741</f>
        <v>3891</v>
      </c>
      <c r="M16" s="16">
        <f t="shared" si="0"/>
        <v>3891</v>
      </c>
      <c r="N16" s="16">
        <v>0</v>
      </c>
      <c r="O16" s="62">
        <f t="shared" si="1"/>
        <v>0</v>
      </c>
      <c r="P16" s="42">
        <f t="shared" si="2"/>
        <v>19</v>
      </c>
      <c r="Q16" s="43">
        <f t="shared" si="3"/>
        <v>5</v>
      </c>
      <c r="R16" s="7"/>
      <c r="S16" s="6">
        <v>5</v>
      </c>
      <c r="T16" s="17"/>
      <c r="U16" s="17"/>
      <c r="V16" s="18"/>
      <c r="W16" s="19"/>
      <c r="X16" s="17"/>
      <c r="Y16" s="20"/>
      <c r="Z16" s="20"/>
      <c r="AA16" s="21"/>
      <c r="AB16" s="8">
        <f t="shared" si="4"/>
        <v>1</v>
      </c>
      <c r="AC16" s="9">
        <f t="shared" si="5"/>
        <v>0.79166666666666663</v>
      </c>
      <c r="AD16" s="10">
        <f t="shared" si="6"/>
        <v>0.79166666666666663</v>
      </c>
      <c r="AE16" s="39">
        <f t="shared" si="7"/>
        <v>0.40555555555555556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L17+709</f>
        <v>709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0.40555555555555556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150</v>
      </c>
      <c r="D18" s="55" t="s">
        <v>123</v>
      </c>
      <c r="E18" s="57" t="s">
        <v>163</v>
      </c>
      <c r="F18" s="12" t="s">
        <v>151</v>
      </c>
      <c r="G18" s="36">
        <v>1</v>
      </c>
      <c r="H18" s="38">
        <v>30</v>
      </c>
      <c r="I18" s="7">
        <v>25000</v>
      </c>
      <c r="J18" s="5">
        <v>3647</v>
      </c>
      <c r="K18" s="15">
        <f>L18+4599+5522+2773+4743+5504+5678</f>
        <v>32466</v>
      </c>
      <c r="L18" s="15">
        <f>1125+2522</f>
        <v>3647</v>
      </c>
      <c r="M18" s="16">
        <f t="shared" si="0"/>
        <v>3647</v>
      </c>
      <c r="N18" s="16">
        <v>0</v>
      </c>
      <c r="O18" s="62">
        <f t="shared" si="1"/>
        <v>0</v>
      </c>
      <c r="P18" s="42">
        <f t="shared" si="2"/>
        <v>18</v>
      </c>
      <c r="Q18" s="43">
        <f t="shared" si="3"/>
        <v>6</v>
      </c>
      <c r="R18" s="7"/>
      <c r="S18" s="6">
        <v>6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0.75</v>
      </c>
      <c r="AD18" s="10">
        <f t="shared" si="6"/>
        <v>0.75</v>
      </c>
      <c r="AE18" s="39">
        <f t="shared" si="7"/>
        <v>0.40555555555555556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149</v>
      </c>
      <c r="E19" s="57" t="s">
        <v>170</v>
      </c>
      <c r="F19" s="33" t="s">
        <v>137</v>
      </c>
      <c r="G19" s="12">
        <v>1</v>
      </c>
      <c r="H19" s="13">
        <v>25</v>
      </c>
      <c r="I19" s="34">
        <v>10000</v>
      </c>
      <c r="J19" s="5">
        <v>4285</v>
      </c>
      <c r="K19" s="15">
        <f>L19+1951</f>
        <v>6236</v>
      </c>
      <c r="L19" s="15">
        <f>818+2807+660</f>
        <v>4285</v>
      </c>
      <c r="M19" s="16">
        <f t="shared" si="0"/>
        <v>4285</v>
      </c>
      <c r="N19" s="16">
        <v>0</v>
      </c>
      <c r="O19" s="62">
        <f t="shared" si="1"/>
        <v>0</v>
      </c>
      <c r="P19" s="42">
        <f t="shared" si="2"/>
        <v>21</v>
      </c>
      <c r="Q19" s="43">
        <f t="shared" si="3"/>
        <v>3</v>
      </c>
      <c r="R19" s="7"/>
      <c r="S19" s="6">
        <v>3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1</v>
      </c>
      <c r="AC19" s="9">
        <f t="shared" si="5"/>
        <v>0.875</v>
      </c>
      <c r="AD19" s="10">
        <f t="shared" si="6"/>
        <v>0.875</v>
      </c>
      <c r="AE19" s="39">
        <f t="shared" si="7"/>
        <v>0.40555555555555556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300000</v>
      </c>
      <c r="J20" s="14">
        <v>21900</v>
      </c>
      <c r="K20" s="15">
        <f>L20+44148+50632+51280+53100+49924+22424+45520+51608+29260+21344</f>
        <v>441140</v>
      </c>
      <c r="L20" s="15">
        <f>5475*4</f>
        <v>21900</v>
      </c>
      <c r="M20" s="16">
        <f t="shared" si="0"/>
        <v>21900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0.40555555555555556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682500</v>
      </c>
      <c r="J21" s="22">
        <f t="shared" si="9"/>
        <v>92754</v>
      </c>
      <c r="K21" s="23">
        <f t="shared" si="9"/>
        <v>770991</v>
      </c>
      <c r="L21" s="24">
        <f t="shared" si="9"/>
        <v>51293</v>
      </c>
      <c r="M21" s="23">
        <f t="shared" si="9"/>
        <v>51293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146</v>
      </c>
      <c r="Q21" s="46">
        <f t="shared" si="10"/>
        <v>214</v>
      </c>
      <c r="R21" s="26">
        <f t="shared" si="10"/>
        <v>48</v>
      </c>
      <c r="S21" s="27">
        <f t="shared" si="10"/>
        <v>34</v>
      </c>
      <c r="T21" s="27">
        <f t="shared" si="10"/>
        <v>0</v>
      </c>
      <c r="U21" s="27">
        <f t="shared" si="10"/>
        <v>0</v>
      </c>
      <c r="V21" s="28">
        <f t="shared" si="10"/>
        <v>36</v>
      </c>
      <c r="W21" s="29">
        <f t="shared" si="10"/>
        <v>96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0.53333333333333333</v>
      </c>
      <c r="AC21" s="4">
        <f>SUM(AC6:AC20)/15</f>
        <v>0.40555555555555556</v>
      </c>
      <c r="AD21" s="4">
        <f>SUM(AD6:AD20)/15</f>
        <v>0.40555555555555556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190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198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47" t="s">
        <v>46</v>
      </c>
      <c r="D50" s="147" t="s">
        <v>47</v>
      </c>
      <c r="E50" s="147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47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150</v>
      </c>
      <c r="B51" s="385"/>
      <c r="C51" s="144" t="s">
        <v>191</v>
      </c>
      <c r="D51" s="144" t="s">
        <v>138</v>
      </c>
      <c r="E51" s="144" t="s">
        <v>192</v>
      </c>
      <c r="F51" s="376" t="s">
        <v>193</v>
      </c>
      <c r="G51" s="376"/>
      <c r="H51" s="376"/>
      <c r="I51" s="376"/>
      <c r="J51" s="376"/>
      <c r="K51" s="376"/>
      <c r="L51" s="376"/>
      <c r="M51" s="386"/>
      <c r="N51" s="143" t="s">
        <v>152</v>
      </c>
      <c r="O51" s="124" t="s">
        <v>140</v>
      </c>
      <c r="P51" s="385" t="s">
        <v>123</v>
      </c>
      <c r="Q51" s="385"/>
      <c r="R51" s="385" t="s">
        <v>199</v>
      </c>
      <c r="S51" s="385"/>
      <c r="T51" s="385"/>
      <c r="U51" s="385"/>
      <c r="V51" s="376" t="s">
        <v>130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144" t="s">
        <v>144</v>
      </c>
      <c r="D52" s="144" t="s">
        <v>123</v>
      </c>
      <c r="E52" s="144" t="s">
        <v>188</v>
      </c>
      <c r="F52" s="376" t="s">
        <v>194</v>
      </c>
      <c r="G52" s="376"/>
      <c r="H52" s="376"/>
      <c r="I52" s="376"/>
      <c r="J52" s="376"/>
      <c r="K52" s="376"/>
      <c r="L52" s="376"/>
      <c r="M52" s="386"/>
      <c r="N52" s="143" t="s">
        <v>152</v>
      </c>
      <c r="O52" s="124" t="s">
        <v>184</v>
      </c>
      <c r="P52" s="385" t="s">
        <v>126</v>
      </c>
      <c r="Q52" s="385"/>
      <c r="R52" s="385" t="s">
        <v>200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114</v>
      </c>
      <c r="B53" s="385"/>
      <c r="C53" s="144" t="s">
        <v>142</v>
      </c>
      <c r="D53" s="144" t="s">
        <v>149</v>
      </c>
      <c r="E53" s="144" t="s">
        <v>170</v>
      </c>
      <c r="F53" s="376" t="s">
        <v>143</v>
      </c>
      <c r="G53" s="376"/>
      <c r="H53" s="376"/>
      <c r="I53" s="376"/>
      <c r="J53" s="376"/>
      <c r="K53" s="376"/>
      <c r="L53" s="376"/>
      <c r="M53" s="386"/>
      <c r="N53" s="143" t="s">
        <v>152</v>
      </c>
      <c r="O53" s="124" t="s">
        <v>142</v>
      </c>
      <c r="P53" s="385"/>
      <c r="Q53" s="385"/>
      <c r="R53" s="385" t="s">
        <v>201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150</v>
      </c>
      <c r="B54" s="385"/>
      <c r="C54" s="144" t="s">
        <v>195</v>
      </c>
      <c r="D54" s="144" t="s">
        <v>123</v>
      </c>
      <c r="E54" s="144" t="s">
        <v>196</v>
      </c>
      <c r="F54" s="376" t="s">
        <v>197</v>
      </c>
      <c r="G54" s="376"/>
      <c r="H54" s="376"/>
      <c r="I54" s="376"/>
      <c r="J54" s="376"/>
      <c r="K54" s="376"/>
      <c r="L54" s="376"/>
      <c r="M54" s="386"/>
      <c r="N54" s="143" t="s">
        <v>125</v>
      </c>
      <c r="O54" s="124" t="s">
        <v>144</v>
      </c>
      <c r="P54" s="385" t="s">
        <v>123</v>
      </c>
      <c r="Q54" s="385"/>
      <c r="R54" s="385" t="s">
        <v>188</v>
      </c>
      <c r="S54" s="385"/>
      <c r="T54" s="385"/>
      <c r="U54" s="385"/>
      <c r="V54" s="376" t="s">
        <v>143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/>
      <c r="B55" s="385"/>
      <c r="C55" s="144"/>
      <c r="D55" s="144"/>
      <c r="E55" s="144"/>
      <c r="F55" s="376"/>
      <c r="G55" s="376"/>
      <c r="H55" s="376"/>
      <c r="I55" s="376"/>
      <c r="J55" s="376"/>
      <c r="K55" s="376"/>
      <c r="L55" s="376"/>
      <c r="M55" s="386"/>
      <c r="N55" s="143" t="s">
        <v>152</v>
      </c>
      <c r="O55" s="124" t="s">
        <v>195</v>
      </c>
      <c r="P55" s="385"/>
      <c r="Q55" s="385"/>
      <c r="R55" s="385" t="s">
        <v>202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/>
      <c r="B56" s="385"/>
      <c r="C56" s="144"/>
      <c r="D56" s="144"/>
      <c r="E56" s="144"/>
      <c r="F56" s="376"/>
      <c r="G56" s="376"/>
      <c r="H56" s="376"/>
      <c r="I56" s="376"/>
      <c r="J56" s="376"/>
      <c r="K56" s="376"/>
      <c r="L56" s="376"/>
      <c r="M56" s="386"/>
      <c r="N56" s="143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44"/>
      <c r="D57" s="144"/>
      <c r="E57" s="144"/>
      <c r="F57" s="376"/>
      <c r="G57" s="376"/>
      <c r="H57" s="376"/>
      <c r="I57" s="376"/>
      <c r="J57" s="376"/>
      <c r="K57" s="376"/>
      <c r="L57" s="376"/>
      <c r="M57" s="386"/>
      <c r="N57" s="143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44"/>
      <c r="D58" s="144"/>
      <c r="E58" s="144"/>
      <c r="F58" s="376"/>
      <c r="G58" s="376"/>
      <c r="H58" s="376"/>
      <c r="I58" s="376"/>
      <c r="J58" s="376"/>
      <c r="K58" s="376"/>
      <c r="L58" s="376"/>
      <c r="M58" s="386"/>
      <c r="N58" s="143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44"/>
      <c r="D59" s="144"/>
      <c r="E59" s="144"/>
      <c r="F59" s="376"/>
      <c r="G59" s="376"/>
      <c r="H59" s="376"/>
      <c r="I59" s="376"/>
      <c r="J59" s="376"/>
      <c r="K59" s="376"/>
      <c r="L59" s="376"/>
      <c r="M59" s="386"/>
      <c r="N59" s="143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146"/>
      <c r="D60" s="146"/>
      <c r="E60" s="146"/>
      <c r="F60" s="389"/>
      <c r="G60" s="389"/>
      <c r="H60" s="389"/>
      <c r="I60" s="389"/>
      <c r="J60" s="389"/>
      <c r="K60" s="389"/>
      <c r="L60" s="389"/>
      <c r="M60" s="390"/>
      <c r="N60" s="145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203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142" t="s">
        <v>2</v>
      </c>
      <c r="D62" s="142" t="s">
        <v>37</v>
      </c>
      <c r="E62" s="142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142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125</v>
      </c>
      <c r="D63" s="138"/>
      <c r="E63" s="141" t="s">
        <v>206</v>
      </c>
      <c r="F63" s="374" t="s">
        <v>204</v>
      </c>
      <c r="G63" s="366"/>
      <c r="H63" s="366"/>
      <c r="I63" s="366"/>
      <c r="J63" s="366"/>
      <c r="K63" s="366" t="s">
        <v>205</v>
      </c>
      <c r="L63" s="366"/>
      <c r="M63" s="54" t="s">
        <v>186</v>
      </c>
      <c r="N63" s="366">
        <v>4</v>
      </c>
      <c r="O63" s="366"/>
      <c r="P63" s="375">
        <v>100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125</v>
      </c>
      <c r="D64" s="138"/>
      <c r="E64" s="141" t="s">
        <v>208</v>
      </c>
      <c r="F64" s="374" t="s">
        <v>207</v>
      </c>
      <c r="G64" s="366"/>
      <c r="H64" s="366"/>
      <c r="I64" s="366"/>
      <c r="J64" s="366"/>
      <c r="K64" s="366" t="s">
        <v>205</v>
      </c>
      <c r="L64" s="366"/>
      <c r="M64" s="54" t="s">
        <v>186</v>
      </c>
      <c r="N64" s="366">
        <v>4</v>
      </c>
      <c r="O64" s="366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138"/>
      <c r="E65" s="141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138"/>
      <c r="E66" s="141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138"/>
      <c r="E67" s="141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138"/>
      <c r="E68" s="141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138"/>
      <c r="E69" s="141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138"/>
      <c r="E70" s="141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209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140" t="s">
        <v>2</v>
      </c>
      <c r="D72" s="140" t="s">
        <v>37</v>
      </c>
      <c r="E72" s="140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139" t="s">
        <v>114</v>
      </c>
      <c r="D73" s="139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138" t="s">
        <v>114</v>
      </c>
      <c r="D74" s="138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138"/>
      <c r="D75" s="138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138"/>
      <c r="D76" s="138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138"/>
      <c r="D77" s="138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138"/>
      <c r="D78" s="138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138"/>
      <c r="D79" s="138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138"/>
      <c r="D80" s="138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138"/>
      <c r="D81" s="138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210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 t="s">
        <v>160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3104-4B6B-4D3D-824C-29A6FEC2869E}">
  <sheetPr>
    <pageSetUpPr fitToPage="1"/>
  </sheetPr>
  <dimension ref="A1:AF86"/>
  <sheetViews>
    <sheetView topLeftCell="A61" zoomScale="72" zoomScaleNormal="72" zoomScaleSheetLayoutView="70" workbookViewId="0">
      <selection activeCell="V85" sqref="V85:X85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211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59" t="s">
        <v>17</v>
      </c>
      <c r="L5" s="159" t="s">
        <v>18</v>
      </c>
      <c r="M5" s="159" t="s">
        <v>19</v>
      </c>
      <c r="N5" s="159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0.41928710513296785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0.41928710513296785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152</v>
      </c>
      <c r="D8" s="55" t="s">
        <v>123</v>
      </c>
      <c r="E8" s="57" t="s">
        <v>199</v>
      </c>
      <c r="F8" s="33" t="s">
        <v>212</v>
      </c>
      <c r="G8" s="36">
        <v>1</v>
      </c>
      <c r="H8" s="38">
        <v>25</v>
      </c>
      <c r="I8" s="7">
        <v>3000</v>
      </c>
      <c r="J8" s="5">
        <v>3054</v>
      </c>
      <c r="K8" s="15">
        <f>L8</f>
        <v>3054</v>
      </c>
      <c r="L8" s="15">
        <f>1563+1491</f>
        <v>3054</v>
      </c>
      <c r="M8" s="16">
        <f t="shared" si="0"/>
        <v>3054</v>
      </c>
      <c r="N8" s="16">
        <v>0</v>
      </c>
      <c r="O8" s="62">
        <f t="shared" si="1"/>
        <v>0</v>
      </c>
      <c r="P8" s="42">
        <f t="shared" si="2"/>
        <v>18</v>
      </c>
      <c r="Q8" s="43">
        <f t="shared" si="3"/>
        <v>6</v>
      </c>
      <c r="R8" s="7"/>
      <c r="S8" s="6"/>
      <c r="T8" s="17">
        <v>3</v>
      </c>
      <c r="U8" s="17"/>
      <c r="V8" s="18"/>
      <c r="W8" s="19">
        <v>3</v>
      </c>
      <c r="X8" s="17"/>
      <c r="Y8" s="20"/>
      <c r="Z8" s="20"/>
      <c r="AA8" s="21"/>
      <c r="AB8" s="8">
        <f t="shared" si="4"/>
        <v>1</v>
      </c>
      <c r="AC8" s="9">
        <f t="shared" si="5"/>
        <v>0.75</v>
      </c>
      <c r="AD8" s="10">
        <f t="shared" si="6"/>
        <v>0.75</v>
      </c>
      <c r="AE8" s="39">
        <f t="shared" si="7"/>
        <v>0.41928710513296785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168</v>
      </c>
      <c r="F9" s="12" t="s">
        <v>147</v>
      </c>
      <c r="G9" s="12">
        <v>1</v>
      </c>
      <c r="H9" s="13">
        <v>25</v>
      </c>
      <c r="I9" s="7">
        <v>500</v>
      </c>
      <c r="J9" s="14">
        <v>640</v>
      </c>
      <c r="K9" s="15">
        <f>L9+640</f>
        <v>640</v>
      </c>
      <c r="L9" s="15"/>
      <c r="M9" s="16">
        <f t="shared" si="0"/>
        <v>0</v>
      </c>
      <c r="N9" s="16">
        <v>0</v>
      </c>
      <c r="O9" s="62" t="str">
        <f t="shared" si="1"/>
        <v>0</v>
      </c>
      <c r="P9" s="42" t="str">
        <f t="shared" si="2"/>
        <v>0</v>
      </c>
      <c r="Q9" s="43">
        <f t="shared" si="3"/>
        <v>24</v>
      </c>
      <c r="R9" s="7"/>
      <c r="S9" s="6"/>
      <c r="T9" s="17"/>
      <c r="U9" s="17"/>
      <c r="V9" s="18"/>
      <c r="W9" s="19">
        <v>24</v>
      </c>
      <c r="X9" s="17"/>
      <c r="Y9" s="20"/>
      <c r="Z9" s="20"/>
      <c r="AA9" s="21"/>
      <c r="AB9" s="8">
        <f t="shared" si="4"/>
        <v>0</v>
      </c>
      <c r="AC9" s="9">
        <f t="shared" si="5"/>
        <v>0</v>
      </c>
      <c r="AD9" s="10">
        <f t="shared" si="6"/>
        <v>0</v>
      </c>
      <c r="AE9" s="39">
        <f t="shared" si="7"/>
        <v>0.41928710513296785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114</v>
      </c>
      <c r="D10" s="55" t="s">
        <v>149</v>
      </c>
      <c r="E10" s="57" t="s">
        <v>170</v>
      </c>
      <c r="F10" s="12" t="s">
        <v>137</v>
      </c>
      <c r="G10" s="12">
        <v>1</v>
      </c>
      <c r="H10" s="13">
        <v>25</v>
      </c>
      <c r="I10" s="7">
        <v>9000</v>
      </c>
      <c r="J10" s="14">
        <v>903</v>
      </c>
      <c r="K10" s="15">
        <f>L10+903</f>
        <v>903</v>
      </c>
      <c r="L10" s="15"/>
      <c r="M10" s="16">
        <f t="shared" si="0"/>
        <v>0</v>
      </c>
      <c r="N10" s="16">
        <v>0</v>
      </c>
      <c r="O10" s="62" t="str">
        <f t="shared" si="1"/>
        <v>0</v>
      </c>
      <c r="P10" s="42" t="str">
        <f t="shared" si="2"/>
        <v>0</v>
      </c>
      <c r="Q10" s="43">
        <f t="shared" si="3"/>
        <v>24</v>
      </c>
      <c r="R10" s="7"/>
      <c r="S10" s="6"/>
      <c r="T10" s="17"/>
      <c r="U10" s="17"/>
      <c r="V10" s="18">
        <v>24</v>
      </c>
      <c r="W10" s="19"/>
      <c r="X10" s="17"/>
      <c r="Y10" s="20"/>
      <c r="Z10" s="20"/>
      <c r="AA10" s="21"/>
      <c r="AB10" s="8">
        <f t="shared" si="4"/>
        <v>0</v>
      </c>
      <c r="AC10" s="9">
        <f t="shared" si="5"/>
        <v>0</v>
      </c>
      <c r="AD10" s="10">
        <f t="shared" si="6"/>
        <v>0</v>
      </c>
      <c r="AE10" s="39">
        <f t="shared" si="7"/>
        <v>0.41928710513296785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164</v>
      </c>
      <c r="F11" s="12" t="s">
        <v>165</v>
      </c>
      <c r="G11" s="12">
        <v>1</v>
      </c>
      <c r="H11" s="13">
        <v>25</v>
      </c>
      <c r="I11" s="34">
        <v>25000</v>
      </c>
      <c r="J11" s="5">
        <v>5963</v>
      </c>
      <c r="K11" s="15">
        <f>L11+2801+5801+2006+3836+6064+5221</f>
        <v>31692</v>
      </c>
      <c r="L11" s="15">
        <f>3118+2845</f>
        <v>5963</v>
      </c>
      <c r="M11" s="16">
        <f t="shared" si="0"/>
        <v>5963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0.41928710513296785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6188</v>
      </c>
      <c r="K12" s="15">
        <f>L12+6302+5982</f>
        <v>18472</v>
      </c>
      <c r="L12" s="15">
        <f>3244+2944</f>
        <v>6188</v>
      </c>
      <c r="M12" s="16">
        <f t="shared" si="0"/>
        <v>6188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0.41928710513296785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4130</v>
      </c>
      <c r="K13" s="15">
        <f>L13+544</f>
        <v>4673</v>
      </c>
      <c r="L13" s="15">
        <f>2791+1338</f>
        <v>4129</v>
      </c>
      <c r="M13" s="16">
        <f t="shared" si="0"/>
        <v>4129</v>
      </c>
      <c r="N13" s="16">
        <v>0</v>
      </c>
      <c r="O13" s="62">
        <f t="shared" si="1"/>
        <v>0</v>
      </c>
      <c r="P13" s="42">
        <f t="shared" si="2"/>
        <v>20</v>
      </c>
      <c r="Q13" s="43">
        <f t="shared" si="3"/>
        <v>4</v>
      </c>
      <c r="R13" s="7"/>
      <c r="S13" s="6">
        <v>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0.99975786924939469</v>
      </c>
      <c r="AC13" s="9">
        <f t="shared" si="5"/>
        <v>0.83333333333333337</v>
      </c>
      <c r="AD13" s="10">
        <f t="shared" si="6"/>
        <v>0.83313155770782898</v>
      </c>
      <c r="AE13" s="39">
        <f t="shared" si="7"/>
        <v>0.41928710513296785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0.41928710513296785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 t="s">
        <v>126</v>
      </c>
      <c r="E15" s="57" t="s">
        <v>200</v>
      </c>
      <c r="F15" s="12" t="s">
        <v>156</v>
      </c>
      <c r="G15" s="12">
        <v>1</v>
      </c>
      <c r="H15" s="13">
        <v>24</v>
      </c>
      <c r="I15" s="34">
        <v>3000</v>
      </c>
      <c r="J15" s="14">
        <v>3240</v>
      </c>
      <c r="K15" s="15">
        <f>L15</f>
        <v>3240</v>
      </c>
      <c r="L15" s="15">
        <f>1457+1783</f>
        <v>3240</v>
      </c>
      <c r="M15" s="16">
        <f t="shared" si="0"/>
        <v>3240</v>
      </c>
      <c r="N15" s="16">
        <v>0</v>
      </c>
      <c r="O15" s="62">
        <f t="shared" si="1"/>
        <v>0</v>
      </c>
      <c r="P15" s="42">
        <f t="shared" si="2"/>
        <v>17</v>
      </c>
      <c r="Q15" s="43">
        <f t="shared" si="3"/>
        <v>7</v>
      </c>
      <c r="R15" s="7"/>
      <c r="S15" s="6"/>
      <c r="T15" s="17">
        <v>3</v>
      </c>
      <c r="U15" s="17"/>
      <c r="V15" s="18"/>
      <c r="W15" s="19">
        <v>4</v>
      </c>
      <c r="X15" s="17"/>
      <c r="Y15" s="20"/>
      <c r="Z15" s="20"/>
      <c r="AA15" s="21"/>
      <c r="AB15" s="8">
        <f t="shared" si="4"/>
        <v>1</v>
      </c>
      <c r="AC15" s="9">
        <f t="shared" si="5"/>
        <v>0.70833333333333337</v>
      </c>
      <c r="AD15" s="10">
        <f t="shared" si="6"/>
        <v>0.70833333333333337</v>
      </c>
      <c r="AE15" s="39">
        <f t="shared" si="7"/>
        <v>0.41928710513296785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150</v>
      </c>
      <c r="D16" s="55" t="s">
        <v>138</v>
      </c>
      <c r="E16" s="57" t="s">
        <v>162</v>
      </c>
      <c r="F16" s="33" t="s">
        <v>131</v>
      </c>
      <c r="G16" s="36">
        <v>1</v>
      </c>
      <c r="H16" s="38">
        <v>25</v>
      </c>
      <c r="I16" s="7">
        <v>25000</v>
      </c>
      <c r="J16" s="5">
        <v>6560</v>
      </c>
      <c r="K16" s="15">
        <f>L16+4499+5214+3718+6243+5238+3891</f>
        <v>35356</v>
      </c>
      <c r="L16" s="15">
        <f>3093+3460</f>
        <v>6553</v>
      </c>
      <c r="M16" s="16">
        <f t="shared" si="0"/>
        <v>6553</v>
      </c>
      <c r="N16" s="16">
        <v>0</v>
      </c>
      <c r="O16" s="62">
        <f t="shared" si="1"/>
        <v>0</v>
      </c>
      <c r="P16" s="42">
        <f t="shared" si="2"/>
        <v>24</v>
      </c>
      <c r="Q16" s="43">
        <f t="shared" si="3"/>
        <v>0</v>
      </c>
      <c r="R16" s="7"/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0.99893292682926826</v>
      </c>
      <c r="AC16" s="9">
        <f t="shared" si="5"/>
        <v>1</v>
      </c>
      <c r="AD16" s="10">
        <f t="shared" si="6"/>
        <v>0.99893292682926826</v>
      </c>
      <c r="AE16" s="39">
        <f t="shared" si="7"/>
        <v>0.41928710513296785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L17+709</f>
        <v>709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0.41928710513296785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152</v>
      </c>
      <c r="D18" s="55" t="s">
        <v>213</v>
      </c>
      <c r="E18" s="57" t="s">
        <v>214</v>
      </c>
      <c r="F18" s="12" t="s">
        <v>189</v>
      </c>
      <c r="G18" s="36">
        <v>1</v>
      </c>
      <c r="H18" s="38">
        <v>30</v>
      </c>
      <c r="I18" s="7">
        <v>6000</v>
      </c>
      <c r="J18" s="5">
        <v>3000</v>
      </c>
      <c r="K18" s="15">
        <f>L18</f>
        <v>2994</v>
      </c>
      <c r="L18" s="15">
        <f>2994</f>
        <v>2994</v>
      </c>
      <c r="M18" s="16">
        <f t="shared" si="0"/>
        <v>2994</v>
      </c>
      <c r="N18" s="16">
        <v>0</v>
      </c>
      <c r="O18" s="62">
        <f t="shared" si="1"/>
        <v>0</v>
      </c>
      <c r="P18" s="42">
        <f t="shared" si="2"/>
        <v>12</v>
      </c>
      <c r="Q18" s="43">
        <f t="shared" si="3"/>
        <v>12</v>
      </c>
      <c r="R18" s="7"/>
      <c r="S18" s="6">
        <v>12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0.998</v>
      </c>
      <c r="AC18" s="9">
        <f t="shared" si="5"/>
        <v>0.5</v>
      </c>
      <c r="AD18" s="10">
        <f t="shared" si="6"/>
        <v>0.499</v>
      </c>
      <c r="AE18" s="39">
        <f t="shared" si="7"/>
        <v>0.41928710513296785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149</v>
      </c>
      <c r="E19" s="57" t="s">
        <v>170</v>
      </c>
      <c r="F19" s="33" t="s">
        <v>137</v>
      </c>
      <c r="G19" s="12">
        <v>1</v>
      </c>
      <c r="H19" s="13">
        <v>25</v>
      </c>
      <c r="I19" s="34">
        <v>10000</v>
      </c>
      <c r="J19" s="5">
        <v>4285</v>
      </c>
      <c r="K19" s="15">
        <f>L19+1951+4285</f>
        <v>6236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0.41928710513296785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124</v>
      </c>
      <c r="F20" s="12" t="s">
        <v>122</v>
      </c>
      <c r="G20" s="12">
        <v>4</v>
      </c>
      <c r="H20" s="38">
        <v>20</v>
      </c>
      <c r="I20" s="7">
        <v>300000</v>
      </c>
      <c r="J20" s="14">
        <v>21920</v>
      </c>
      <c r="K20" s="15">
        <f>L20+44148+50632+51280+53100+49924+22424+45520+51608+29260+21344+21900</f>
        <v>463056</v>
      </c>
      <c r="L20" s="15">
        <f>5479*4</f>
        <v>21916</v>
      </c>
      <c r="M20" s="16">
        <f t="shared" si="0"/>
        <v>21916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0.99981751824817522</v>
      </c>
      <c r="AC20" s="9">
        <f t="shared" si="5"/>
        <v>0.5</v>
      </c>
      <c r="AD20" s="10">
        <f t="shared" si="6"/>
        <v>0.49990875912408761</v>
      </c>
      <c r="AE20" s="39">
        <f t="shared" si="7"/>
        <v>0.41928710513296785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644000</v>
      </c>
      <c r="J21" s="22">
        <f t="shared" si="9"/>
        <v>99301</v>
      </c>
      <c r="K21" s="23">
        <f t="shared" si="9"/>
        <v>759371</v>
      </c>
      <c r="L21" s="24">
        <f t="shared" si="9"/>
        <v>54037</v>
      </c>
      <c r="M21" s="23">
        <f t="shared" si="9"/>
        <v>54037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151</v>
      </c>
      <c r="Q21" s="46">
        <f t="shared" si="10"/>
        <v>209</v>
      </c>
      <c r="R21" s="26">
        <f t="shared" si="10"/>
        <v>48</v>
      </c>
      <c r="S21" s="27">
        <f t="shared" si="10"/>
        <v>16</v>
      </c>
      <c r="T21" s="27">
        <f t="shared" si="10"/>
        <v>6</v>
      </c>
      <c r="U21" s="27">
        <f t="shared" si="10"/>
        <v>0</v>
      </c>
      <c r="V21" s="28">
        <f t="shared" si="10"/>
        <v>36</v>
      </c>
      <c r="W21" s="29">
        <f t="shared" si="10"/>
        <v>103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0.53310055428845593</v>
      </c>
      <c r="AC21" s="4">
        <f>SUM(AC6:AC20)/15</f>
        <v>0.41944444444444445</v>
      </c>
      <c r="AD21" s="4">
        <f>SUM(AD6:AD20)/15</f>
        <v>0.41928710513296785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215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221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58" t="s">
        <v>46</v>
      </c>
      <c r="D50" s="158" t="s">
        <v>47</v>
      </c>
      <c r="E50" s="158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58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152</v>
      </c>
      <c r="B51" s="385"/>
      <c r="C51" s="155" t="s">
        <v>140</v>
      </c>
      <c r="D51" s="155" t="s">
        <v>123</v>
      </c>
      <c r="E51" s="155" t="s">
        <v>199</v>
      </c>
      <c r="F51" s="376" t="s">
        <v>130</v>
      </c>
      <c r="G51" s="376"/>
      <c r="H51" s="376"/>
      <c r="I51" s="376"/>
      <c r="J51" s="376"/>
      <c r="K51" s="376"/>
      <c r="L51" s="376"/>
      <c r="M51" s="386"/>
      <c r="N51" s="154" t="s">
        <v>125</v>
      </c>
      <c r="O51" s="124" t="s">
        <v>141</v>
      </c>
      <c r="P51" s="385" t="s">
        <v>123</v>
      </c>
      <c r="Q51" s="385"/>
      <c r="R51" s="385" t="s">
        <v>219</v>
      </c>
      <c r="S51" s="385"/>
      <c r="T51" s="385"/>
      <c r="U51" s="385"/>
      <c r="V51" s="376" t="s">
        <v>143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125</v>
      </c>
      <c r="B52" s="385"/>
      <c r="C52" s="155" t="s">
        <v>144</v>
      </c>
      <c r="D52" s="155" t="s">
        <v>123</v>
      </c>
      <c r="E52" s="155" t="s">
        <v>188</v>
      </c>
      <c r="F52" s="376" t="s">
        <v>143</v>
      </c>
      <c r="G52" s="376"/>
      <c r="H52" s="376"/>
      <c r="I52" s="376"/>
      <c r="J52" s="376"/>
      <c r="K52" s="376"/>
      <c r="L52" s="376"/>
      <c r="M52" s="386"/>
      <c r="N52" s="154" t="s">
        <v>152</v>
      </c>
      <c r="O52" s="124" t="s">
        <v>142</v>
      </c>
      <c r="P52" s="385"/>
      <c r="Q52" s="385"/>
      <c r="R52" s="385" t="s">
        <v>201</v>
      </c>
      <c r="S52" s="385"/>
      <c r="T52" s="385"/>
      <c r="U52" s="385"/>
      <c r="V52" s="376" t="s">
        <v>143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152</v>
      </c>
      <c r="B53" s="385"/>
      <c r="C53" s="155" t="s">
        <v>216</v>
      </c>
      <c r="D53" s="155" t="s">
        <v>217</v>
      </c>
      <c r="E53" s="155" t="s">
        <v>201</v>
      </c>
      <c r="F53" s="376" t="s">
        <v>218</v>
      </c>
      <c r="G53" s="376"/>
      <c r="H53" s="376"/>
      <c r="I53" s="376"/>
      <c r="J53" s="376"/>
      <c r="K53" s="376"/>
      <c r="L53" s="376"/>
      <c r="M53" s="386"/>
      <c r="N53" s="154" t="s">
        <v>222</v>
      </c>
      <c r="O53" s="124" t="s">
        <v>140</v>
      </c>
      <c r="P53" s="385" t="s">
        <v>208</v>
      </c>
      <c r="Q53" s="385"/>
      <c r="R53" s="385" t="s">
        <v>223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152</v>
      </c>
      <c r="B54" s="385"/>
      <c r="C54" s="155" t="s">
        <v>184</v>
      </c>
      <c r="D54" s="155" t="s">
        <v>126</v>
      </c>
      <c r="E54" s="155" t="s">
        <v>200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154" t="s">
        <v>224</v>
      </c>
      <c r="O54" s="124" t="s">
        <v>184</v>
      </c>
      <c r="P54" s="385"/>
      <c r="Q54" s="385"/>
      <c r="R54" s="385" t="s">
        <v>225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152</v>
      </c>
      <c r="B55" s="385"/>
      <c r="C55" s="155" t="s">
        <v>195</v>
      </c>
      <c r="D55" s="155" t="s">
        <v>213</v>
      </c>
      <c r="E55" s="155" t="s">
        <v>214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154" t="s">
        <v>121</v>
      </c>
      <c r="O55" s="124" t="s">
        <v>227</v>
      </c>
      <c r="P55" s="385"/>
      <c r="Q55" s="385"/>
      <c r="R55" s="385" t="s">
        <v>226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125</v>
      </c>
      <c r="B56" s="385"/>
      <c r="C56" s="155" t="s">
        <v>141</v>
      </c>
      <c r="D56" s="155" t="s">
        <v>123</v>
      </c>
      <c r="E56" s="155" t="s">
        <v>219</v>
      </c>
      <c r="F56" s="376" t="s">
        <v>220</v>
      </c>
      <c r="G56" s="376"/>
      <c r="H56" s="376"/>
      <c r="I56" s="376"/>
      <c r="J56" s="376"/>
      <c r="K56" s="376"/>
      <c r="L56" s="376"/>
      <c r="M56" s="386"/>
      <c r="N56" s="154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55"/>
      <c r="D57" s="155"/>
      <c r="E57" s="155"/>
      <c r="F57" s="376"/>
      <c r="G57" s="376"/>
      <c r="H57" s="376"/>
      <c r="I57" s="376"/>
      <c r="J57" s="376"/>
      <c r="K57" s="376"/>
      <c r="L57" s="376"/>
      <c r="M57" s="386"/>
      <c r="N57" s="154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55"/>
      <c r="D58" s="155"/>
      <c r="E58" s="155"/>
      <c r="F58" s="376"/>
      <c r="G58" s="376"/>
      <c r="H58" s="376"/>
      <c r="I58" s="376"/>
      <c r="J58" s="376"/>
      <c r="K58" s="376"/>
      <c r="L58" s="376"/>
      <c r="M58" s="386"/>
      <c r="N58" s="154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55"/>
      <c r="D59" s="155"/>
      <c r="E59" s="155"/>
      <c r="F59" s="376"/>
      <c r="G59" s="376"/>
      <c r="H59" s="376"/>
      <c r="I59" s="376"/>
      <c r="J59" s="376"/>
      <c r="K59" s="376"/>
      <c r="L59" s="376"/>
      <c r="M59" s="386"/>
      <c r="N59" s="154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157"/>
      <c r="D60" s="157"/>
      <c r="E60" s="157"/>
      <c r="F60" s="389"/>
      <c r="G60" s="389"/>
      <c r="H60" s="389"/>
      <c r="I60" s="389"/>
      <c r="J60" s="389"/>
      <c r="K60" s="389"/>
      <c r="L60" s="389"/>
      <c r="M60" s="390"/>
      <c r="N60" s="156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228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153" t="s">
        <v>2</v>
      </c>
      <c r="D62" s="153" t="s">
        <v>37</v>
      </c>
      <c r="E62" s="153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153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125</v>
      </c>
      <c r="D63" s="149"/>
      <c r="E63" s="152" t="s">
        <v>208</v>
      </c>
      <c r="F63" s="374" t="s">
        <v>229</v>
      </c>
      <c r="G63" s="366"/>
      <c r="H63" s="366"/>
      <c r="I63" s="366"/>
      <c r="J63" s="366"/>
      <c r="K63" s="366" t="s">
        <v>205</v>
      </c>
      <c r="L63" s="366"/>
      <c r="M63" s="54" t="s">
        <v>186</v>
      </c>
      <c r="N63" s="366">
        <v>4</v>
      </c>
      <c r="O63" s="366"/>
      <c r="P63" s="375">
        <v>100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125</v>
      </c>
      <c r="D64" s="149"/>
      <c r="E64" s="152" t="s">
        <v>123</v>
      </c>
      <c r="F64" s="374" t="s">
        <v>219</v>
      </c>
      <c r="G64" s="366"/>
      <c r="H64" s="366"/>
      <c r="I64" s="366"/>
      <c r="J64" s="366"/>
      <c r="K64" s="366" t="s">
        <v>189</v>
      </c>
      <c r="L64" s="366"/>
      <c r="M64" s="54" t="s">
        <v>186</v>
      </c>
      <c r="N64" s="366">
        <v>4</v>
      </c>
      <c r="O64" s="366"/>
      <c r="P64" s="375">
        <v>20</v>
      </c>
      <c r="Q64" s="375"/>
      <c r="R64" s="376" t="s">
        <v>230</v>
      </c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/>
      <c r="D65" s="149"/>
      <c r="E65" s="152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/>
      <c r="D66" s="149"/>
      <c r="E66" s="152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149"/>
      <c r="E67" s="152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149"/>
      <c r="E68" s="152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149"/>
      <c r="E69" s="152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149"/>
      <c r="E70" s="152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231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151" t="s">
        <v>2</v>
      </c>
      <c r="D72" s="151" t="s">
        <v>37</v>
      </c>
      <c r="E72" s="151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150" t="s">
        <v>114</v>
      </c>
      <c r="D73" s="150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149" t="s">
        <v>114</v>
      </c>
      <c r="D74" s="149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149"/>
      <c r="D75" s="149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149"/>
      <c r="D76" s="149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149"/>
      <c r="D77" s="149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149"/>
      <c r="D78" s="149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149"/>
      <c r="D79" s="149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149"/>
      <c r="D80" s="149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149"/>
      <c r="D81" s="149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232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CA21-5794-440B-B1AA-76E8F73F4EAB}">
  <sheetPr>
    <pageSetUpPr fitToPage="1"/>
  </sheetPr>
  <dimension ref="A1:AF86"/>
  <sheetViews>
    <sheetView zoomScale="72" zoomScaleNormal="72" zoomScaleSheetLayoutView="70" workbookViewId="0">
      <selection activeCell="K79" sqref="K79:S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233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60" t="s">
        <v>17</v>
      </c>
      <c r="L5" s="160" t="s">
        <v>18</v>
      </c>
      <c r="M5" s="160" t="s">
        <v>19</v>
      </c>
      <c r="N5" s="160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0" si="0">L6-N6</f>
        <v>0</v>
      </c>
      <c r="N6" s="16">
        <v>0</v>
      </c>
      <c r="O6" s="62" t="str">
        <f t="shared" ref="O6:O21" si="1">IF(L6=0,"0",N6/L6)</f>
        <v>0</v>
      </c>
      <c r="P6" s="42" t="str">
        <f t="shared" ref="P6:P20" si="2">IF(L6=0,"0",(24-Q6))</f>
        <v>0</v>
      </c>
      <c r="Q6" s="43">
        <f t="shared" ref="Q6:Q20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0" si="4">IF(J6=0,"0",(L6/J6))</f>
        <v>0</v>
      </c>
      <c r="AC6" s="9">
        <f t="shared" ref="AC6:AC20" si="5">IF(P6=0,"0",(P6/24))</f>
        <v>0</v>
      </c>
      <c r="AD6" s="10">
        <f t="shared" ref="AD6:AD20" si="6">AC6*AB6*(1-O6)</f>
        <v>0</v>
      </c>
      <c r="AE6" s="39">
        <f t="shared" ref="AE6:AE20" si="7">$AD$21</f>
        <v>0.36383881543931368</v>
      </c>
      <c r="AF6" s="93">
        <f t="shared" ref="AF6:AF20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0.36383881543931368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222</v>
      </c>
      <c r="D8" s="55" t="s">
        <v>208</v>
      </c>
      <c r="E8" s="57" t="s">
        <v>223</v>
      </c>
      <c r="F8" s="33" t="s">
        <v>234</v>
      </c>
      <c r="G8" s="36">
        <v>2</v>
      </c>
      <c r="H8" s="38">
        <v>25</v>
      </c>
      <c r="I8" s="7">
        <v>500</v>
      </c>
      <c r="J8" s="5">
        <v>2372</v>
      </c>
      <c r="K8" s="15">
        <f>L8</f>
        <v>2372</v>
      </c>
      <c r="L8" s="15">
        <f>1186*2</f>
        <v>2372</v>
      </c>
      <c r="M8" s="16">
        <f t="shared" si="0"/>
        <v>2372</v>
      </c>
      <c r="N8" s="16">
        <v>0</v>
      </c>
      <c r="O8" s="62">
        <f t="shared" si="1"/>
        <v>0</v>
      </c>
      <c r="P8" s="42">
        <f t="shared" si="2"/>
        <v>6</v>
      </c>
      <c r="Q8" s="43">
        <f t="shared" si="3"/>
        <v>18</v>
      </c>
      <c r="R8" s="7"/>
      <c r="S8" s="6"/>
      <c r="T8" s="17"/>
      <c r="U8" s="17"/>
      <c r="V8" s="18"/>
      <c r="W8" s="19">
        <v>18</v>
      </c>
      <c r="X8" s="17"/>
      <c r="Y8" s="20"/>
      <c r="Z8" s="20"/>
      <c r="AA8" s="21"/>
      <c r="AB8" s="8">
        <f t="shared" si="4"/>
        <v>1</v>
      </c>
      <c r="AC8" s="9">
        <f t="shared" si="5"/>
        <v>0.25</v>
      </c>
      <c r="AD8" s="10">
        <f t="shared" si="6"/>
        <v>0.25</v>
      </c>
      <c r="AE8" s="39">
        <f t="shared" si="7"/>
        <v>0.36383881543931368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123</v>
      </c>
      <c r="E9" s="57" t="s">
        <v>219</v>
      </c>
      <c r="F9" s="12" t="s">
        <v>189</v>
      </c>
      <c r="G9" s="12">
        <v>1</v>
      </c>
      <c r="H9" s="13">
        <v>25</v>
      </c>
      <c r="I9" s="7">
        <v>1500</v>
      </c>
      <c r="J9" s="14">
        <v>345</v>
      </c>
      <c r="K9" s="15">
        <f>L9</f>
        <v>345</v>
      </c>
      <c r="L9" s="15">
        <v>345</v>
      </c>
      <c r="M9" s="16">
        <f t="shared" si="0"/>
        <v>345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>
        <v>20</v>
      </c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0.36383881543931368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201</v>
      </c>
      <c r="F10" s="12" t="s">
        <v>189</v>
      </c>
      <c r="G10" s="12">
        <v>2</v>
      </c>
      <c r="H10" s="13">
        <v>25</v>
      </c>
      <c r="I10" s="7">
        <v>20000</v>
      </c>
      <c r="J10" s="14">
        <v>1700</v>
      </c>
      <c r="K10" s="15">
        <f>L10</f>
        <v>1696</v>
      </c>
      <c r="L10" s="15">
        <f>848*2</f>
        <v>1696</v>
      </c>
      <c r="M10" s="16">
        <f t="shared" si="0"/>
        <v>1696</v>
      </c>
      <c r="N10" s="16">
        <v>0</v>
      </c>
      <c r="O10" s="62">
        <f t="shared" si="1"/>
        <v>0</v>
      </c>
      <c r="P10" s="42">
        <f t="shared" si="2"/>
        <v>6</v>
      </c>
      <c r="Q10" s="43">
        <f t="shared" si="3"/>
        <v>18</v>
      </c>
      <c r="R10" s="7"/>
      <c r="S10" s="6">
        <v>16</v>
      </c>
      <c r="T10" s="17">
        <v>2</v>
      </c>
      <c r="U10" s="17"/>
      <c r="V10" s="18"/>
      <c r="W10" s="19"/>
      <c r="X10" s="17"/>
      <c r="Y10" s="20"/>
      <c r="Z10" s="20"/>
      <c r="AA10" s="21"/>
      <c r="AB10" s="8">
        <f t="shared" si="4"/>
        <v>0.99764705882352944</v>
      </c>
      <c r="AC10" s="9">
        <f t="shared" si="5"/>
        <v>0.25</v>
      </c>
      <c r="AD10" s="10">
        <f t="shared" si="6"/>
        <v>0.24941176470588236</v>
      </c>
      <c r="AE10" s="39">
        <f t="shared" si="7"/>
        <v>0.36383881543931368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150</v>
      </c>
      <c r="D11" s="55" t="s">
        <v>136</v>
      </c>
      <c r="E11" s="57" t="s">
        <v>164</v>
      </c>
      <c r="F11" s="12" t="s">
        <v>165</v>
      </c>
      <c r="G11" s="12">
        <v>1</v>
      </c>
      <c r="H11" s="13">
        <v>25</v>
      </c>
      <c r="I11" s="34">
        <v>25000</v>
      </c>
      <c r="J11" s="5">
        <v>5986</v>
      </c>
      <c r="K11" s="15">
        <f>L11+2801+5801+2006+3836+6064+5221+5963</f>
        <v>37678</v>
      </c>
      <c r="L11" s="15">
        <f>3370+2616</f>
        <v>5986</v>
      </c>
      <c r="M11" s="16">
        <f t="shared" si="0"/>
        <v>5986</v>
      </c>
      <c r="N11" s="16">
        <v>0</v>
      </c>
      <c r="O11" s="62">
        <f t="shared" si="1"/>
        <v>0</v>
      </c>
      <c r="P11" s="42">
        <f t="shared" si="2"/>
        <v>24</v>
      </c>
      <c r="Q11" s="43">
        <f t="shared" si="3"/>
        <v>0</v>
      </c>
      <c r="R11" s="7"/>
      <c r="S11" s="6"/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1</v>
      </c>
      <c r="AD11" s="10">
        <f t="shared" si="6"/>
        <v>1</v>
      </c>
      <c r="AE11" s="39">
        <f t="shared" si="7"/>
        <v>0.36383881543931368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6140</v>
      </c>
      <c r="K12" s="15">
        <f>L12+6302+5982+6188</f>
        <v>24611</v>
      </c>
      <c r="L12" s="15">
        <f>3218+2921</f>
        <v>6139</v>
      </c>
      <c r="M12" s="16">
        <f t="shared" si="0"/>
        <v>6139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0.99983713355048864</v>
      </c>
      <c r="AC12" s="9">
        <f t="shared" si="5"/>
        <v>1</v>
      </c>
      <c r="AD12" s="10">
        <f t="shared" si="6"/>
        <v>0.99983713355048864</v>
      </c>
      <c r="AE12" s="39">
        <f t="shared" si="7"/>
        <v>0.36383881543931368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5286</v>
      </c>
      <c r="K13" s="15">
        <f>L13+544+4129</f>
        <v>9959</v>
      </c>
      <c r="L13" s="15">
        <f>2764+2522</f>
        <v>5286</v>
      </c>
      <c r="M13" s="16">
        <f t="shared" si="0"/>
        <v>5286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0.36383881543931368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0.36383881543931368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224</v>
      </c>
      <c r="D15" s="55"/>
      <c r="E15" s="57" t="s">
        <v>235</v>
      </c>
      <c r="F15" s="12">
        <v>8301</v>
      </c>
      <c r="G15" s="12">
        <v>1</v>
      </c>
      <c r="H15" s="13">
        <v>24</v>
      </c>
      <c r="I15" s="34">
        <v>1000</v>
      </c>
      <c r="J15" s="14">
        <v>2466</v>
      </c>
      <c r="K15" s="15">
        <f>L15</f>
        <v>2466</v>
      </c>
      <c r="L15" s="15">
        <f>861+1605</f>
        <v>2466</v>
      </c>
      <c r="M15" s="16">
        <f t="shared" si="0"/>
        <v>2466</v>
      </c>
      <c r="N15" s="16">
        <v>0</v>
      </c>
      <c r="O15" s="62">
        <f t="shared" si="1"/>
        <v>0</v>
      </c>
      <c r="P15" s="42">
        <f t="shared" si="2"/>
        <v>12</v>
      </c>
      <c r="Q15" s="43">
        <f t="shared" si="3"/>
        <v>12</v>
      </c>
      <c r="R15" s="7"/>
      <c r="S15" s="6"/>
      <c r="T15" s="17">
        <v>4</v>
      </c>
      <c r="U15" s="17"/>
      <c r="V15" s="18"/>
      <c r="W15" s="19">
        <v>8</v>
      </c>
      <c r="X15" s="17"/>
      <c r="Y15" s="20"/>
      <c r="Z15" s="20"/>
      <c r="AA15" s="21"/>
      <c r="AB15" s="8">
        <f t="shared" si="4"/>
        <v>1</v>
      </c>
      <c r="AC15" s="9">
        <f t="shared" si="5"/>
        <v>0.5</v>
      </c>
      <c r="AD15" s="10">
        <f t="shared" si="6"/>
        <v>0.5</v>
      </c>
      <c r="AE15" s="39">
        <f t="shared" si="7"/>
        <v>0.36383881543931368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150</v>
      </c>
      <c r="D16" s="55" t="s">
        <v>138</v>
      </c>
      <c r="E16" s="57" t="s">
        <v>162</v>
      </c>
      <c r="F16" s="33" t="s">
        <v>131</v>
      </c>
      <c r="G16" s="36">
        <v>1</v>
      </c>
      <c r="H16" s="38">
        <v>25</v>
      </c>
      <c r="I16" s="7">
        <v>25000</v>
      </c>
      <c r="J16" s="5">
        <v>6560</v>
      </c>
      <c r="K16" s="15">
        <f>L16+4499+5214+3718+6243+5238+3891+6553</f>
        <v>35356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0.36383881543931368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L17+709</f>
        <v>709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0.36383881543931368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152</v>
      </c>
      <c r="D18" s="55" t="s">
        <v>213</v>
      </c>
      <c r="E18" s="57" t="s">
        <v>214</v>
      </c>
      <c r="F18" s="12" t="s">
        <v>189</v>
      </c>
      <c r="G18" s="36">
        <v>1</v>
      </c>
      <c r="H18" s="38">
        <v>30</v>
      </c>
      <c r="I18" s="7">
        <v>6000</v>
      </c>
      <c r="J18" s="5">
        <v>4289</v>
      </c>
      <c r="K18" s="15">
        <f>L18+2994</f>
        <v>7283</v>
      </c>
      <c r="L18" s="15">
        <f>2729+1560</f>
        <v>4289</v>
      </c>
      <c r="M18" s="16">
        <f t="shared" si="0"/>
        <v>4289</v>
      </c>
      <c r="N18" s="16">
        <v>0</v>
      </c>
      <c r="O18" s="62">
        <f t="shared" si="1"/>
        <v>0</v>
      </c>
      <c r="P18" s="42">
        <f t="shared" si="2"/>
        <v>19</v>
      </c>
      <c r="Q18" s="43">
        <f t="shared" si="3"/>
        <v>5</v>
      </c>
      <c r="R18" s="7"/>
      <c r="S18" s="6">
        <v>5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1</v>
      </c>
      <c r="AC18" s="9">
        <f t="shared" si="5"/>
        <v>0.79166666666666663</v>
      </c>
      <c r="AD18" s="10">
        <f t="shared" si="6"/>
        <v>0.79166666666666663</v>
      </c>
      <c r="AE18" s="39">
        <f t="shared" si="7"/>
        <v>0.36383881543931368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114</v>
      </c>
      <c r="D19" s="55" t="s">
        <v>149</v>
      </c>
      <c r="E19" s="57" t="s">
        <v>170</v>
      </c>
      <c r="F19" s="33" t="s">
        <v>137</v>
      </c>
      <c r="G19" s="12">
        <v>1</v>
      </c>
      <c r="H19" s="13">
        <v>25</v>
      </c>
      <c r="I19" s="34">
        <v>10000</v>
      </c>
      <c r="J19" s="5">
        <v>4285</v>
      </c>
      <c r="K19" s="15">
        <f>L19+1951+4285</f>
        <v>6236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/>
      <c r="T19" s="17"/>
      <c r="U19" s="17"/>
      <c r="V19" s="18"/>
      <c r="W19" s="19">
        <v>24</v>
      </c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0.36383881543931368</v>
      </c>
      <c r="AF19" s="93">
        <f t="shared" si="8"/>
        <v>14</v>
      </c>
    </row>
    <row r="20" spans="1:32" ht="27" customHeight="1" thickBot="1">
      <c r="A20" s="109">
        <v>15</v>
      </c>
      <c r="B20" s="11" t="s">
        <v>57</v>
      </c>
      <c r="C20" s="11" t="s">
        <v>121</v>
      </c>
      <c r="D20" s="55"/>
      <c r="E20" s="56" t="s">
        <v>236</v>
      </c>
      <c r="F20" s="12" t="s">
        <v>122</v>
      </c>
      <c r="G20" s="12">
        <v>4</v>
      </c>
      <c r="H20" s="38">
        <v>20</v>
      </c>
      <c r="I20" s="7">
        <v>300000</v>
      </c>
      <c r="J20" s="14">
        <v>20068</v>
      </c>
      <c r="K20" s="15">
        <f>L20</f>
        <v>20068</v>
      </c>
      <c r="L20" s="15">
        <f>5017*4</f>
        <v>20068</v>
      </c>
      <c r="M20" s="16">
        <f t="shared" si="0"/>
        <v>20068</v>
      </c>
      <c r="N20" s="16">
        <v>0</v>
      </c>
      <c r="O20" s="62">
        <f t="shared" si="1"/>
        <v>0</v>
      </c>
      <c r="P20" s="42">
        <f t="shared" si="2"/>
        <v>12</v>
      </c>
      <c r="Q20" s="43">
        <f t="shared" si="3"/>
        <v>12</v>
      </c>
      <c r="R20" s="7"/>
      <c r="S20" s="6"/>
      <c r="T20" s="17"/>
      <c r="U20" s="17"/>
      <c r="V20" s="18">
        <v>12</v>
      </c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0.5</v>
      </c>
      <c r="AD20" s="10">
        <f t="shared" si="6"/>
        <v>0.5</v>
      </c>
      <c r="AE20" s="39">
        <f t="shared" si="7"/>
        <v>0.36383881543931368</v>
      </c>
      <c r="AF20" s="93">
        <f t="shared" si="8"/>
        <v>15</v>
      </c>
    </row>
    <row r="21" spans="1:32" ht="31.5" customHeight="1" thickBot="1">
      <c r="A21" s="397" t="s">
        <v>34</v>
      </c>
      <c r="B21" s="398"/>
      <c r="C21" s="398"/>
      <c r="D21" s="398"/>
      <c r="E21" s="398"/>
      <c r="F21" s="398"/>
      <c r="G21" s="398"/>
      <c r="H21" s="399"/>
      <c r="I21" s="25">
        <f t="shared" ref="I21:N21" si="9">SUM(I6:I20)</f>
        <v>651500</v>
      </c>
      <c r="J21" s="22">
        <f t="shared" si="9"/>
        <v>98915</v>
      </c>
      <c r="K21" s="23">
        <f t="shared" si="9"/>
        <v>337125</v>
      </c>
      <c r="L21" s="24">
        <f t="shared" si="9"/>
        <v>48647</v>
      </c>
      <c r="M21" s="23">
        <f t="shared" si="9"/>
        <v>48647</v>
      </c>
      <c r="N21" s="24">
        <f t="shared" si="9"/>
        <v>0</v>
      </c>
      <c r="O21" s="44">
        <f t="shared" si="1"/>
        <v>0</v>
      </c>
      <c r="P21" s="45">
        <f t="shared" ref="P21:AA21" si="10">SUM(P6:P20)</f>
        <v>131</v>
      </c>
      <c r="Q21" s="46">
        <f t="shared" si="10"/>
        <v>229</v>
      </c>
      <c r="R21" s="26">
        <f t="shared" si="10"/>
        <v>48</v>
      </c>
      <c r="S21" s="27">
        <f t="shared" si="10"/>
        <v>41</v>
      </c>
      <c r="T21" s="27">
        <f t="shared" si="10"/>
        <v>6</v>
      </c>
      <c r="U21" s="27">
        <f t="shared" si="10"/>
        <v>0</v>
      </c>
      <c r="V21" s="28">
        <f t="shared" si="10"/>
        <v>12</v>
      </c>
      <c r="W21" s="29">
        <f t="shared" si="10"/>
        <v>122</v>
      </c>
      <c r="X21" s="30">
        <f t="shared" si="10"/>
        <v>0</v>
      </c>
      <c r="Y21" s="30">
        <f t="shared" si="10"/>
        <v>0</v>
      </c>
      <c r="Z21" s="30">
        <f t="shared" si="10"/>
        <v>0</v>
      </c>
      <c r="AA21" s="30">
        <f t="shared" si="10"/>
        <v>0</v>
      </c>
      <c r="AB21" s="31">
        <f>SUM(AB6:AB20)/15</f>
        <v>0.59983227949160112</v>
      </c>
      <c r="AC21" s="4">
        <f>SUM(AC6:AC20)/15</f>
        <v>0.36388888888888887</v>
      </c>
      <c r="AD21" s="4">
        <f>SUM(AD6:AD20)/15</f>
        <v>0.36383881543931368</v>
      </c>
      <c r="AE21" s="32"/>
    </row>
    <row r="23" spans="1:32" ht="18.75">
      <c r="A23" s="2"/>
      <c r="B23" s="2" t="s">
        <v>35</v>
      </c>
      <c r="C23" s="2"/>
      <c r="D23" s="2"/>
      <c r="E23" s="2"/>
      <c r="F23" s="2"/>
      <c r="G23" s="2"/>
      <c r="H23" s="3"/>
      <c r="I23" s="3"/>
      <c r="J23" s="2"/>
      <c r="K23" s="2"/>
      <c r="L23" s="2"/>
      <c r="M23" s="2"/>
      <c r="N23" s="2" t="s">
        <v>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1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F32" s="94"/>
    </row>
    <row r="33" spans="1:32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53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27">
      <c r="A38" s="63"/>
      <c r="B38" s="63"/>
      <c r="C38" s="63"/>
      <c r="D38" s="63"/>
      <c r="E38" s="63"/>
      <c r="F38" s="64"/>
      <c r="G38" s="64"/>
      <c r="H38" s="65"/>
      <c r="I38" s="65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F38" s="53"/>
    </row>
    <row r="39" spans="1:32" ht="29.25" customHeight="1">
      <c r="A39" s="66"/>
      <c r="B39" s="66"/>
      <c r="C39" s="67"/>
      <c r="D39" s="67"/>
      <c r="E39" s="67"/>
      <c r="F39" s="66"/>
      <c r="G39" s="66"/>
      <c r="H39" s="66"/>
      <c r="I39" s="66"/>
      <c r="J39" s="66"/>
      <c r="K39" s="66"/>
      <c r="L39" s="66"/>
      <c r="M39" s="67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F39" s="53"/>
    </row>
    <row r="40" spans="1:32" ht="29.25" customHeight="1">
      <c r="A40" s="66"/>
      <c r="B40" s="66"/>
      <c r="C40" s="68"/>
      <c r="D40" s="67"/>
      <c r="E40" s="67"/>
      <c r="F40" s="66"/>
      <c r="G40" s="66"/>
      <c r="H40" s="66"/>
      <c r="I40" s="66"/>
      <c r="J40" s="66"/>
      <c r="K40" s="66"/>
      <c r="L40" s="66"/>
      <c r="M40" s="68"/>
      <c r="N40" s="66"/>
      <c r="O40" s="66"/>
      <c r="P40" s="69"/>
      <c r="Q40" s="69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F47" s="53"/>
    </row>
    <row r="48" spans="1:32" ht="36" thickBot="1">
      <c r="A48" s="400" t="s">
        <v>45</v>
      </c>
      <c r="B48" s="400"/>
      <c r="C48" s="400"/>
      <c r="D48" s="400"/>
      <c r="E48" s="400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26.25" thickBot="1">
      <c r="A49" s="401" t="s">
        <v>237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3"/>
      <c r="N49" s="404" t="s">
        <v>241</v>
      </c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405"/>
      <c r="Z49" s="405"/>
      <c r="AA49" s="405"/>
      <c r="AB49" s="405"/>
      <c r="AC49" s="405"/>
      <c r="AD49" s="406"/>
    </row>
    <row r="50" spans="1:32" ht="27" customHeight="1">
      <c r="A50" s="407" t="s">
        <v>2</v>
      </c>
      <c r="B50" s="408"/>
      <c r="C50" s="161" t="s">
        <v>46</v>
      </c>
      <c r="D50" s="161" t="s">
        <v>47</v>
      </c>
      <c r="E50" s="161" t="s">
        <v>108</v>
      </c>
      <c r="F50" s="408" t="s">
        <v>107</v>
      </c>
      <c r="G50" s="408"/>
      <c r="H50" s="408"/>
      <c r="I50" s="408"/>
      <c r="J50" s="408"/>
      <c r="K50" s="408"/>
      <c r="L50" s="408"/>
      <c r="M50" s="409"/>
      <c r="N50" s="73" t="s">
        <v>112</v>
      </c>
      <c r="O50" s="161" t="s">
        <v>46</v>
      </c>
      <c r="P50" s="410" t="s">
        <v>47</v>
      </c>
      <c r="Q50" s="411"/>
      <c r="R50" s="410" t="s">
        <v>38</v>
      </c>
      <c r="S50" s="412"/>
      <c r="T50" s="412"/>
      <c r="U50" s="411"/>
      <c r="V50" s="410" t="s">
        <v>48</v>
      </c>
      <c r="W50" s="412"/>
      <c r="X50" s="412"/>
      <c r="Y50" s="412"/>
      <c r="Z50" s="412"/>
      <c r="AA50" s="412"/>
      <c r="AB50" s="412"/>
      <c r="AC50" s="412"/>
      <c r="AD50" s="413"/>
    </row>
    <row r="51" spans="1:32" ht="27" customHeight="1">
      <c r="A51" s="384" t="s">
        <v>222</v>
      </c>
      <c r="B51" s="385"/>
      <c r="C51" s="163" t="s">
        <v>140</v>
      </c>
      <c r="D51" s="163" t="s">
        <v>208</v>
      </c>
      <c r="E51" s="163" t="s">
        <v>223</v>
      </c>
      <c r="F51" s="376" t="s">
        <v>130</v>
      </c>
      <c r="G51" s="376"/>
      <c r="H51" s="376"/>
      <c r="I51" s="376"/>
      <c r="J51" s="376"/>
      <c r="K51" s="376"/>
      <c r="L51" s="376"/>
      <c r="M51" s="386"/>
      <c r="N51" s="162" t="s">
        <v>125</v>
      </c>
      <c r="O51" s="124" t="s">
        <v>141</v>
      </c>
      <c r="P51" s="385" t="s">
        <v>123</v>
      </c>
      <c r="Q51" s="385"/>
      <c r="R51" s="385" t="s">
        <v>219</v>
      </c>
      <c r="S51" s="385"/>
      <c r="T51" s="385"/>
      <c r="U51" s="385"/>
      <c r="V51" s="376" t="s">
        <v>143</v>
      </c>
      <c r="W51" s="376"/>
      <c r="X51" s="376"/>
      <c r="Y51" s="376"/>
      <c r="Z51" s="376"/>
      <c r="AA51" s="376"/>
      <c r="AB51" s="376"/>
      <c r="AC51" s="376"/>
      <c r="AD51" s="386"/>
    </row>
    <row r="52" spans="1:32" ht="27" customHeight="1">
      <c r="A52" s="384" t="s">
        <v>152</v>
      </c>
      <c r="B52" s="385"/>
      <c r="C52" s="163" t="s">
        <v>142</v>
      </c>
      <c r="D52" s="163" t="s">
        <v>217</v>
      </c>
      <c r="E52" s="163" t="s">
        <v>201</v>
      </c>
      <c r="F52" s="376" t="s">
        <v>238</v>
      </c>
      <c r="G52" s="376"/>
      <c r="H52" s="376"/>
      <c r="I52" s="376"/>
      <c r="J52" s="376"/>
      <c r="K52" s="376"/>
      <c r="L52" s="376"/>
      <c r="M52" s="386"/>
      <c r="N52" s="162" t="s">
        <v>152</v>
      </c>
      <c r="O52" s="124" t="s">
        <v>142</v>
      </c>
      <c r="P52" s="385"/>
      <c r="Q52" s="385"/>
      <c r="R52" s="385" t="s">
        <v>201</v>
      </c>
      <c r="S52" s="385"/>
      <c r="T52" s="385"/>
      <c r="U52" s="385"/>
      <c r="V52" s="376" t="s">
        <v>143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125</v>
      </c>
      <c r="B53" s="385"/>
      <c r="C53" s="163" t="s">
        <v>141</v>
      </c>
      <c r="D53" s="163" t="s">
        <v>123</v>
      </c>
      <c r="E53" s="163" t="s">
        <v>219</v>
      </c>
      <c r="F53" s="376" t="s">
        <v>238</v>
      </c>
      <c r="G53" s="376"/>
      <c r="H53" s="376"/>
      <c r="I53" s="376"/>
      <c r="J53" s="376"/>
      <c r="K53" s="376"/>
      <c r="L53" s="376"/>
      <c r="M53" s="386"/>
      <c r="N53" s="162" t="s">
        <v>125</v>
      </c>
      <c r="O53" s="124" t="s">
        <v>145</v>
      </c>
      <c r="P53" s="385" t="s">
        <v>123</v>
      </c>
      <c r="Q53" s="385"/>
      <c r="R53" s="385" t="s">
        <v>242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224</v>
      </c>
      <c r="B54" s="385"/>
      <c r="C54" s="163" t="s">
        <v>184</v>
      </c>
      <c r="D54" s="163"/>
      <c r="E54" s="163" t="s">
        <v>235</v>
      </c>
      <c r="F54" s="376" t="s">
        <v>239</v>
      </c>
      <c r="G54" s="376"/>
      <c r="H54" s="376"/>
      <c r="I54" s="376"/>
      <c r="J54" s="376"/>
      <c r="K54" s="376"/>
      <c r="L54" s="376"/>
      <c r="M54" s="386"/>
      <c r="N54" s="162"/>
      <c r="O54" s="124"/>
      <c r="P54" s="385"/>
      <c r="Q54" s="385"/>
      <c r="R54" s="385"/>
      <c r="S54" s="385"/>
      <c r="T54" s="385"/>
      <c r="U54" s="385"/>
      <c r="V54" s="376"/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152</v>
      </c>
      <c r="B55" s="385"/>
      <c r="C55" s="163" t="s">
        <v>195</v>
      </c>
      <c r="D55" s="163" t="s">
        <v>213</v>
      </c>
      <c r="E55" s="163" t="s">
        <v>214</v>
      </c>
      <c r="F55" s="376" t="s">
        <v>240</v>
      </c>
      <c r="G55" s="376"/>
      <c r="H55" s="376"/>
      <c r="I55" s="376"/>
      <c r="J55" s="376"/>
      <c r="K55" s="376"/>
      <c r="L55" s="376"/>
      <c r="M55" s="386"/>
      <c r="N55" s="162"/>
      <c r="O55" s="124"/>
      <c r="P55" s="385"/>
      <c r="Q55" s="385"/>
      <c r="R55" s="385"/>
      <c r="S55" s="385"/>
      <c r="T55" s="385"/>
      <c r="U55" s="385"/>
      <c r="V55" s="376"/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121</v>
      </c>
      <c r="B56" s="385"/>
      <c r="C56" s="163" t="s">
        <v>227</v>
      </c>
      <c r="D56" s="163"/>
      <c r="E56" s="163" t="s">
        <v>236</v>
      </c>
      <c r="F56" s="376" t="s">
        <v>130</v>
      </c>
      <c r="G56" s="376"/>
      <c r="H56" s="376"/>
      <c r="I56" s="376"/>
      <c r="J56" s="376"/>
      <c r="K56" s="376"/>
      <c r="L56" s="376"/>
      <c r="M56" s="386"/>
      <c r="N56" s="162"/>
      <c r="O56" s="124"/>
      <c r="P56" s="393"/>
      <c r="Q56" s="394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/>
      <c r="B57" s="385"/>
      <c r="C57" s="163"/>
      <c r="D57" s="163"/>
      <c r="E57" s="163"/>
      <c r="F57" s="376"/>
      <c r="G57" s="376"/>
      <c r="H57" s="376"/>
      <c r="I57" s="376"/>
      <c r="J57" s="376"/>
      <c r="K57" s="376"/>
      <c r="L57" s="376"/>
      <c r="M57" s="386"/>
      <c r="N57" s="162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63"/>
      <c r="D58" s="163"/>
      <c r="E58" s="163"/>
      <c r="F58" s="376"/>
      <c r="G58" s="376"/>
      <c r="H58" s="376"/>
      <c r="I58" s="376"/>
      <c r="J58" s="376"/>
      <c r="K58" s="376"/>
      <c r="L58" s="376"/>
      <c r="M58" s="386"/>
      <c r="N58" s="162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63"/>
      <c r="D59" s="163"/>
      <c r="E59" s="163"/>
      <c r="F59" s="376"/>
      <c r="G59" s="376"/>
      <c r="H59" s="376"/>
      <c r="I59" s="376"/>
      <c r="J59" s="376"/>
      <c r="K59" s="376"/>
      <c r="L59" s="376"/>
      <c r="M59" s="386"/>
      <c r="N59" s="162"/>
      <c r="O59" s="124"/>
      <c r="P59" s="385"/>
      <c r="Q59" s="385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  <c r="AF59" s="93">
        <f>8*3000</f>
        <v>24000</v>
      </c>
    </row>
    <row r="60" spans="1:32" ht="27" customHeight="1" thickBot="1">
      <c r="A60" s="387"/>
      <c r="B60" s="388"/>
      <c r="C60" s="165"/>
      <c r="D60" s="165"/>
      <c r="E60" s="165"/>
      <c r="F60" s="389"/>
      <c r="G60" s="389"/>
      <c r="H60" s="389"/>
      <c r="I60" s="389"/>
      <c r="J60" s="389"/>
      <c r="K60" s="389"/>
      <c r="L60" s="389"/>
      <c r="M60" s="390"/>
      <c r="N60" s="164"/>
      <c r="O60" s="120"/>
      <c r="P60" s="388"/>
      <c r="Q60" s="388"/>
      <c r="R60" s="388"/>
      <c r="S60" s="388"/>
      <c r="T60" s="388"/>
      <c r="U60" s="388"/>
      <c r="V60" s="391"/>
      <c r="W60" s="391"/>
      <c r="X60" s="391"/>
      <c r="Y60" s="391"/>
      <c r="Z60" s="391"/>
      <c r="AA60" s="391"/>
      <c r="AB60" s="391"/>
      <c r="AC60" s="391"/>
      <c r="AD60" s="392"/>
      <c r="AF60" s="93">
        <f>16*3000</f>
        <v>48000</v>
      </c>
    </row>
    <row r="61" spans="1:32" ht="27.75" thickBot="1">
      <c r="A61" s="382" t="s">
        <v>243</v>
      </c>
      <c r="B61" s="382"/>
      <c r="C61" s="382"/>
      <c r="D61" s="382"/>
      <c r="E61" s="382"/>
      <c r="F61" s="40"/>
      <c r="G61" s="40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F61" s="93">
        <v>24000</v>
      </c>
    </row>
    <row r="62" spans="1:32" ht="29.25" customHeight="1" thickBot="1">
      <c r="A62" s="383" t="s">
        <v>113</v>
      </c>
      <c r="B62" s="380"/>
      <c r="C62" s="166" t="s">
        <v>2</v>
      </c>
      <c r="D62" s="166" t="s">
        <v>37</v>
      </c>
      <c r="E62" s="166" t="s">
        <v>3</v>
      </c>
      <c r="F62" s="380" t="s">
        <v>110</v>
      </c>
      <c r="G62" s="380"/>
      <c r="H62" s="380"/>
      <c r="I62" s="380"/>
      <c r="J62" s="380"/>
      <c r="K62" s="380" t="s">
        <v>39</v>
      </c>
      <c r="L62" s="380"/>
      <c r="M62" s="166" t="s">
        <v>40</v>
      </c>
      <c r="N62" s="380" t="s">
        <v>41</v>
      </c>
      <c r="O62" s="380"/>
      <c r="P62" s="377" t="s">
        <v>42</v>
      </c>
      <c r="Q62" s="379"/>
      <c r="R62" s="377" t="s">
        <v>43</v>
      </c>
      <c r="S62" s="378"/>
      <c r="T62" s="378"/>
      <c r="U62" s="378"/>
      <c r="V62" s="378"/>
      <c r="W62" s="378"/>
      <c r="X62" s="378"/>
      <c r="Y62" s="378"/>
      <c r="Z62" s="378"/>
      <c r="AA62" s="379"/>
      <c r="AB62" s="380" t="s">
        <v>44</v>
      </c>
      <c r="AC62" s="380"/>
      <c r="AD62" s="381"/>
      <c r="AF62" s="93">
        <f>SUM(AF59:AF61)</f>
        <v>96000</v>
      </c>
    </row>
    <row r="63" spans="1:32" ht="25.5" customHeight="1">
      <c r="A63" s="372">
        <v>1</v>
      </c>
      <c r="B63" s="373"/>
      <c r="C63" s="123" t="s">
        <v>114</v>
      </c>
      <c r="D63" s="169"/>
      <c r="E63" s="167" t="s">
        <v>132</v>
      </c>
      <c r="F63" s="374" t="s">
        <v>244</v>
      </c>
      <c r="G63" s="366"/>
      <c r="H63" s="366"/>
      <c r="I63" s="366"/>
      <c r="J63" s="366"/>
      <c r="K63" s="366">
        <v>7301</v>
      </c>
      <c r="L63" s="366"/>
      <c r="M63" s="54" t="s">
        <v>186</v>
      </c>
      <c r="N63" s="366">
        <v>11</v>
      </c>
      <c r="O63" s="366"/>
      <c r="P63" s="375">
        <v>50</v>
      </c>
      <c r="Q63" s="375"/>
      <c r="R63" s="376"/>
      <c r="S63" s="376"/>
      <c r="T63" s="376"/>
      <c r="U63" s="376"/>
      <c r="V63" s="376"/>
      <c r="W63" s="376"/>
      <c r="X63" s="376"/>
      <c r="Y63" s="376"/>
      <c r="Z63" s="376"/>
      <c r="AA63" s="376"/>
      <c r="AB63" s="366"/>
      <c r="AC63" s="366"/>
      <c r="AD63" s="367"/>
      <c r="AF63" s="53"/>
    </row>
    <row r="64" spans="1:32" ht="25.5" customHeight="1">
      <c r="A64" s="372">
        <v>2</v>
      </c>
      <c r="B64" s="373"/>
      <c r="C64" s="123" t="s">
        <v>125</v>
      </c>
      <c r="D64" s="169"/>
      <c r="E64" s="167" t="s">
        <v>126</v>
      </c>
      <c r="F64" s="374" t="s">
        <v>245</v>
      </c>
      <c r="G64" s="366"/>
      <c r="H64" s="366"/>
      <c r="I64" s="366"/>
      <c r="J64" s="366"/>
      <c r="K64" s="366" t="s">
        <v>172</v>
      </c>
      <c r="L64" s="366"/>
      <c r="M64" s="54" t="s">
        <v>186</v>
      </c>
      <c r="N64" s="366">
        <v>12</v>
      </c>
      <c r="O64" s="366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3</v>
      </c>
      <c r="B65" s="373"/>
      <c r="C65" s="123" t="s">
        <v>125</v>
      </c>
      <c r="D65" s="169"/>
      <c r="E65" s="167" t="s">
        <v>126</v>
      </c>
      <c r="F65" s="374" t="s">
        <v>154</v>
      </c>
      <c r="G65" s="366"/>
      <c r="H65" s="366"/>
      <c r="I65" s="366"/>
      <c r="J65" s="366"/>
      <c r="K65" s="366" t="s">
        <v>172</v>
      </c>
      <c r="L65" s="366"/>
      <c r="M65" s="54" t="s">
        <v>186</v>
      </c>
      <c r="N65" s="366">
        <v>12</v>
      </c>
      <c r="O65" s="366"/>
      <c r="P65" s="375">
        <v>50</v>
      </c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4</v>
      </c>
      <c r="B66" s="373"/>
      <c r="C66" s="123" t="s">
        <v>150</v>
      </c>
      <c r="D66" s="169"/>
      <c r="E66" s="167"/>
      <c r="F66" s="374" t="s">
        <v>246</v>
      </c>
      <c r="G66" s="366"/>
      <c r="H66" s="366"/>
      <c r="I66" s="366"/>
      <c r="J66" s="366"/>
      <c r="K66" s="366" t="s">
        <v>247</v>
      </c>
      <c r="L66" s="366"/>
      <c r="M66" s="54" t="s">
        <v>248</v>
      </c>
      <c r="N66" s="366">
        <v>14</v>
      </c>
      <c r="O66" s="366"/>
      <c r="P66" s="375" t="s">
        <v>249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5</v>
      </c>
      <c r="B67" s="373"/>
      <c r="C67" s="123"/>
      <c r="D67" s="169"/>
      <c r="E67" s="167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6</v>
      </c>
      <c r="B68" s="373"/>
      <c r="C68" s="123"/>
      <c r="D68" s="169"/>
      <c r="E68" s="167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7</v>
      </c>
      <c r="B69" s="373"/>
      <c r="C69" s="123"/>
      <c r="D69" s="169"/>
      <c r="E69" s="167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8</v>
      </c>
      <c r="B70" s="373"/>
      <c r="C70" s="123"/>
      <c r="D70" s="169"/>
      <c r="E70" s="167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6.25" customHeight="1" thickBot="1">
      <c r="A71" s="346" t="s">
        <v>250</v>
      </c>
      <c r="B71" s="346"/>
      <c r="C71" s="346"/>
      <c r="D71" s="346"/>
      <c r="E71" s="346"/>
      <c r="F71" s="40"/>
      <c r="G71" s="40"/>
      <c r="H71" s="41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F71" s="53"/>
    </row>
    <row r="72" spans="1:32" ht="23.25" thickBot="1">
      <c r="A72" s="347" t="s">
        <v>113</v>
      </c>
      <c r="B72" s="348"/>
      <c r="C72" s="168" t="s">
        <v>2</v>
      </c>
      <c r="D72" s="168" t="s">
        <v>37</v>
      </c>
      <c r="E72" s="168" t="s">
        <v>3</v>
      </c>
      <c r="F72" s="348" t="s">
        <v>38</v>
      </c>
      <c r="G72" s="348"/>
      <c r="H72" s="348"/>
      <c r="I72" s="348"/>
      <c r="J72" s="348"/>
      <c r="K72" s="368" t="s">
        <v>58</v>
      </c>
      <c r="L72" s="369"/>
      <c r="M72" s="369"/>
      <c r="N72" s="369"/>
      <c r="O72" s="369"/>
      <c r="P72" s="369"/>
      <c r="Q72" s="369"/>
      <c r="R72" s="369"/>
      <c r="S72" s="370"/>
      <c r="T72" s="348" t="s">
        <v>49</v>
      </c>
      <c r="U72" s="348"/>
      <c r="V72" s="368" t="s">
        <v>50</v>
      </c>
      <c r="W72" s="370"/>
      <c r="X72" s="369" t="s">
        <v>51</v>
      </c>
      <c r="Y72" s="369"/>
      <c r="Z72" s="369"/>
      <c r="AA72" s="369"/>
      <c r="AB72" s="369"/>
      <c r="AC72" s="369"/>
      <c r="AD72" s="371"/>
      <c r="AF72" s="53"/>
    </row>
    <row r="73" spans="1:32" ht="33.75" customHeight="1">
      <c r="A73" s="340">
        <v>1</v>
      </c>
      <c r="B73" s="341"/>
      <c r="C73" s="170" t="s">
        <v>114</v>
      </c>
      <c r="D73" s="170"/>
      <c r="E73" s="71" t="s">
        <v>119</v>
      </c>
      <c r="F73" s="355" t="s">
        <v>120</v>
      </c>
      <c r="G73" s="356"/>
      <c r="H73" s="356"/>
      <c r="I73" s="356"/>
      <c r="J73" s="357"/>
      <c r="K73" s="358" t="s">
        <v>115</v>
      </c>
      <c r="L73" s="359"/>
      <c r="M73" s="359"/>
      <c r="N73" s="359"/>
      <c r="O73" s="359"/>
      <c r="P73" s="359"/>
      <c r="Q73" s="359"/>
      <c r="R73" s="359"/>
      <c r="S73" s="360"/>
      <c r="T73" s="361">
        <v>42901</v>
      </c>
      <c r="U73" s="362"/>
      <c r="V73" s="363"/>
      <c r="W73" s="363"/>
      <c r="X73" s="364"/>
      <c r="Y73" s="364"/>
      <c r="Z73" s="364"/>
      <c r="AA73" s="364"/>
      <c r="AB73" s="364"/>
      <c r="AC73" s="364"/>
      <c r="AD73" s="365"/>
      <c r="AF73" s="53"/>
    </row>
    <row r="74" spans="1:32" ht="30" customHeight="1">
      <c r="A74" s="333">
        <f>A73+1</f>
        <v>2</v>
      </c>
      <c r="B74" s="334"/>
      <c r="C74" s="169" t="s">
        <v>114</v>
      </c>
      <c r="D74" s="169"/>
      <c r="E74" s="35" t="s">
        <v>116</v>
      </c>
      <c r="F74" s="334" t="s">
        <v>117</v>
      </c>
      <c r="G74" s="334"/>
      <c r="H74" s="334"/>
      <c r="I74" s="334"/>
      <c r="J74" s="334"/>
      <c r="K74" s="349" t="s">
        <v>118</v>
      </c>
      <c r="L74" s="350"/>
      <c r="M74" s="350"/>
      <c r="N74" s="350"/>
      <c r="O74" s="350"/>
      <c r="P74" s="350"/>
      <c r="Q74" s="350"/>
      <c r="R74" s="350"/>
      <c r="S74" s="351"/>
      <c r="T74" s="352">
        <v>42867</v>
      </c>
      <c r="U74" s="352"/>
      <c r="V74" s="352"/>
      <c r="W74" s="352"/>
      <c r="X74" s="353"/>
      <c r="Y74" s="353"/>
      <c r="Z74" s="353"/>
      <c r="AA74" s="353"/>
      <c r="AB74" s="353"/>
      <c r="AC74" s="353"/>
      <c r="AD74" s="354"/>
      <c r="AF74" s="53"/>
    </row>
    <row r="75" spans="1:32" ht="30" customHeight="1">
      <c r="A75" s="333">
        <f t="shared" ref="A75:A81" si="11">A74+1</f>
        <v>3</v>
      </c>
      <c r="B75" s="334"/>
      <c r="C75" s="169"/>
      <c r="D75" s="169"/>
      <c r="E75" s="35"/>
      <c r="F75" s="334"/>
      <c r="G75" s="334"/>
      <c r="H75" s="334"/>
      <c r="I75" s="334"/>
      <c r="J75" s="334"/>
      <c r="K75" s="349"/>
      <c r="L75" s="350"/>
      <c r="M75" s="350"/>
      <c r="N75" s="350"/>
      <c r="O75" s="350"/>
      <c r="P75" s="350"/>
      <c r="Q75" s="350"/>
      <c r="R75" s="350"/>
      <c r="S75" s="351"/>
      <c r="T75" s="352"/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si="11"/>
        <v>4</v>
      </c>
      <c r="B76" s="334"/>
      <c r="C76" s="169"/>
      <c r="D76" s="169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1"/>
        <v>5</v>
      </c>
      <c r="B77" s="334"/>
      <c r="C77" s="169"/>
      <c r="D77" s="169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1"/>
        <v>6</v>
      </c>
      <c r="B78" s="334"/>
      <c r="C78" s="169"/>
      <c r="D78" s="169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1"/>
        <v>7</v>
      </c>
      <c r="B79" s="334"/>
      <c r="C79" s="169"/>
      <c r="D79" s="169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1"/>
        <v>8</v>
      </c>
      <c r="B80" s="334"/>
      <c r="C80" s="169"/>
      <c r="D80" s="169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1"/>
        <v>9</v>
      </c>
      <c r="B81" s="334"/>
      <c r="C81" s="169"/>
      <c r="D81" s="169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6" thickBot="1">
      <c r="A82" s="346" t="s">
        <v>251</v>
      </c>
      <c r="B82" s="346"/>
      <c r="C82" s="346"/>
      <c r="D82" s="346"/>
      <c r="E82" s="346"/>
      <c r="F82" s="40"/>
      <c r="G82" s="40"/>
      <c r="H82" s="41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F82" s="53"/>
    </row>
    <row r="83" spans="1:32" ht="30.75" customHeight="1" thickBot="1">
      <c r="A83" s="347" t="s">
        <v>113</v>
      </c>
      <c r="B83" s="348"/>
      <c r="C83" s="338" t="s">
        <v>52</v>
      </c>
      <c r="D83" s="338"/>
      <c r="E83" s="338" t="s">
        <v>53</v>
      </c>
      <c r="F83" s="338"/>
      <c r="G83" s="338"/>
      <c r="H83" s="338"/>
      <c r="I83" s="338"/>
      <c r="J83" s="338"/>
      <c r="K83" s="338" t="s">
        <v>54</v>
      </c>
      <c r="L83" s="338"/>
      <c r="M83" s="338"/>
      <c r="N83" s="338"/>
      <c r="O83" s="338"/>
      <c r="P83" s="338"/>
      <c r="Q83" s="338"/>
      <c r="R83" s="338"/>
      <c r="S83" s="338"/>
      <c r="T83" s="338" t="s">
        <v>55</v>
      </c>
      <c r="U83" s="338"/>
      <c r="V83" s="338" t="s">
        <v>56</v>
      </c>
      <c r="W83" s="338"/>
      <c r="X83" s="338"/>
      <c r="Y83" s="338" t="s">
        <v>51</v>
      </c>
      <c r="Z83" s="338"/>
      <c r="AA83" s="338"/>
      <c r="AB83" s="338"/>
      <c r="AC83" s="338"/>
      <c r="AD83" s="339"/>
      <c r="AF83" s="53"/>
    </row>
    <row r="84" spans="1:32" ht="30.75" customHeight="1">
      <c r="A84" s="340">
        <v>1</v>
      </c>
      <c r="B84" s="341"/>
      <c r="C84" s="342">
        <v>9</v>
      </c>
      <c r="D84" s="342"/>
      <c r="E84" s="342" t="s">
        <v>157</v>
      </c>
      <c r="F84" s="342"/>
      <c r="G84" s="342"/>
      <c r="H84" s="342"/>
      <c r="I84" s="342"/>
      <c r="J84" s="342"/>
      <c r="K84" s="342" t="s">
        <v>158</v>
      </c>
      <c r="L84" s="342"/>
      <c r="M84" s="342"/>
      <c r="N84" s="342"/>
      <c r="O84" s="342"/>
      <c r="P84" s="342"/>
      <c r="Q84" s="342"/>
      <c r="R84" s="342"/>
      <c r="S84" s="342"/>
      <c r="T84" s="342" t="s">
        <v>159</v>
      </c>
      <c r="U84" s="342"/>
      <c r="V84" s="343">
        <v>11307000</v>
      </c>
      <c r="W84" s="343"/>
      <c r="X84" s="343"/>
      <c r="Y84" s="344"/>
      <c r="Z84" s="344"/>
      <c r="AA84" s="344"/>
      <c r="AB84" s="344"/>
      <c r="AC84" s="344"/>
      <c r="AD84" s="345"/>
      <c r="AF84" s="53"/>
    </row>
    <row r="85" spans="1:32" ht="30.75" customHeight="1">
      <c r="A85" s="333">
        <v>2</v>
      </c>
      <c r="B85" s="334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6"/>
      <c r="U85" s="336"/>
      <c r="V85" s="337"/>
      <c r="W85" s="337"/>
      <c r="X85" s="337"/>
      <c r="Y85" s="326"/>
      <c r="Z85" s="326"/>
      <c r="AA85" s="326"/>
      <c r="AB85" s="326"/>
      <c r="AC85" s="326"/>
      <c r="AD85" s="327"/>
      <c r="AF85" s="53"/>
    </row>
    <row r="86" spans="1:32" ht="30.75" customHeight="1" thickBot="1">
      <c r="A86" s="328">
        <v>3</v>
      </c>
      <c r="B86" s="329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1"/>
      <c r="Z86" s="331"/>
      <c r="AA86" s="331"/>
      <c r="AB86" s="331"/>
      <c r="AC86" s="331"/>
      <c r="AD86" s="332"/>
      <c r="AF86" s="53"/>
    </row>
  </sheetData>
  <mergeCells count="230">
    <mergeCell ref="Y85:AD85"/>
    <mergeCell ref="A86:B86"/>
    <mergeCell ref="C86:D86"/>
    <mergeCell ref="E86:J86"/>
    <mergeCell ref="K86:S86"/>
    <mergeCell ref="T86:U86"/>
    <mergeCell ref="V86:X86"/>
    <mergeCell ref="Y86:AD86"/>
    <mergeCell ref="A85:B85"/>
    <mergeCell ref="C85:D85"/>
    <mergeCell ref="E85:J85"/>
    <mergeCell ref="K85:S85"/>
    <mergeCell ref="T85:U85"/>
    <mergeCell ref="V85:X85"/>
    <mergeCell ref="V83:X83"/>
    <mergeCell ref="Y83:AD83"/>
    <mergeCell ref="A84:B84"/>
    <mergeCell ref="C84:D84"/>
    <mergeCell ref="E84:J84"/>
    <mergeCell ref="K84:S84"/>
    <mergeCell ref="T84:U84"/>
    <mergeCell ref="V84:X84"/>
    <mergeCell ref="Y84:AD84"/>
    <mergeCell ref="A82:E82"/>
    <mergeCell ref="A83:B83"/>
    <mergeCell ref="C83:D83"/>
    <mergeCell ref="E83:J83"/>
    <mergeCell ref="K83:S83"/>
    <mergeCell ref="T83:U83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3:B73"/>
    <mergeCell ref="F73:J73"/>
    <mergeCell ref="K73:S73"/>
    <mergeCell ref="T73:U73"/>
    <mergeCell ref="V73:W73"/>
    <mergeCell ref="X73:AD73"/>
    <mergeCell ref="AB70:AD70"/>
    <mergeCell ref="A71:E71"/>
    <mergeCell ref="A72:B72"/>
    <mergeCell ref="F72:J72"/>
    <mergeCell ref="K72:S72"/>
    <mergeCell ref="T72:U72"/>
    <mergeCell ref="V72:W72"/>
    <mergeCell ref="X72:AD72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4:AD64"/>
    <mergeCell ref="A65:B65"/>
    <mergeCell ref="F65:J65"/>
    <mergeCell ref="K65:L65"/>
    <mergeCell ref="N65:O65"/>
    <mergeCell ref="P65:Q65"/>
    <mergeCell ref="R65:AA65"/>
    <mergeCell ref="AB65:AD65"/>
    <mergeCell ref="A64:B64"/>
    <mergeCell ref="F64:J64"/>
    <mergeCell ref="K64:L64"/>
    <mergeCell ref="N64:O64"/>
    <mergeCell ref="P64:Q64"/>
    <mergeCell ref="R64:AA64"/>
    <mergeCell ref="R62:AA62"/>
    <mergeCell ref="AB62:AD62"/>
    <mergeCell ref="A63:B63"/>
    <mergeCell ref="F63:J63"/>
    <mergeCell ref="K63:L63"/>
    <mergeCell ref="N63:O63"/>
    <mergeCell ref="P63:Q63"/>
    <mergeCell ref="R63:AA63"/>
    <mergeCell ref="AB63:AD63"/>
    <mergeCell ref="A61:E61"/>
    <mergeCell ref="A62:B62"/>
    <mergeCell ref="F62:J62"/>
    <mergeCell ref="K62:L62"/>
    <mergeCell ref="N62:O62"/>
    <mergeCell ref="P62:Q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1:B51"/>
    <mergeCell ref="F51:M51"/>
    <mergeCell ref="P51:Q51"/>
    <mergeCell ref="R51:U51"/>
    <mergeCell ref="V51:AD51"/>
    <mergeCell ref="A52:B52"/>
    <mergeCell ref="F52:M52"/>
    <mergeCell ref="P52:Q52"/>
    <mergeCell ref="R52:U52"/>
    <mergeCell ref="V52:AD52"/>
    <mergeCell ref="AD4:AD5"/>
    <mergeCell ref="A21:H21"/>
    <mergeCell ref="A48:E48"/>
    <mergeCell ref="A49:M49"/>
    <mergeCell ref="N49:AD49"/>
    <mergeCell ref="A50:B50"/>
    <mergeCell ref="F50:M50"/>
    <mergeCell ref="P50:Q50"/>
    <mergeCell ref="R50:U50"/>
    <mergeCell ref="V50:AD50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8504-D372-47EA-856C-9240A415D6E9}">
  <sheetPr>
    <pageSetUpPr fitToPage="1"/>
  </sheetPr>
  <dimension ref="A1:AF87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252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81" t="s">
        <v>17</v>
      </c>
      <c r="L5" s="181" t="s">
        <v>18</v>
      </c>
      <c r="M5" s="181" t="s">
        <v>19</v>
      </c>
      <c r="N5" s="18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0.35831649831649831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0.35831649831649831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224</v>
      </c>
      <c r="D8" s="55"/>
      <c r="E8" s="57" t="s">
        <v>253</v>
      </c>
      <c r="F8" s="33" t="s">
        <v>131</v>
      </c>
      <c r="G8" s="36">
        <v>1</v>
      </c>
      <c r="H8" s="38">
        <v>25</v>
      </c>
      <c r="I8" s="7">
        <v>2000</v>
      </c>
      <c r="J8" s="5">
        <v>2779</v>
      </c>
      <c r="K8" s="15">
        <f>L8</f>
        <v>2779</v>
      </c>
      <c r="L8" s="15">
        <f>2779</f>
        <v>2779</v>
      </c>
      <c r="M8" s="16">
        <f t="shared" si="0"/>
        <v>2779</v>
      </c>
      <c r="N8" s="16">
        <v>0</v>
      </c>
      <c r="O8" s="62">
        <f t="shared" si="1"/>
        <v>0</v>
      </c>
      <c r="P8" s="42">
        <f t="shared" si="2"/>
        <v>16</v>
      </c>
      <c r="Q8" s="43">
        <f t="shared" si="3"/>
        <v>8</v>
      </c>
      <c r="R8" s="7"/>
      <c r="S8" s="6"/>
      <c r="T8" s="17">
        <v>8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0.66666666666666663</v>
      </c>
      <c r="AD8" s="10">
        <f t="shared" si="6"/>
        <v>0.66666666666666663</v>
      </c>
      <c r="AE8" s="39">
        <f t="shared" si="7"/>
        <v>0.35831649831649831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123</v>
      </c>
      <c r="E9" s="57" t="s">
        <v>219</v>
      </c>
      <c r="F9" s="12" t="s">
        <v>189</v>
      </c>
      <c r="G9" s="12">
        <v>1</v>
      </c>
      <c r="H9" s="13">
        <v>25</v>
      </c>
      <c r="I9" s="7">
        <v>1500</v>
      </c>
      <c r="J9" s="14">
        <v>1678</v>
      </c>
      <c r="K9" s="15">
        <f>L9+345</f>
        <v>2023</v>
      </c>
      <c r="L9" s="15">
        <f>1072+606</f>
        <v>1678</v>
      </c>
      <c r="M9" s="16">
        <f t="shared" si="0"/>
        <v>1678</v>
      </c>
      <c r="N9" s="16">
        <v>0</v>
      </c>
      <c r="O9" s="62">
        <f t="shared" si="1"/>
        <v>0</v>
      </c>
      <c r="P9" s="42">
        <f t="shared" si="2"/>
        <v>12</v>
      </c>
      <c r="Q9" s="43">
        <f t="shared" si="3"/>
        <v>12</v>
      </c>
      <c r="R9" s="7"/>
      <c r="S9" s="6">
        <v>8</v>
      </c>
      <c r="T9" s="17"/>
      <c r="U9" s="17"/>
      <c r="V9" s="18"/>
      <c r="W9" s="19">
        <v>4</v>
      </c>
      <c r="X9" s="17"/>
      <c r="Y9" s="20"/>
      <c r="Z9" s="20"/>
      <c r="AA9" s="21"/>
      <c r="AB9" s="8">
        <f t="shared" si="4"/>
        <v>1</v>
      </c>
      <c r="AC9" s="9">
        <f t="shared" si="5"/>
        <v>0.5</v>
      </c>
      <c r="AD9" s="10">
        <f t="shared" si="6"/>
        <v>0.5</v>
      </c>
      <c r="AE9" s="39">
        <f t="shared" si="7"/>
        <v>0.35831649831649831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201</v>
      </c>
      <c r="F10" s="12" t="s">
        <v>189</v>
      </c>
      <c r="G10" s="12">
        <v>2</v>
      </c>
      <c r="H10" s="13">
        <v>25</v>
      </c>
      <c r="I10" s="7">
        <v>20000</v>
      </c>
      <c r="J10" s="14">
        <v>5260</v>
      </c>
      <c r="K10" s="15">
        <f>L10+1696</f>
        <v>6956</v>
      </c>
      <c r="L10" s="15">
        <f>2630*2</f>
        <v>5260</v>
      </c>
      <c r="M10" s="16">
        <f t="shared" si="0"/>
        <v>5260</v>
      </c>
      <c r="N10" s="16">
        <v>0</v>
      </c>
      <c r="O10" s="62">
        <f t="shared" si="1"/>
        <v>0</v>
      </c>
      <c r="P10" s="42">
        <f t="shared" si="2"/>
        <v>8</v>
      </c>
      <c r="Q10" s="43">
        <f t="shared" si="3"/>
        <v>16</v>
      </c>
      <c r="R10" s="7"/>
      <c r="S10" s="6">
        <v>16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0.33333333333333331</v>
      </c>
      <c r="AD10" s="10">
        <f t="shared" si="6"/>
        <v>0.33333333333333331</v>
      </c>
      <c r="AE10" s="39">
        <f t="shared" si="7"/>
        <v>0.35831649831649831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245</v>
      </c>
      <c r="F11" s="12" t="s">
        <v>172</v>
      </c>
      <c r="G11" s="12">
        <v>1</v>
      </c>
      <c r="H11" s="13">
        <v>25</v>
      </c>
      <c r="I11" s="34">
        <v>500</v>
      </c>
      <c r="J11" s="5">
        <v>707</v>
      </c>
      <c r="K11" s="15">
        <f>L11</f>
        <v>707</v>
      </c>
      <c r="L11" s="15">
        <v>707</v>
      </c>
      <c r="M11" s="16">
        <f t="shared" si="0"/>
        <v>707</v>
      </c>
      <c r="N11" s="16">
        <v>0</v>
      </c>
      <c r="O11" s="62">
        <f t="shared" si="1"/>
        <v>0</v>
      </c>
      <c r="P11" s="42">
        <f t="shared" si="2"/>
        <v>4</v>
      </c>
      <c r="Q11" s="43">
        <f t="shared" si="3"/>
        <v>20</v>
      </c>
      <c r="R11" s="7"/>
      <c r="S11" s="6"/>
      <c r="T11" s="17"/>
      <c r="U11" s="17"/>
      <c r="V11" s="18"/>
      <c r="W11" s="19">
        <v>20</v>
      </c>
      <c r="X11" s="17"/>
      <c r="Y11" s="20"/>
      <c r="Z11" s="20"/>
      <c r="AA11" s="21"/>
      <c r="AB11" s="8">
        <f t="shared" si="4"/>
        <v>1</v>
      </c>
      <c r="AC11" s="9">
        <f t="shared" si="5"/>
        <v>0.16666666666666666</v>
      </c>
      <c r="AD11" s="10">
        <f t="shared" si="6"/>
        <v>0.16666666666666666</v>
      </c>
      <c r="AE11" s="39">
        <f t="shared" si="7"/>
        <v>0.35831649831649831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6173</v>
      </c>
      <c r="K12" s="15">
        <f>L12+6302+5982+6188+6139</f>
        <v>30784</v>
      </c>
      <c r="L12" s="15">
        <f>2959+3214</f>
        <v>6173</v>
      </c>
      <c r="M12" s="16">
        <f t="shared" si="0"/>
        <v>6173</v>
      </c>
      <c r="N12" s="16">
        <v>0</v>
      </c>
      <c r="O12" s="62">
        <f t="shared" si="1"/>
        <v>0</v>
      </c>
      <c r="P12" s="42">
        <f t="shared" si="2"/>
        <v>24</v>
      </c>
      <c r="Q12" s="43">
        <f t="shared" si="3"/>
        <v>0</v>
      </c>
      <c r="R12" s="7"/>
      <c r="S12" s="6"/>
      <c r="T12" s="17"/>
      <c r="U12" s="17"/>
      <c r="V12" s="18"/>
      <c r="W12" s="19"/>
      <c r="X12" s="17"/>
      <c r="Y12" s="20"/>
      <c r="Z12" s="20"/>
      <c r="AA12" s="21"/>
      <c r="AB12" s="8">
        <f t="shared" si="4"/>
        <v>1</v>
      </c>
      <c r="AC12" s="9">
        <f t="shared" si="5"/>
        <v>1</v>
      </c>
      <c r="AD12" s="10">
        <f t="shared" si="6"/>
        <v>1</v>
      </c>
      <c r="AE12" s="39">
        <f t="shared" si="7"/>
        <v>0.35831649831649831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4997</v>
      </c>
      <c r="K13" s="15">
        <f>L13+544+4129+5286</f>
        <v>14956</v>
      </c>
      <c r="L13" s="15">
        <f>2462+2535</f>
        <v>4997</v>
      </c>
      <c r="M13" s="16">
        <f t="shared" si="0"/>
        <v>4997</v>
      </c>
      <c r="N13" s="16">
        <v>0</v>
      </c>
      <c r="O13" s="62">
        <f t="shared" si="1"/>
        <v>0</v>
      </c>
      <c r="P13" s="42">
        <f t="shared" si="2"/>
        <v>22</v>
      </c>
      <c r="Q13" s="43">
        <f t="shared" si="3"/>
        <v>2</v>
      </c>
      <c r="R13" s="7"/>
      <c r="S13" s="6">
        <v>2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0.91666666666666663</v>
      </c>
      <c r="AD13" s="10">
        <f t="shared" si="6"/>
        <v>0.91666666666666663</v>
      </c>
      <c r="AE13" s="39">
        <f t="shared" si="7"/>
        <v>0.35831649831649831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0.35831649831649831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254</v>
      </c>
      <c r="F15" s="12" t="s">
        <v>156</v>
      </c>
      <c r="G15" s="12">
        <v>1</v>
      </c>
      <c r="H15" s="13">
        <v>24</v>
      </c>
      <c r="I15" s="34">
        <v>250</v>
      </c>
      <c r="J15" s="14">
        <v>330</v>
      </c>
      <c r="K15" s="15">
        <f>L15</f>
        <v>329</v>
      </c>
      <c r="L15" s="15">
        <v>329</v>
      </c>
      <c r="M15" s="16">
        <f t="shared" si="0"/>
        <v>329</v>
      </c>
      <c r="N15" s="16">
        <v>0</v>
      </c>
      <c r="O15" s="62">
        <f t="shared" si="1"/>
        <v>0</v>
      </c>
      <c r="P15" s="42">
        <f t="shared" si="2"/>
        <v>2</v>
      </c>
      <c r="Q15" s="43">
        <f t="shared" si="3"/>
        <v>22</v>
      </c>
      <c r="R15" s="7"/>
      <c r="S15" s="6"/>
      <c r="T15" s="17"/>
      <c r="U15" s="17"/>
      <c r="V15" s="18"/>
      <c r="W15" s="19">
        <v>22</v>
      </c>
      <c r="X15" s="17"/>
      <c r="Y15" s="20"/>
      <c r="Z15" s="20"/>
      <c r="AA15" s="21"/>
      <c r="AB15" s="8">
        <f t="shared" si="4"/>
        <v>0.99696969696969695</v>
      </c>
      <c r="AC15" s="9">
        <f t="shared" si="5"/>
        <v>8.3333333333333329E-2</v>
      </c>
      <c r="AD15" s="10">
        <f t="shared" si="6"/>
        <v>8.3080808080808075E-2</v>
      </c>
      <c r="AE15" s="39">
        <f t="shared" si="7"/>
        <v>0.35831649831649831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150</v>
      </c>
      <c r="D16" s="55" t="s">
        <v>138</v>
      </c>
      <c r="E16" s="57" t="s">
        <v>162</v>
      </c>
      <c r="F16" s="33" t="s">
        <v>131</v>
      </c>
      <c r="G16" s="36">
        <v>1</v>
      </c>
      <c r="H16" s="38">
        <v>25</v>
      </c>
      <c r="I16" s="7">
        <v>25000</v>
      </c>
      <c r="J16" s="5">
        <v>6560</v>
      </c>
      <c r="K16" s="15">
        <f>L16+4499+5214+3718+6243+5238+3891+6553</f>
        <v>35356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0.35831649831649831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L17+709</f>
        <v>709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0.35831649831649831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152</v>
      </c>
      <c r="D18" s="55" t="s">
        <v>213</v>
      </c>
      <c r="E18" s="57" t="s">
        <v>214</v>
      </c>
      <c r="F18" s="12" t="s">
        <v>189</v>
      </c>
      <c r="G18" s="36">
        <v>1</v>
      </c>
      <c r="H18" s="38">
        <v>30</v>
      </c>
      <c r="I18" s="7">
        <v>6000</v>
      </c>
      <c r="J18" s="5">
        <v>1135</v>
      </c>
      <c r="K18" s="15">
        <f>L18+2994+4289</f>
        <v>8418</v>
      </c>
      <c r="L18" s="15">
        <f>1135</f>
        <v>1135</v>
      </c>
      <c r="M18" s="16">
        <f t="shared" si="0"/>
        <v>1135</v>
      </c>
      <c r="N18" s="16">
        <v>0</v>
      </c>
      <c r="O18" s="62">
        <f t="shared" si="1"/>
        <v>0</v>
      </c>
      <c r="P18" s="42">
        <f t="shared" si="2"/>
        <v>6</v>
      </c>
      <c r="Q18" s="43">
        <f t="shared" si="3"/>
        <v>18</v>
      </c>
      <c r="R18" s="7"/>
      <c r="S18" s="6"/>
      <c r="T18" s="17"/>
      <c r="U18" s="17"/>
      <c r="V18" s="18"/>
      <c r="W18" s="19">
        <v>18</v>
      </c>
      <c r="X18" s="17"/>
      <c r="Y18" s="20"/>
      <c r="Z18" s="20"/>
      <c r="AA18" s="21"/>
      <c r="AB18" s="8">
        <f t="shared" si="4"/>
        <v>1</v>
      </c>
      <c r="AC18" s="9">
        <f t="shared" si="5"/>
        <v>0.25</v>
      </c>
      <c r="AD18" s="10">
        <f t="shared" si="6"/>
        <v>0.25</v>
      </c>
      <c r="AE18" s="39">
        <f t="shared" si="7"/>
        <v>0.35831649831649831</v>
      </c>
      <c r="AF18" s="93">
        <f t="shared" si="8"/>
        <v>13</v>
      </c>
    </row>
    <row r="19" spans="1:32" ht="27" customHeight="1">
      <c r="A19" s="109">
        <v>13</v>
      </c>
      <c r="B19" s="11" t="s">
        <v>57</v>
      </c>
      <c r="C19" s="37" t="s">
        <v>152</v>
      </c>
      <c r="D19" s="55" t="s">
        <v>255</v>
      </c>
      <c r="E19" s="57" t="s">
        <v>256</v>
      </c>
      <c r="F19" s="12" t="s">
        <v>137</v>
      </c>
      <c r="G19" s="36">
        <v>1</v>
      </c>
      <c r="H19" s="38">
        <v>30</v>
      </c>
      <c r="I19" s="7">
        <v>500</v>
      </c>
      <c r="J19" s="5">
        <v>579</v>
      </c>
      <c r="K19" s="15">
        <f>L19</f>
        <v>579</v>
      </c>
      <c r="L19" s="15">
        <v>579</v>
      </c>
      <c r="M19" s="16">
        <f t="shared" ref="M19" si="9">L19-N19</f>
        <v>579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4</v>
      </c>
      <c r="Q19" s="43">
        <f t="shared" ref="Q19" si="12">SUM(R19:AA19)</f>
        <v>20</v>
      </c>
      <c r="R19" s="7"/>
      <c r="S19" s="6"/>
      <c r="T19" s="17"/>
      <c r="U19" s="17"/>
      <c r="V19" s="18"/>
      <c r="W19" s="19">
        <v>20</v>
      </c>
      <c r="X19" s="17"/>
      <c r="Y19" s="20"/>
      <c r="Z19" s="20"/>
      <c r="AA19" s="21"/>
      <c r="AB19" s="8">
        <f t="shared" ref="AB19" si="13">IF(J19=0,"0",(L19/J19))</f>
        <v>1</v>
      </c>
      <c r="AC19" s="9">
        <f t="shared" ref="AC19" si="14">IF(P19=0,"0",(P19/24))</f>
        <v>0.16666666666666666</v>
      </c>
      <c r="AD19" s="10">
        <f t="shared" ref="AD19" si="15">AC19*AB19*(1-O19)</f>
        <v>0.16666666666666666</v>
      </c>
      <c r="AE19" s="39">
        <f t="shared" si="7"/>
        <v>0.35831649831649831</v>
      </c>
      <c r="AF19" s="93">
        <f t="shared" ref="AF19" si="16">A19</f>
        <v>13</v>
      </c>
    </row>
    <row r="20" spans="1:32" ht="27" customHeight="1">
      <c r="A20" s="109">
        <v>14</v>
      </c>
      <c r="B20" s="11" t="s">
        <v>57</v>
      </c>
      <c r="C20" s="37" t="s">
        <v>125</v>
      </c>
      <c r="D20" s="55" t="s">
        <v>123</v>
      </c>
      <c r="E20" s="57" t="s">
        <v>242</v>
      </c>
      <c r="F20" s="33" t="s">
        <v>189</v>
      </c>
      <c r="G20" s="12">
        <v>1</v>
      </c>
      <c r="H20" s="13">
        <v>25</v>
      </c>
      <c r="I20" s="34">
        <v>5000</v>
      </c>
      <c r="J20" s="5">
        <v>3547</v>
      </c>
      <c r="K20" s="15">
        <f>L20</f>
        <v>3547</v>
      </c>
      <c r="L20" s="15">
        <f>2590+290+667</f>
        <v>3547</v>
      </c>
      <c r="M20" s="16">
        <f t="shared" si="0"/>
        <v>3547</v>
      </c>
      <c r="N20" s="16">
        <v>0</v>
      </c>
      <c r="O20" s="62">
        <f t="shared" si="1"/>
        <v>0</v>
      </c>
      <c r="P20" s="42">
        <f t="shared" si="2"/>
        <v>19</v>
      </c>
      <c r="Q20" s="43">
        <f t="shared" si="3"/>
        <v>5</v>
      </c>
      <c r="R20" s="7"/>
      <c r="S20" s="6"/>
      <c r="T20" s="17">
        <v>5</v>
      </c>
      <c r="U20" s="17"/>
      <c r="V20" s="18"/>
      <c r="W20" s="19"/>
      <c r="X20" s="17"/>
      <c r="Y20" s="20"/>
      <c r="Z20" s="20"/>
      <c r="AA20" s="21"/>
      <c r="AB20" s="8">
        <f t="shared" si="4"/>
        <v>1</v>
      </c>
      <c r="AC20" s="9">
        <f t="shared" si="5"/>
        <v>0.79166666666666663</v>
      </c>
      <c r="AD20" s="10">
        <f t="shared" si="6"/>
        <v>0.79166666666666663</v>
      </c>
      <c r="AE20" s="39">
        <f t="shared" si="7"/>
        <v>0.35831649831649831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236</v>
      </c>
      <c r="F21" s="12" t="s">
        <v>122</v>
      </c>
      <c r="G21" s="12">
        <v>4</v>
      </c>
      <c r="H21" s="38">
        <v>20</v>
      </c>
      <c r="I21" s="7">
        <v>300000</v>
      </c>
      <c r="J21" s="14">
        <v>24564</v>
      </c>
      <c r="K21" s="15">
        <f>L21+20068</f>
        <v>44632</v>
      </c>
      <c r="L21" s="15">
        <f>6141*4</f>
        <v>24564</v>
      </c>
      <c r="M21" s="16">
        <f t="shared" si="0"/>
        <v>24564</v>
      </c>
      <c r="N21" s="16">
        <v>0</v>
      </c>
      <c r="O21" s="62">
        <f t="shared" si="1"/>
        <v>0</v>
      </c>
      <c r="P21" s="42">
        <f t="shared" si="2"/>
        <v>12</v>
      </c>
      <c r="Q21" s="43">
        <f t="shared" si="3"/>
        <v>12</v>
      </c>
      <c r="R21" s="7"/>
      <c r="S21" s="6"/>
      <c r="T21" s="17"/>
      <c r="U21" s="17"/>
      <c r="V21" s="18">
        <v>12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0.5</v>
      </c>
      <c r="AD21" s="10">
        <f t="shared" si="6"/>
        <v>0.5</v>
      </c>
      <c r="AE21" s="39">
        <f t="shared" si="7"/>
        <v>0.35831649831649831</v>
      </c>
      <c r="AF21" s="93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623250</v>
      </c>
      <c r="J22" s="22">
        <f t="shared" si="17"/>
        <v>97727</v>
      </c>
      <c r="K22" s="23">
        <f t="shared" si="17"/>
        <v>340121</v>
      </c>
      <c r="L22" s="24">
        <f t="shared" si="17"/>
        <v>51748</v>
      </c>
      <c r="M22" s="23">
        <f t="shared" si="17"/>
        <v>51748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129</v>
      </c>
      <c r="Q22" s="46">
        <f t="shared" si="18"/>
        <v>255</v>
      </c>
      <c r="R22" s="26">
        <f t="shared" si="18"/>
        <v>48</v>
      </c>
      <c r="S22" s="27">
        <f t="shared" si="18"/>
        <v>26</v>
      </c>
      <c r="T22" s="27">
        <f t="shared" si="18"/>
        <v>13</v>
      </c>
      <c r="U22" s="27">
        <f t="shared" si="18"/>
        <v>0</v>
      </c>
      <c r="V22" s="28">
        <f t="shared" si="18"/>
        <v>12</v>
      </c>
      <c r="W22" s="29">
        <f t="shared" si="18"/>
        <v>156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0.73313131313131308</v>
      </c>
      <c r="AC22" s="4">
        <f>SUM(AC6:AC21)/15</f>
        <v>0.35833333333333334</v>
      </c>
      <c r="AD22" s="4">
        <f>SUM(AD6:AD21)/15</f>
        <v>0.35831649831649831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257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261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180" t="s">
        <v>46</v>
      </c>
      <c r="D51" s="180" t="s">
        <v>47</v>
      </c>
      <c r="E51" s="180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180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224</v>
      </c>
      <c r="B52" s="385"/>
      <c r="C52" s="177" t="s">
        <v>140</v>
      </c>
      <c r="D52" s="177"/>
      <c r="E52" s="177" t="s">
        <v>253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176" t="s">
        <v>152</v>
      </c>
      <c r="O52" s="124" t="s">
        <v>142</v>
      </c>
      <c r="P52" s="385"/>
      <c r="Q52" s="385"/>
      <c r="R52" s="385" t="s">
        <v>201</v>
      </c>
      <c r="S52" s="385"/>
      <c r="T52" s="385"/>
      <c r="U52" s="385"/>
      <c r="V52" s="376" t="s">
        <v>143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152</v>
      </c>
      <c r="B53" s="385"/>
      <c r="C53" s="177" t="s">
        <v>142</v>
      </c>
      <c r="D53" s="177" t="s">
        <v>217</v>
      </c>
      <c r="E53" s="177" t="s">
        <v>201</v>
      </c>
      <c r="F53" s="376" t="s">
        <v>258</v>
      </c>
      <c r="G53" s="376"/>
      <c r="H53" s="376"/>
      <c r="I53" s="376"/>
      <c r="J53" s="376"/>
      <c r="K53" s="376"/>
      <c r="L53" s="376"/>
      <c r="M53" s="386"/>
      <c r="N53" s="176" t="s">
        <v>268</v>
      </c>
      <c r="O53" s="124" t="s">
        <v>140</v>
      </c>
      <c r="P53" s="385"/>
      <c r="Q53" s="385"/>
      <c r="R53" s="385" t="s">
        <v>262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177" t="s">
        <v>141</v>
      </c>
      <c r="D54" s="177" t="s">
        <v>123</v>
      </c>
      <c r="E54" s="177" t="s">
        <v>219</v>
      </c>
      <c r="F54" s="376" t="s">
        <v>259</v>
      </c>
      <c r="G54" s="376"/>
      <c r="H54" s="376"/>
      <c r="I54" s="376"/>
      <c r="J54" s="376"/>
      <c r="K54" s="376"/>
      <c r="L54" s="376"/>
      <c r="M54" s="386"/>
      <c r="N54" s="176" t="s">
        <v>125</v>
      </c>
      <c r="O54" s="124" t="s">
        <v>141</v>
      </c>
      <c r="P54" s="385" t="s">
        <v>136</v>
      </c>
      <c r="Q54" s="385"/>
      <c r="R54" s="385" t="s">
        <v>263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125</v>
      </c>
      <c r="B55" s="385"/>
      <c r="C55" s="177" t="s">
        <v>216</v>
      </c>
      <c r="D55" s="177" t="s">
        <v>126</v>
      </c>
      <c r="E55" s="177" t="s">
        <v>245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176" t="s">
        <v>125</v>
      </c>
      <c r="O55" s="124" t="s">
        <v>216</v>
      </c>
      <c r="P55" s="385" t="s">
        <v>126</v>
      </c>
      <c r="Q55" s="385"/>
      <c r="R55" s="385" t="s">
        <v>264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125</v>
      </c>
      <c r="B56" s="385"/>
      <c r="C56" s="177" t="s">
        <v>144</v>
      </c>
      <c r="D56" s="177" t="s">
        <v>123</v>
      </c>
      <c r="E56" s="177" t="s">
        <v>188</v>
      </c>
      <c r="F56" s="376" t="s">
        <v>260</v>
      </c>
      <c r="G56" s="376"/>
      <c r="H56" s="376"/>
      <c r="I56" s="376"/>
      <c r="J56" s="376"/>
      <c r="K56" s="376"/>
      <c r="L56" s="376"/>
      <c r="M56" s="386"/>
      <c r="N56" s="176" t="s">
        <v>152</v>
      </c>
      <c r="O56" s="124" t="s">
        <v>184</v>
      </c>
      <c r="P56" s="385" t="s">
        <v>126</v>
      </c>
      <c r="Q56" s="385"/>
      <c r="R56" s="385" t="s">
        <v>265</v>
      </c>
      <c r="S56" s="385"/>
      <c r="T56" s="385"/>
      <c r="U56" s="385"/>
      <c r="V56" s="376" t="s">
        <v>130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125</v>
      </c>
      <c r="B57" s="385"/>
      <c r="C57" s="177" t="s">
        <v>145</v>
      </c>
      <c r="D57" s="177" t="s">
        <v>123</v>
      </c>
      <c r="E57" s="177" t="s">
        <v>242</v>
      </c>
      <c r="F57" s="376" t="s">
        <v>130</v>
      </c>
      <c r="G57" s="376"/>
      <c r="H57" s="376"/>
      <c r="I57" s="376"/>
      <c r="J57" s="376"/>
      <c r="K57" s="376"/>
      <c r="L57" s="376"/>
      <c r="M57" s="386"/>
      <c r="N57" s="176" t="s">
        <v>152</v>
      </c>
      <c r="O57" s="124" t="s">
        <v>191</v>
      </c>
      <c r="P57" s="393" t="s">
        <v>123</v>
      </c>
      <c r="Q57" s="394"/>
      <c r="R57" s="385" t="s">
        <v>266</v>
      </c>
      <c r="S57" s="385"/>
      <c r="T57" s="385"/>
      <c r="U57" s="385"/>
      <c r="V57" s="376" t="s">
        <v>130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152</v>
      </c>
      <c r="B58" s="385"/>
      <c r="C58" s="177" t="s">
        <v>184</v>
      </c>
      <c r="D58" s="177" t="s">
        <v>126</v>
      </c>
      <c r="E58" s="177" t="s">
        <v>254</v>
      </c>
      <c r="F58" s="376" t="s">
        <v>130</v>
      </c>
      <c r="G58" s="376"/>
      <c r="H58" s="376"/>
      <c r="I58" s="376"/>
      <c r="J58" s="376"/>
      <c r="K58" s="376"/>
      <c r="L58" s="376"/>
      <c r="M58" s="386"/>
      <c r="N58" s="176" t="s">
        <v>152</v>
      </c>
      <c r="O58" s="124" t="s">
        <v>191</v>
      </c>
      <c r="P58" s="393" t="s">
        <v>123</v>
      </c>
      <c r="Q58" s="394"/>
      <c r="R58" s="385" t="s">
        <v>267</v>
      </c>
      <c r="S58" s="385"/>
      <c r="T58" s="385"/>
      <c r="U58" s="385"/>
      <c r="V58" s="376" t="s">
        <v>130</v>
      </c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 t="s">
        <v>152</v>
      </c>
      <c r="B59" s="385"/>
      <c r="C59" s="177" t="s">
        <v>195</v>
      </c>
      <c r="D59" s="177" t="s">
        <v>255</v>
      </c>
      <c r="E59" s="177" t="s">
        <v>256</v>
      </c>
      <c r="F59" s="376" t="s">
        <v>130</v>
      </c>
      <c r="G59" s="376"/>
      <c r="H59" s="376"/>
      <c r="I59" s="376"/>
      <c r="J59" s="376"/>
      <c r="K59" s="376"/>
      <c r="L59" s="376"/>
      <c r="M59" s="386"/>
      <c r="N59" s="176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177"/>
      <c r="D60" s="177"/>
      <c r="E60" s="177"/>
      <c r="F60" s="376"/>
      <c r="G60" s="376"/>
      <c r="H60" s="376"/>
      <c r="I60" s="376"/>
      <c r="J60" s="376"/>
      <c r="K60" s="376"/>
      <c r="L60" s="376"/>
      <c r="M60" s="386"/>
      <c r="N60" s="176"/>
      <c r="O60" s="12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3">
        <f>8*3000</f>
        <v>24000</v>
      </c>
    </row>
    <row r="61" spans="1:32" ht="27" customHeight="1" thickBot="1">
      <c r="A61" s="387"/>
      <c r="B61" s="388"/>
      <c r="C61" s="179"/>
      <c r="D61" s="179"/>
      <c r="E61" s="179"/>
      <c r="F61" s="389"/>
      <c r="G61" s="389"/>
      <c r="H61" s="389"/>
      <c r="I61" s="389"/>
      <c r="J61" s="389"/>
      <c r="K61" s="389"/>
      <c r="L61" s="389"/>
      <c r="M61" s="390"/>
      <c r="N61" s="178"/>
      <c r="O61" s="120"/>
      <c r="P61" s="388"/>
      <c r="Q61" s="388"/>
      <c r="R61" s="388"/>
      <c r="S61" s="388"/>
      <c r="T61" s="388"/>
      <c r="U61" s="388"/>
      <c r="V61" s="391"/>
      <c r="W61" s="391"/>
      <c r="X61" s="391"/>
      <c r="Y61" s="391"/>
      <c r="Z61" s="391"/>
      <c r="AA61" s="391"/>
      <c r="AB61" s="391"/>
      <c r="AC61" s="391"/>
      <c r="AD61" s="392"/>
      <c r="AF61" s="93">
        <f>16*3000</f>
        <v>48000</v>
      </c>
    </row>
    <row r="62" spans="1:32" ht="27.75" thickBot="1">
      <c r="A62" s="382" t="s">
        <v>269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83" t="s">
        <v>113</v>
      </c>
      <c r="B63" s="380"/>
      <c r="C63" s="175" t="s">
        <v>2</v>
      </c>
      <c r="D63" s="175" t="s">
        <v>37</v>
      </c>
      <c r="E63" s="175" t="s">
        <v>3</v>
      </c>
      <c r="F63" s="380" t="s">
        <v>110</v>
      </c>
      <c r="G63" s="380"/>
      <c r="H63" s="380"/>
      <c r="I63" s="380"/>
      <c r="J63" s="380"/>
      <c r="K63" s="380" t="s">
        <v>39</v>
      </c>
      <c r="L63" s="380"/>
      <c r="M63" s="175" t="s">
        <v>40</v>
      </c>
      <c r="N63" s="380" t="s">
        <v>41</v>
      </c>
      <c r="O63" s="380"/>
      <c r="P63" s="377" t="s">
        <v>42</v>
      </c>
      <c r="Q63" s="379"/>
      <c r="R63" s="377" t="s">
        <v>43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44</v>
      </c>
      <c r="AC63" s="380"/>
      <c r="AD63" s="381"/>
      <c r="AF63" s="93">
        <f>SUM(AF60:AF62)</f>
        <v>96000</v>
      </c>
    </row>
    <row r="64" spans="1:32" ht="25.5" customHeight="1">
      <c r="A64" s="372">
        <v>1</v>
      </c>
      <c r="B64" s="373"/>
      <c r="C64" s="123" t="s">
        <v>125</v>
      </c>
      <c r="D64" s="171"/>
      <c r="E64" s="174" t="s">
        <v>123</v>
      </c>
      <c r="F64" s="374" t="s">
        <v>270</v>
      </c>
      <c r="G64" s="366"/>
      <c r="H64" s="366"/>
      <c r="I64" s="366"/>
      <c r="J64" s="366"/>
      <c r="K64" s="366">
        <v>7301</v>
      </c>
      <c r="L64" s="366"/>
      <c r="M64" s="54" t="s">
        <v>186</v>
      </c>
      <c r="N64" s="366">
        <v>14</v>
      </c>
      <c r="O64" s="366"/>
      <c r="P64" s="375">
        <v>50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2</v>
      </c>
      <c r="B65" s="373"/>
      <c r="C65" s="123" t="s">
        <v>125</v>
      </c>
      <c r="D65" s="171"/>
      <c r="E65" s="174" t="s">
        <v>132</v>
      </c>
      <c r="F65" s="374" t="s">
        <v>271</v>
      </c>
      <c r="G65" s="366"/>
      <c r="H65" s="366"/>
      <c r="I65" s="366"/>
      <c r="J65" s="366"/>
      <c r="K65" s="366" t="s">
        <v>189</v>
      </c>
      <c r="L65" s="366"/>
      <c r="M65" s="54" t="s">
        <v>273</v>
      </c>
      <c r="N65" s="366">
        <v>13</v>
      </c>
      <c r="O65" s="366"/>
      <c r="P65" s="375"/>
      <c r="Q65" s="375"/>
      <c r="R65" s="376" t="s">
        <v>272</v>
      </c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3</v>
      </c>
      <c r="B66" s="373"/>
      <c r="C66" s="123" t="s">
        <v>125</v>
      </c>
      <c r="D66" s="171"/>
      <c r="E66" s="174" t="s">
        <v>208</v>
      </c>
      <c r="F66" s="374" t="s">
        <v>204</v>
      </c>
      <c r="G66" s="366"/>
      <c r="H66" s="366"/>
      <c r="I66" s="366"/>
      <c r="J66" s="366"/>
      <c r="K66" s="366" t="s">
        <v>205</v>
      </c>
      <c r="L66" s="366"/>
      <c r="M66" s="54" t="s">
        <v>186</v>
      </c>
      <c r="N66" s="366">
        <v>11</v>
      </c>
      <c r="O66" s="366"/>
      <c r="P66" s="375">
        <v>100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4</v>
      </c>
      <c r="B67" s="373"/>
      <c r="C67" s="123"/>
      <c r="D67" s="171"/>
      <c r="E67" s="174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5</v>
      </c>
      <c r="B68" s="373"/>
      <c r="C68" s="123"/>
      <c r="D68" s="171"/>
      <c r="E68" s="174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6</v>
      </c>
      <c r="B69" s="373"/>
      <c r="C69" s="123"/>
      <c r="D69" s="171"/>
      <c r="E69" s="174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7</v>
      </c>
      <c r="B70" s="373"/>
      <c r="C70" s="123"/>
      <c r="D70" s="171"/>
      <c r="E70" s="174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8</v>
      </c>
      <c r="B71" s="373"/>
      <c r="C71" s="123"/>
      <c r="D71" s="171"/>
      <c r="E71" s="174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6.25" customHeight="1" thickBot="1">
      <c r="A72" s="346" t="s">
        <v>274</v>
      </c>
      <c r="B72" s="346"/>
      <c r="C72" s="346"/>
      <c r="D72" s="346"/>
      <c r="E72" s="346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47" t="s">
        <v>113</v>
      </c>
      <c r="B73" s="348"/>
      <c r="C73" s="173" t="s">
        <v>2</v>
      </c>
      <c r="D73" s="173" t="s">
        <v>37</v>
      </c>
      <c r="E73" s="173" t="s">
        <v>3</v>
      </c>
      <c r="F73" s="348" t="s">
        <v>38</v>
      </c>
      <c r="G73" s="348"/>
      <c r="H73" s="348"/>
      <c r="I73" s="348"/>
      <c r="J73" s="348"/>
      <c r="K73" s="368" t="s">
        <v>58</v>
      </c>
      <c r="L73" s="369"/>
      <c r="M73" s="369"/>
      <c r="N73" s="369"/>
      <c r="O73" s="369"/>
      <c r="P73" s="369"/>
      <c r="Q73" s="369"/>
      <c r="R73" s="369"/>
      <c r="S73" s="370"/>
      <c r="T73" s="348" t="s">
        <v>49</v>
      </c>
      <c r="U73" s="348"/>
      <c r="V73" s="368" t="s">
        <v>50</v>
      </c>
      <c r="W73" s="370"/>
      <c r="X73" s="369" t="s">
        <v>51</v>
      </c>
      <c r="Y73" s="369"/>
      <c r="Z73" s="369"/>
      <c r="AA73" s="369"/>
      <c r="AB73" s="369"/>
      <c r="AC73" s="369"/>
      <c r="AD73" s="371"/>
      <c r="AF73" s="53"/>
    </row>
    <row r="74" spans="1:32" ht="33.75" customHeight="1">
      <c r="A74" s="340">
        <v>1</v>
      </c>
      <c r="B74" s="341"/>
      <c r="C74" s="172" t="s">
        <v>114</v>
      </c>
      <c r="D74" s="172"/>
      <c r="E74" s="71" t="s">
        <v>119</v>
      </c>
      <c r="F74" s="355" t="s">
        <v>120</v>
      </c>
      <c r="G74" s="356"/>
      <c r="H74" s="356"/>
      <c r="I74" s="356"/>
      <c r="J74" s="357"/>
      <c r="K74" s="358" t="s">
        <v>115</v>
      </c>
      <c r="L74" s="359"/>
      <c r="M74" s="359"/>
      <c r="N74" s="359"/>
      <c r="O74" s="359"/>
      <c r="P74" s="359"/>
      <c r="Q74" s="359"/>
      <c r="R74" s="359"/>
      <c r="S74" s="360"/>
      <c r="T74" s="361">
        <v>42901</v>
      </c>
      <c r="U74" s="362"/>
      <c r="V74" s="363"/>
      <c r="W74" s="363"/>
      <c r="X74" s="364"/>
      <c r="Y74" s="364"/>
      <c r="Z74" s="364"/>
      <c r="AA74" s="364"/>
      <c r="AB74" s="364"/>
      <c r="AC74" s="364"/>
      <c r="AD74" s="365"/>
      <c r="AF74" s="53"/>
    </row>
    <row r="75" spans="1:32" ht="30" customHeight="1">
      <c r="A75" s="333">
        <f>A74+1</f>
        <v>2</v>
      </c>
      <c r="B75" s="334"/>
      <c r="C75" s="171" t="s">
        <v>114</v>
      </c>
      <c r="D75" s="171"/>
      <c r="E75" s="35" t="s">
        <v>116</v>
      </c>
      <c r="F75" s="334" t="s">
        <v>117</v>
      </c>
      <c r="G75" s="334"/>
      <c r="H75" s="334"/>
      <c r="I75" s="334"/>
      <c r="J75" s="334"/>
      <c r="K75" s="349" t="s">
        <v>118</v>
      </c>
      <c r="L75" s="350"/>
      <c r="M75" s="350"/>
      <c r="N75" s="350"/>
      <c r="O75" s="350"/>
      <c r="P75" s="350"/>
      <c r="Q75" s="350"/>
      <c r="R75" s="350"/>
      <c r="S75" s="351"/>
      <c r="T75" s="352">
        <v>42867</v>
      </c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ref="A76:A82" si="19">A75+1</f>
        <v>3</v>
      </c>
      <c r="B76" s="334"/>
      <c r="C76" s="171"/>
      <c r="D76" s="171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4</v>
      </c>
      <c r="B77" s="334"/>
      <c r="C77" s="171"/>
      <c r="D77" s="171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5</v>
      </c>
      <c r="B78" s="334"/>
      <c r="C78" s="171"/>
      <c r="D78" s="171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6</v>
      </c>
      <c r="B79" s="334"/>
      <c r="C79" s="171"/>
      <c r="D79" s="171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7</v>
      </c>
      <c r="B80" s="334"/>
      <c r="C80" s="171"/>
      <c r="D80" s="171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8</v>
      </c>
      <c r="B81" s="334"/>
      <c r="C81" s="171"/>
      <c r="D81" s="171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9</v>
      </c>
      <c r="B82" s="334"/>
      <c r="C82" s="171"/>
      <c r="D82" s="171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6" thickBot="1">
      <c r="A83" s="346" t="s">
        <v>275</v>
      </c>
      <c r="B83" s="346"/>
      <c r="C83" s="346"/>
      <c r="D83" s="346"/>
      <c r="E83" s="346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7" t="s">
        <v>113</v>
      </c>
      <c r="B84" s="348"/>
      <c r="C84" s="338" t="s">
        <v>52</v>
      </c>
      <c r="D84" s="338"/>
      <c r="E84" s="338" t="s">
        <v>53</v>
      </c>
      <c r="F84" s="338"/>
      <c r="G84" s="338"/>
      <c r="H84" s="338"/>
      <c r="I84" s="338"/>
      <c r="J84" s="338"/>
      <c r="K84" s="338" t="s">
        <v>54</v>
      </c>
      <c r="L84" s="338"/>
      <c r="M84" s="338"/>
      <c r="N84" s="338"/>
      <c r="O84" s="338"/>
      <c r="P84" s="338"/>
      <c r="Q84" s="338"/>
      <c r="R84" s="338"/>
      <c r="S84" s="338"/>
      <c r="T84" s="338" t="s">
        <v>55</v>
      </c>
      <c r="U84" s="338"/>
      <c r="V84" s="338" t="s">
        <v>56</v>
      </c>
      <c r="W84" s="338"/>
      <c r="X84" s="338"/>
      <c r="Y84" s="338" t="s">
        <v>51</v>
      </c>
      <c r="Z84" s="338"/>
      <c r="AA84" s="338"/>
      <c r="AB84" s="338"/>
      <c r="AC84" s="338"/>
      <c r="AD84" s="339"/>
      <c r="AF84" s="53"/>
    </row>
    <row r="85" spans="1:32" ht="30.75" customHeight="1">
      <c r="A85" s="340">
        <v>1</v>
      </c>
      <c r="B85" s="341"/>
      <c r="C85" s="342">
        <v>9</v>
      </c>
      <c r="D85" s="342"/>
      <c r="E85" s="342" t="s">
        <v>157</v>
      </c>
      <c r="F85" s="342"/>
      <c r="G85" s="342"/>
      <c r="H85" s="342"/>
      <c r="I85" s="342"/>
      <c r="J85" s="342"/>
      <c r="K85" s="342" t="s">
        <v>158</v>
      </c>
      <c r="L85" s="342"/>
      <c r="M85" s="342"/>
      <c r="N85" s="342"/>
      <c r="O85" s="342"/>
      <c r="P85" s="342"/>
      <c r="Q85" s="342"/>
      <c r="R85" s="342"/>
      <c r="S85" s="342"/>
      <c r="T85" s="342" t="s">
        <v>159</v>
      </c>
      <c r="U85" s="342"/>
      <c r="V85" s="343">
        <v>11307000</v>
      </c>
      <c r="W85" s="343"/>
      <c r="X85" s="343"/>
      <c r="Y85" s="344"/>
      <c r="Z85" s="344"/>
      <c r="AA85" s="344"/>
      <c r="AB85" s="344"/>
      <c r="AC85" s="344"/>
      <c r="AD85" s="345"/>
      <c r="AF85" s="53"/>
    </row>
    <row r="86" spans="1:32" ht="30.75" customHeight="1">
      <c r="A86" s="333">
        <v>2</v>
      </c>
      <c r="B86" s="334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6"/>
      <c r="U86" s="336"/>
      <c r="V86" s="337"/>
      <c r="W86" s="337"/>
      <c r="X86" s="337"/>
      <c r="Y86" s="326"/>
      <c r="Z86" s="326"/>
      <c r="AA86" s="326"/>
      <c r="AB86" s="326"/>
      <c r="AC86" s="326"/>
      <c r="AD86" s="327"/>
      <c r="AF86" s="53"/>
    </row>
    <row r="87" spans="1:32" ht="30.75" customHeight="1" thickBot="1">
      <c r="A87" s="328">
        <v>3</v>
      </c>
      <c r="B87" s="329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1"/>
      <c r="Z87" s="331"/>
      <c r="AA87" s="331"/>
      <c r="AB87" s="331"/>
      <c r="AC87" s="331"/>
      <c r="AD87" s="332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8574-810E-4722-937D-D9BEA071D380}">
  <sheetPr>
    <pageSetUpPr fitToPage="1"/>
  </sheetPr>
  <dimension ref="A1:AF89"/>
  <sheetViews>
    <sheetView zoomScale="72" zoomScaleNormal="72" zoomScaleSheetLayoutView="70" workbookViewId="0">
      <selection activeCell="U11" sqref="U11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276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81" t="s">
        <v>17</v>
      </c>
      <c r="L5" s="181" t="s">
        <v>18</v>
      </c>
      <c r="M5" s="181" t="s">
        <v>19</v>
      </c>
      <c r="N5" s="181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3" si="0">L6-N6</f>
        <v>0</v>
      </c>
      <c r="N6" s="16">
        <v>0</v>
      </c>
      <c r="O6" s="62" t="str">
        <f t="shared" ref="O6:O24" si="1">IF(L6=0,"0",N6/L6)</f>
        <v>0</v>
      </c>
      <c r="P6" s="42" t="str">
        <f t="shared" ref="P6:P23" si="2">IF(L6=0,"0",(24-Q6))</f>
        <v>0</v>
      </c>
      <c r="Q6" s="43">
        <f t="shared" ref="Q6:Q23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3" si="4">IF(J6=0,"0",(L6/J6))</f>
        <v>0</v>
      </c>
      <c r="AC6" s="9">
        <f t="shared" ref="AC6:AC23" si="5">IF(P6=0,"0",(P6/24))</f>
        <v>0</v>
      </c>
      <c r="AD6" s="10">
        <f t="shared" ref="AD6:AD23" si="6">AC6*AB6*(1-O6)</f>
        <v>0</v>
      </c>
      <c r="AE6" s="39">
        <f t="shared" ref="AE6:AE23" si="7">$AD$24</f>
        <v>0.3388684640522876</v>
      </c>
      <c r="AF6" s="93">
        <f t="shared" ref="AF6:AF23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0.3388684640522876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224</v>
      </c>
      <c r="D8" s="55"/>
      <c r="E8" s="57" t="s">
        <v>253</v>
      </c>
      <c r="F8" s="33" t="s">
        <v>131</v>
      </c>
      <c r="G8" s="36">
        <v>1</v>
      </c>
      <c r="H8" s="38">
        <v>25</v>
      </c>
      <c r="I8" s="7">
        <v>2000</v>
      </c>
      <c r="J8" s="5">
        <v>1662</v>
      </c>
      <c r="K8" s="15">
        <f>L8+2779</f>
        <v>4441</v>
      </c>
      <c r="L8" s="15">
        <v>1662</v>
      </c>
      <c r="M8" s="16">
        <f t="shared" si="0"/>
        <v>1662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/>
      <c r="W8" s="19">
        <v>14</v>
      </c>
      <c r="X8" s="17"/>
      <c r="Y8" s="20"/>
      <c r="Z8" s="20"/>
      <c r="AA8" s="21"/>
      <c r="AB8" s="8">
        <f t="shared" si="4"/>
        <v>1</v>
      </c>
      <c r="AC8" s="9">
        <f t="shared" si="5"/>
        <v>0.41666666666666669</v>
      </c>
      <c r="AD8" s="10">
        <f t="shared" si="6"/>
        <v>0.41666666666666669</v>
      </c>
      <c r="AE8" s="39">
        <f t="shared" si="7"/>
        <v>0.3388684640522876</v>
      </c>
      <c r="AF8" s="93">
        <f t="shared" si="8"/>
        <v>3</v>
      </c>
    </row>
    <row r="9" spans="1:32" ht="27" customHeight="1">
      <c r="A9" s="108">
        <v>3</v>
      </c>
      <c r="B9" s="11" t="s">
        <v>57</v>
      </c>
      <c r="C9" s="37" t="s">
        <v>268</v>
      </c>
      <c r="D9" s="55"/>
      <c r="E9" s="57" t="s">
        <v>277</v>
      </c>
      <c r="F9" s="33" t="s">
        <v>131</v>
      </c>
      <c r="G9" s="36">
        <v>1</v>
      </c>
      <c r="H9" s="38">
        <v>25</v>
      </c>
      <c r="I9" s="7">
        <v>1000</v>
      </c>
      <c r="J9" s="5">
        <v>1088</v>
      </c>
      <c r="K9" s="15">
        <f>L9</f>
        <v>1087</v>
      </c>
      <c r="L9" s="15">
        <f>733+354</f>
        <v>1087</v>
      </c>
      <c r="M9" s="16">
        <f t="shared" ref="M9" si="9">L9-N9</f>
        <v>1087</v>
      </c>
      <c r="N9" s="16">
        <v>0</v>
      </c>
      <c r="O9" s="62">
        <f t="shared" ref="O9" si="10">IF(L9=0,"0",N9/L9)</f>
        <v>0</v>
      </c>
      <c r="P9" s="42">
        <f t="shared" ref="P9" si="11">IF(L9=0,"0",(24-Q9))</f>
        <v>8</v>
      </c>
      <c r="Q9" s="43">
        <f t="shared" ref="Q9" si="12">SUM(R9:AA9)</f>
        <v>16</v>
      </c>
      <c r="R9" s="7"/>
      <c r="S9" s="6"/>
      <c r="T9" s="17"/>
      <c r="U9" s="17"/>
      <c r="V9" s="18"/>
      <c r="W9" s="19">
        <v>16</v>
      </c>
      <c r="X9" s="17"/>
      <c r="Y9" s="20"/>
      <c r="Z9" s="20"/>
      <c r="AA9" s="21"/>
      <c r="AB9" s="8">
        <f t="shared" ref="AB9" si="13">IF(J9=0,"0",(L9/J9))</f>
        <v>0.99908088235294112</v>
      </c>
      <c r="AC9" s="9">
        <f t="shared" ref="AC9" si="14">IF(P9=0,"0",(P9/24))</f>
        <v>0.33333333333333331</v>
      </c>
      <c r="AD9" s="10">
        <f t="shared" ref="AD9" si="15">AC9*AB9*(1-O9)</f>
        <v>0.33302696078431371</v>
      </c>
      <c r="AE9" s="39">
        <f t="shared" si="7"/>
        <v>0.3388684640522876</v>
      </c>
      <c r="AF9" s="93">
        <f t="shared" ref="AF9" si="16">A9</f>
        <v>3</v>
      </c>
    </row>
    <row r="10" spans="1:32" ht="27" customHeight="1">
      <c r="A10" s="109">
        <v>4</v>
      </c>
      <c r="B10" s="11" t="s">
        <v>57</v>
      </c>
      <c r="C10" s="11" t="s">
        <v>125</v>
      </c>
      <c r="D10" s="55" t="s">
        <v>136</v>
      </c>
      <c r="E10" s="57" t="s">
        <v>263</v>
      </c>
      <c r="F10" s="12" t="s">
        <v>147</v>
      </c>
      <c r="G10" s="12">
        <v>1</v>
      </c>
      <c r="H10" s="13">
        <v>25</v>
      </c>
      <c r="I10" s="7">
        <v>6000</v>
      </c>
      <c r="J10" s="14">
        <v>5586</v>
      </c>
      <c r="K10" s="15">
        <f>L10</f>
        <v>5586</v>
      </c>
      <c r="L10" s="15">
        <f>3406+2180</f>
        <v>5586</v>
      </c>
      <c r="M10" s="16">
        <f t="shared" si="0"/>
        <v>5586</v>
      </c>
      <c r="N10" s="16">
        <v>0</v>
      </c>
      <c r="O10" s="62">
        <f t="shared" si="1"/>
        <v>0</v>
      </c>
      <c r="P10" s="42">
        <f t="shared" si="2"/>
        <v>24</v>
      </c>
      <c r="Q10" s="43">
        <f t="shared" si="3"/>
        <v>0</v>
      </c>
      <c r="R10" s="7"/>
      <c r="S10" s="6"/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1</v>
      </c>
      <c r="AD10" s="10">
        <f t="shared" si="6"/>
        <v>1</v>
      </c>
      <c r="AE10" s="39">
        <f t="shared" si="7"/>
        <v>0.3388684640522876</v>
      </c>
      <c r="AF10" s="93">
        <f t="shared" si="8"/>
        <v>4</v>
      </c>
    </row>
    <row r="11" spans="1:32" ht="27" customHeight="1">
      <c r="A11" s="109">
        <v>5</v>
      </c>
      <c r="B11" s="11" t="s">
        <v>57</v>
      </c>
      <c r="C11" s="11" t="s">
        <v>125</v>
      </c>
      <c r="D11" s="55" t="s">
        <v>136</v>
      </c>
      <c r="E11" s="57" t="s">
        <v>168</v>
      </c>
      <c r="F11" s="12" t="s">
        <v>147</v>
      </c>
      <c r="G11" s="12">
        <v>1</v>
      </c>
      <c r="H11" s="13">
        <v>25</v>
      </c>
      <c r="I11" s="7">
        <v>100</v>
      </c>
      <c r="J11" s="14">
        <v>100</v>
      </c>
      <c r="K11" s="15">
        <f>L11</f>
        <v>100</v>
      </c>
      <c r="L11" s="15">
        <v>100</v>
      </c>
      <c r="M11" s="16">
        <f t="shared" ref="M11" si="17">L11-N11</f>
        <v>100</v>
      </c>
      <c r="N11" s="16">
        <v>0</v>
      </c>
      <c r="O11" s="62">
        <f t="shared" ref="O11" si="18">IF(L11=0,"0",N11/L11)</f>
        <v>0</v>
      </c>
      <c r="P11" s="42">
        <f t="shared" ref="P11" si="19">IF(L11=0,"0",(24-Q11))</f>
        <v>2</v>
      </c>
      <c r="Q11" s="43">
        <f t="shared" ref="Q11" si="20">SUM(R11:AA11)</f>
        <v>22</v>
      </c>
      <c r="R11" s="7"/>
      <c r="S11" s="6"/>
      <c r="T11" s="17"/>
      <c r="U11" s="17"/>
      <c r="V11" s="18"/>
      <c r="W11" s="19">
        <v>22</v>
      </c>
      <c r="X11" s="17"/>
      <c r="Y11" s="20"/>
      <c r="Z11" s="20"/>
      <c r="AA11" s="21"/>
      <c r="AB11" s="8">
        <f t="shared" ref="AB11" si="21">IF(J11=0,"0",(L11/J11))</f>
        <v>1</v>
      </c>
      <c r="AC11" s="9">
        <f t="shared" ref="AC11" si="22">IF(P11=0,"0",(P11/24))</f>
        <v>8.3333333333333329E-2</v>
      </c>
      <c r="AD11" s="10">
        <f t="shared" ref="AD11" si="23">AC11*AB11*(1-O11)</f>
        <v>8.3333333333333329E-2</v>
      </c>
      <c r="AE11" s="39">
        <f t="shared" si="7"/>
        <v>0.3388684640522876</v>
      </c>
      <c r="AF11" s="93">
        <f t="shared" ref="AF11" si="24">A11</f>
        <v>5</v>
      </c>
    </row>
    <row r="12" spans="1:32" ht="27" customHeight="1">
      <c r="A12" s="109">
        <v>5</v>
      </c>
      <c r="B12" s="11" t="s">
        <v>57</v>
      </c>
      <c r="C12" s="11" t="s">
        <v>152</v>
      </c>
      <c r="D12" s="55" t="s">
        <v>217</v>
      </c>
      <c r="E12" s="57" t="s">
        <v>201</v>
      </c>
      <c r="F12" s="12" t="s">
        <v>189</v>
      </c>
      <c r="G12" s="12">
        <v>2</v>
      </c>
      <c r="H12" s="13">
        <v>25</v>
      </c>
      <c r="I12" s="7">
        <v>20000</v>
      </c>
      <c r="J12" s="14">
        <v>5260</v>
      </c>
      <c r="K12" s="15">
        <f>L12+1696+5260</f>
        <v>6956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>
        <v>24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0.3388684640522876</v>
      </c>
      <c r="AF12" s="93">
        <f t="shared" si="8"/>
        <v>5</v>
      </c>
    </row>
    <row r="13" spans="1:32" ht="27" customHeight="1">
      <c r="A13" s="109">
        <v>6</v>
      </c>
      <c r="B13" s="11" t="s">
        <v>57</v>
      </c>
      <c r="C13" s="37" t="s">
        <v>125</v>
      </c>
      <c r="D13" s="55" t="s">
        <v>126</v>
      </c>
      <c r="E13" s="57" t="s">
        <v>264</v>
      </c>
      <c r="F13" s="12" t="s">
        <v>172</v>
      </c>
      <c r="G13" s="12">
        <v>1</v>
      </c>
      <c r="H13" s="13">
        <v>25</v>
      </c>
      <c r="I13" s="34">
        <v>4000</v>
      </c>
      <c r="J13" s="5">
        <v>2520</v>
      </c>
      <c r="K13" s="15">
        <f>L13</f>
        <v>2520</v>
      </c>
      <c r="L13" s="15">
        <f>1883+637</f>
        <v>2520</v>
      </c>
      <c r="M13" s="16">
        <f t="shared" si="0"/>
        <v>2520</v>
      </c>
      <c r="N13" s="16">
        <v>0</v>
      </c>
      <c r="O13" s="62">
        <f t="shared" si="1"/>
        <v>0</v>
      </c>
      <c r="P13" s="42">
        <f t="shared" si="2"/>
        <v>10</v>
      </c>
      <c r="Q13" s="43">
        <f t="shared" si="3"/>
        <v>14</v>
      </c>
      <c r="R13" s="7"/>
      <c r="S13" s="6">
        <v>14</v>
      </c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0.41666666666666669</v>
      </c>
      <c r="AD13" s="10">
        <f t="shared" si="6"/>
        <v>0.41666666666666669</v>
      </c>
      <c r="AE13" s="39">
        <f t="shared" si="7"/>
        <v>0.3388684640522876</v>
      </c>
      <c r="AF13" s="93">
        <f t="shared" si="8"/>
        <v>6</v>
      </c>
    </row>
    <row r="14" spans="1:32" ht="27" customHeight="1">
      <c r="A14" s="109">
        <v>7</v>
      </c>
      <c r="B14" s="11" t="s">
        <v>57</v>
      </c>
      <c r="C14" s="11" t="s">
        <v>125</v>
      </c>
      <c r="D14" s="55" t="s">
        <v>132</v>
      </c>
      <c r="E14" s="57" t="s">
        <v>133</v>
      </c>
      <c r="F14" s="12" t="s">
        <v>129</v>
      </c>
      <c r="G14" s="12">
        <v>1</v>
      </c>
      <c r="H14" s="13">
        <v>25</v>
      </c>
      <c r="I14" s="7">
        <v>30000</v>
      </c>
      <c r="J14" s="14">
        <v>1455</v>
      </c>
      <c r="K14" s="15">
        <f>L14+6302+5982+6188+6139+6173</f>
        <v>32239</v>
      </c>
      <c r="L14" s="15">
        <v>1455</v>
      </c>
      <c r="M14" s="16">
        <f t="shared" si="0"/>
        <v>1455</v>
      </c>
      <c r="N14" s="16">
        <v>0</v>
      </c>
      <c r="O14" s="62">
        <f t="shared" si="1"/>
        <v>0</v>
      </c>
      <c r="P14" s="42">
        <f t="shared" si="2"/>
        <v>8</v>
      </c>
      <c r="Q14" s="43">
        <f t="shared" si="3"/>
        <v>16</v>
      </c>
      <c r="R14" s="7"/>
      <c r="S14" s="6"/>
      <c r="T14" s="17"/>
      <c r="U14" s="17"/>
      <c r="V14" s="18"/>
      <c r="W14" s="19">
        <v>16</v>
      </c>
      <c r="X14" s="17"/>
      <c r="Y14" s="20"/>
      <c r="Z14" s="20"/>
      <c r="AA14" s="21"/>
      <c r="AB14" s="8">
        <f t="shared" si="4"/>
        <v>1</v>
      </c>
      <c r="AC14" s="9">
        <f t="shared" si="5"/>
        <v>0.33333333333333331</v>
      </c>
      <c r="AD14" s="10">
        <f t="shared" si="6"/>
        <v>0.33333333333333331</v>
      </c>
      <c r="AE14" s="39">
        <f t="shared" si="7"/>
        <v>0.3388684640522876</v>
      </c>
      <c r="AF14" s="93">
        <f t="shared" si="8"/>
        <v>7</v>
      </c>
    </row>
    <row r="15" spans="1:32" ht="27" customHeight="1">
      <c r="A15" s="109">
        <v>8</v>
      </c>
      <c r="B15" s="11" t="s">
        <v>57</v>
      </c>
      <c r="C15" s="11" t="s">
        <v>125</v>
      </c>
      <c r="D15" s="55" t="s">
        <v>123</v>
      </c>
      <c r="E15" s="57" t="s">
        <v>188</v>
      </c>
      <c r="F15" s="12" t="s">
        <v>189</v>
      </c>
      <c r="G15" s="12">
        <v>1</v>
      </c>
      <c r="H15" s="13">
        <v>25</v>
      </c>
      <c r="I15" s="7">
        <v>30000</v>
      </c>
      <c r="J15" s="14">
        <v>5552</v>
      </c>
      <c r="K15" s="15">
        <f>L15+544+4129+5286+4993</f>
        <v>20504</v>
      </c>
      <c r="L15" s="15">
        <f>2561+2991</f>
        <v>5552</v>
      </c>
      <c r="M15" s="16">
        <f t="shared" si="0"/>
        <v>5552</v>
      </c>
      <c r="N15" s="16">
        <v>0</v>
      </c>
      <c r="O15" s="62">
        <f t="shared" si="1"/>
        <v>0</v>
      </c>
      <c r="P15" s="42">
        <f t="shared" si="2"/>
        <v>24</v>
      </c>
      <c r="Q15" s="43">
        <f t="shared" si="3"/>
        <v>0</v>
      </c>
      <c r="R15" s="7"/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1</v>
      </c>
      <c r="AC15" s="9">
        <f t="shared" si="5"/>
        <v>1</v>
      </c>
      <c r="AD15" s="10">
        <f t="shared" si="6"/>
        <v>1</v>
      </c>
      <c r="AE15" s="39">
        <f t="shared" si="7"/>
        <v>0.3388684640522876</v>
      </c>
      <c r="AF15" s="93">
        <f t="shared" si="8"/>
        <v>8</v>
      </c>
    </row>
    <row r="16" spans="1:32" ht="27" customHeight="1">
      <c r="A16" s="108">
        <v>9</v>
      </c>
      <c r="B16" s="11" t="s">
        <v>57</v>
      </c>
      <c r="C16" s="37" t="s">
        <v>114</v>
      </c>
      <c r="D16" s="55" t="s">
        <v>123</v>
      </c>
      <c r="E16" s="57" t="s">
        <v>155</v>
      </c>
      <c r="F16" s="33" t="s">
        <v>153</v>
      </c>
      <c r="G16" s="36">
        <v>1</v>
      </c>
      <c r="H16" s="38">
        <v>25</v>
      </c>
      <c r="I16" s="7">
        <v>1000</v>
      </c>
      <c r="J16" s="5">
        <v>1068</v>
      </c>
      <c r="K16" s="15">
        <f>L16+1068</f>
        <v>1068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>
        <v>24</v>
      </c>
      <c r="S16" s="6"/>
      <c r="T16" s="17"/>
      <c r="U16" s="17"/>
      <c r="V16" s="18"/>
      <c r="W16" s="19"/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0.3388684640522876</v>
      </c>
      <c r="AF16" s="93">
        <f t="shared" si="8"/>
        <v>9</v>
      </c>
    </row>
    <row r="17" spans="1:32" ht="27" customHeight="1">
      <c r="A17" s="108">
        <v>10</v>
      </c>
      <c r="B17" s="11" t="s">
        <v>57</v>
      </c>
      <c r="C17" s="11" t="s">
        <v>152</v>
      </c>
      <c r="D17" s="55"/>
      <c r="E17" s="57" t="s">
        <v>265</v>
      </c>
      <c r="F17" s="12" t="s">
        <v>156</v>
      </c>
      <c r="G17" s="12">
        <v>1</v>
      </c>
      <c r="H17" s="13">
        <v>24</v>
      </c>
      <c r="I17" s="34">
        <v>250</v>
      </c>
      <c r="J17" s="14">
        <v>305</v>
      </c>
      <c r="K17" s="15">
        <f>L17</f>
        <v>305</v>
      </c>
      <c r="L17" s="15">
        <v>305</v>
      </c>
      <c r="M17" s="16">
        <f t="shared" si="0"/>
        <v>305</v>
      </c>
      <c r="N17" s="16">
        <v>0</v>
      </c>
      <c r="O17" s="62">
        <f t="shared" si="1"/>
        <v>0</v>
      </c>
      <c r="P17" s="42">
        <f t="shared" si="2"/>
        <v>2</v>
      </c>
      <c r="Q17" s="43">
        <f t="shared" si="3"/>
        <v>22</v>
      </c>
      <c r="R17" s="7"/>
      <c r="S17" s="6"/>
      <c r="T17" s="17"/>
      <c r="U17" s="17"/>
      <c r="V17" s="18"/>
      <c r="W17" s="19">
        <v>22</v>
      </c>
      <c r="X17" s="17"/>
      <c r="Y17" s="20"/>
      <c r="Z17" s="20"/>
      <c r="AA17" s="21"/>
      <c r="AB17" s="8">
        <f t="shared" si="4"/>
        <v>1</v>
      </c>
      <c r="AC17" s="9">
        <f t="shared" si="5"/>
        <v>8.3333333333333329E-2</v>
      </c>
      <c r="AD17" s="10">
        <f t="shared" si="6"/>
        <v>8.3333333333333329E-2</v>
      </c>
      <c r="AE17" s="39">
        <f t="shared" si="7"/>
        <v>0.3388684640522876</v>
      </c>
      <c r="AF17" s="93">
        <f t="shared" si="8"/>
        <v>10</v>
      </c>
    </row>
    <row r="18" spans="1:32" ht="27" customHeight="1">
      <c r="A18" s="108">
        <v>11</v>
      </c>
      <c r="B18" s="11" t="s">
        <v>57</v>
      </c>
      <c r="C18" s="37" t="s">
        <v>152</v>
      </c>
      <c r="D18" s="55" t="s">
        <v>278</v>
      </c>
      <c r="E18" s="57" t="s">
        <v>267</v>
      </c>
      <c r="F18" s="33" t="s">
        <v>212</v>
      </c>
      <c r="G18" s="36">
        <v>1</v>
      </c>
      <c r="H18" s="38">
        <v>25</v>
      </c>
      <c r="I18" s="7">
        <v>250</v>
      </c>
      <c r="J18" s="5">
        <v>314</v>
      </c>
      <c r="K18" s="15">
        <f>L18</f>
        <v>314</v>
      </c>
      <c r="L18" s="15">
        <v>314</v>
      </c>
      <c r="M18" s="16">
        <f t="shared" si="0"/>
        <v>314</v>
      </c>
      <c r="N18" s="16">
        <v>0</v>
      </c>
      <c r="O18" s="62">
        <f t="shared" si="1"/>
        <v>0</v>
      </c>
      <c r="P18" s="42">
        <f t="shared" si="2"/>
        <v>3</v>
      </c>
      <c r="Q18" s="43">
        <f t="shared" si="3"/>
        <v>21</v>
      </c>
      <c r="R18" s="7"/>
      <c r="S18" s="6"/>
      <c r="T18" s="17"/>
      <c r="U18" s="17"/>
      <c r="V18" s="18"/>
      <c r="W18" s="19">
        <v>21</v>
      </c>
      <c r="X18" s="17"/>
      <c r="Y18" s="20"/>
      <c r="Z18" s="20"/>
      <c r="AA18" s="21"/>
      <c r="AB18" s="8">
        <f t="shared" si="4"/>
        <v>1</v>
      </c>
      <c r="AC18" s="9">
        <f t="shared" si="5"/>
        <v>0.125</v>
      </c>
      <c r="AD18" s="10">
        <f t="shared" si="6"/>
        <v>0.125</v>
      </c>
      <c r="AE18" s="39">
        <f t="shared" si="7"/>
        <v>0.3388684640522876</v>
      </c>
      <c r="AF18" s="93">
        <f t="shared" si="8"/>
        <v>11</v>
      </c>
    </row>
    <row r="19" spans="1:32" ht="27" customHeight="1">
      <c r="A19" s="108">
        <v>11</v>
      </c>
      <c r="B19" s="11" t="s">
        <v>57</v>
      </c>
      <c r="C19" s="37" t="s">
        <v>152</v>
      </c>
      <c r="D19" s="55" t="s">
        <v>278</v>
      </c>
      <c r="E19" s="57" t="s">
        <v>266</v>
      </c>
      <c r="F19" s="33" t="s">
        <v>212</v>
      </c>
      <c r="G19" s="36">
        <v>1</v>
      </c>
      <c r="H19" s="38">
        <v>25</v>
      </c>
      <c r="I19" s="7">
        <v>250</v>
      </c>
      <c r="J19" s="5">
        <v>285</v>
      </c>
      <c r="K19" s="15">
        <f>L19</f>
        <v>285</v>
      </c>
      <c r="L19" s="15">
        <v>285</v>
      </c>
      <c r="M19" s="16">
        <f t="shared" ref="M19" si="25">L19-N19</f>
        <v>285</v>
      </c>
      <c r="N19" s="16">
        <v>0</v>
      </c>
      <c r="O19" s="62">
        <f t="shared" ref="O19" si="26">IF(L19=0,"0",N19/L19)</f>
        <v>0</v>
      </c>
      <c r="P19" s="42">
        <f t="shared" ref="P19" si="27">IF(L19=0,"0",(24-Q19))</f>
        <v>2</v>
      </c>
      <c r="Q19" s="43">
        <f t="shared" ref="Q19" si="28">SUM(R19:AA19)</f>
        <v>22</v>
      </c>
      <c r="R19" s="7"/>
      <c r="S19" s="6"/>
      <c r="T19" s="17"/>
      <c r="U19" s="17"/>
      <c r="V19" s="18"/>
      <c r="W19" s="19">
        <v>22</v>
      </c>
      <c r="X19" s="17"/>
      <c r="Y19" s="20"/>
      <c r="Z19" s="20"/>
      <c r="AA19" s="21"/>
      <c r="AB19" s="8">
        <f t="shared" ref="AB19" si="29">IF(J19=0,"0",(L19/J19))</f>
        <v>1</v>
      </c>
      <c r="AC19" s="9">
        <f t="shared" ref="AC19" si="30">IF(P19=0,"0",(P19/24))</f>
        <v>8.3333333333333329E-2</v>
      </c>
      <c r="AD19" s="10">
        <f t="shared" ref="AD19" si="31">AC19*AB19*(1-O19)</f>
        <v>8.3333333333333329E-2</v>
      </c>
      <c r="AE19" s="39">
        <f t="shared" si="7"/>
        <v>0.3388684640522876</v>
      </c>
      <c r="AF19" s="93">
        <f t="shared" ref="AF19" si="32">A19</f>
        <v>11</v>
      </c>
    </row>
    <row r="20" spans="1:32" ht="27" customHeight="1">
      <c r="A20" s="108">
        <v>12</v>
      </c>
      <c r="B20" s="11" t="s">
        <v>57</v>
      </c>
      <c r="C20" s="11" t="s">
        <v>125</v>
      </c>
      <c r="D20" s="55" t="s">
        <v>126</v>
      </c>
      <c r="E20" s="57" t="s">
        <v>154</v>
      </c>
      <c r="F20" s="12" t="s">
        <v>172</v>
      </c>
      <c r="G20" s="12">
        <v>1</v>
      </c>
      <c r="H20" s="13">
        <v>24</v>
      </c>
      <c r="I20" s="34">
        <v>500</v>
      </c>
      <c r="J20" s="14">
        <v>710</v>
      </c>
      <c r="K20" s="15">
        <f>L20+709</f>
        <v>709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0.3388684640522876</v>
      </c>
      <c r="AF20" s="93">
        <f t="shared" si="8"/>
        <v>12</v>
      </c>
    </row>
    <row r="21" spans="1:32" ht="27" customHeight="1">
      <c r="A21" s="109">
        <v>13</v>
      </c>
      <c r="B21" s="11" t="s">
        <v>279</v>
      </c>
      <c r="C21" s="37" t="s">
        <v>125</v>
      </c>
      <c r="D21" s="55" t="s">
        <v>132</v>
      </c>
      <c r="E21" s="57" t="s">
        <v>271</v>
      </c>
      <c r="F21" s="12" t="s">
        <v>189</v>
      </c>
      <c r="G21" s="36">
        <v>1</v>
      </c>
      <c r="H21" s="38">
        <v>30</v>
      </c>
      <c r="I21" s="7">
        <v>500</v>
      </c>
      <c r="J21" s="5">
        <v>500</v>
      </c>
      <c r="K21" s="15">
        <f>L21</f>
        <v>500</v>
      </c>
      <c r="L21" s="15">
        <v>500</v>
      </c>
      <c r="M21" s="16">
        <f t="shared" si="0"/>
        <v>500</v>
      </c>
      <c r="N21" s="16">
        <v>0</v>
      </c>
      <c r="O21" s="62">
        <f t="shared" si="1"/>
        <v>0</v>
      </c>
      <c r="P21" s="42">
        <f t="shared" si="2"/>
        <v>5</v>
      </c>
      <c r="Q21" s="43">
        <f t="shared" si="3"/>
        <v>19</v>
      </c>
      <c r="R21" s="7"/>
      <c r="S21" s="6"/>
      <c r="T21" s="17"/>
      <c r="U21" s="17"/>
      <c r="V21" s="18"/>
      <c r="W21" s="19"/>
      <c r="X21" s="17"/>
      <c r="Y21" s="20"/>
      <c r="Z21" s="20"/>
      <c r="AA21" s="21">
        <v>19</v>
      </c>
      <c r="AB21" s="8">
        <f t="shared" si="4"/>
        <v>1</v>
      </c>
      <c r="AC21" s="9">
        <f t="shared" si="5"/>
        <v>0.20833333333333334</v>
      </c>
      <c r="AD21" s="10">
        <f t="shared" si="6"/>
        <v>0.20833333333333334</v>
      </c>
      <c r="AE21" s="39">
        <f t="shared" si="7"/>
        <v>0.3388684640522876</v>
      </c>
      <c r="AF21" s="93">
        <f t="shared" si="8"/>
        <v>13</v>
      </c>
    </row>
    <row r="22" spans="1:32" ht="27" customHeight="1">
      <c r="A22" s="109">
        <v>14</v>
      </c>
      <c r="B22" s="11" t="s">
        <v>57</v>
      </c>
      <c r="C22" s="37" t="s">
        <v>125</v>
      </c>
      <c r="D22" s="55" t="s">
        <v>123</v>
      </c>
      <c r="E22" s="57" t="s">
        <v>242</v>
      </c>
      <c r="F22" s="33" t="s">
        <v>189</v>
      </c>
      <c r="G22" s="12">
        <v>1</v>
      </c>
      <c r="H22" s="13">
        <v>25</v>
      </c>
      <c r="I22" s="34">
        <v>5000</v>
      </c>
      <c r="J22" s="5">
        <v>3547</v>
      </c>
      <c r="K22" s="15">
        <f>L22+3547</f>
        <v>3547</v>
      </c>
      <c r="L22" s="15"/>
      <c r="M22" s="16">
        <f t="shared" si="0"/>
        <v>0</v>
      </c>
      <c r="N22" s="16">
        <v>0</v>
      </c>
      <c r="O22" s="62" t="str">
        <f t="shared" si="1"/>
        <v>0</v>
      </c>
      <c r="P22" s="42" t="str">
        <f t="shared" si="2"/>
        <v>0</v>
      </c>
      <c r="Q22" s="43">
        <f t="shared" si="3"/>
        <v>24</v>
      </c>
      <c r="R22" s="7"/>
      <c r="S22" s="6"/>
      <c r="T22" s="17"/>
      <c r="U22" s="17"/>
      <c r="V22" s="18"/>
      <c r="W22" s="19">
        <v>24</v>
      </c>
      <c r="X22" s="17"/>
      <c r="Y22" s="20"/>
      <c r="Z22" s="20"/>
      <c r="AA22" s="21"/>
      <c r="AB22" s="8">
        <f t="shared" si="4"/>
        <v>0</v>
      </c>
      <c r="AC22" s="9">
        <f t="shared" si="5"/>
        <v>0</v>
      </c>
      <c r="AD22" s="10">
        <f t="shared" si="6"/>
        <v>0</v>
      </c>
      <c r="AE22" s="39">
        <f t="shared" si="7"/>
        <v>0.3388684640522876</v>
      </c>
      <c r="AF22" s="93">
        <f t="shared" si="8"/>
        <v>14</v>
      </c>
    </row>
    <row r="23" spans="1:32" ht="27" customHeight="1" thickBot="1">
      <c r="A23" s="109">
        <v>15</v>
      </c>
      <c r="B23" s="11" t="s">
        <v>57</v>
      </c>
      <c r="C23" s="11" t="s">
        <v>121</v>
      </c>
      <c r="D23" s="55"/>
      <c r="E23" s="56" t="s">
        <v>236</v>
      </c>
      <c r="F23" s="12" t="s">
        <v>122</v>
      </c>
      <c r="G23" s="12">
        <v>4</v>
      </c>
      <c r="H23" s="38">
        <v>20</v>
      </c>
      <c r="I23" s="7">
        <v>300000</v>
      </c>
      <c r="J23" s="14">
        <v>48544</v>
      </c>
      <c r="K23" s="15">
        <f>L23+20068+24564</f>
        <v>93176</v>
      </c>
      <c r="L23" s="15">
        <f>4989*4+7147*4</f>
        <v>48544</v>
      </c>
      <c r="M23" s="16">
        <f t="shared" si="0"/>
        <v>48544</v>
      </c>
      <c r="N23" s="16">
        <v>0</v>
      </c>
      <c r="O23" s="62">
        <f t="shared" si="1"/>
        <v>0</v>
      </c>
      <c r="P23" s="42">
        <f t="shared" si="2"/>
        <v>24</v>
      </c>
      <c r="Q23" s="43">
        <f t="shared" si="3"/>
        <v>0</v>
      </c>
      <c r="R23" s="7"/>
      <c r="S23" s="6"/>
      <c r="T23" s="17"/>
      <c r="U23" s="17"/>
      <c r="V23" s="18"/>
      <c r="W23" s="19"/>
      <c r="X23" s="17"/>
      <c r="Y23" s="20"/>
      <c r="Z23" s="20"/>
      <c r="AA23" s="21"/>
      <c r="AB23" s="8">
        <f t="shared" si="4"/>
        <v>1</v>
      </c>
      <c r="AC23" s="9">
        <f t="shared" si="5"/>
        <v>1</v>
      </c>
      <c r="AD23" s="10">
        <f t="shared" si="6"/>
        <v>1</v>
      </c>
      <c r="AE23" s="39">
        <f t="shared" si="7"/>
        <v>0.3388684640522876</v>
      </c>
      <c r="AF23" s="93">
        <f t="shared" si="8"/>
        <v>15</v>
      </c>
    </row>
    <row r="24" spans="1:32" ht="31.5" customHeight="1" thickBot="1">
      <c r="A24" s="397" t="s">
        <v>34</v>
      </c>
      <c r="B24" s="398"/>
      <c r="C24" s="398"/>
      <c r="D24" s="398"/>
      <c r="E24" s="398"/>
      <c r="F24" s="398"/>
      <c r="G24" s="398"/>
      <c r="H24" s="399"/>
      <c r="I24" s="25">
        <f t="shared" ref="I24:N24" si="33">SUM(I6:I23)</f>
        <v>601850</v>
      </c>
      <c r="J24" s="22">
        <f t="shared" si="33"/>
        <v>116136</v>
      </c>
      <c r="K24" s="23">
        <f t="shared" si="33"/>
        <v>360615</v>
      </c>
      <c r="L24" s="24">
        <f t="shared" si="33"/>
        <v>67910</v>
      </c>
      <c r="M24" s="23">
        <f t="shared" si="33"/>
        <v>67910</v>
      </c>
      <c r="N24" s="24">
        <f t="shared" si="33"/>
        <v>0</v>
      </c>
      <c r="O24" s="44">
        <f t="shared" si="1"/>
        <v>0</v>
      </c>
      <c r="P24" s="45">
        <f t="shared" ref="P24:AA24" si="34">SUM(P6:P23)</f>
        <v>122</v>
      </c>
      <c r="Q24" s="46">
        <f t="shared" si="34"/>
        <v>310</v>
      </c>
      <c r="R24" s="26">
        <f t="shared" si="34"/>
        <v>48</v>
      </c>
      <c r="S24" s="27">
        <f t="shared" si="34"/>
        <v>38</v>
      </c>
      <c r="T24" s="27">
        <f t="shared" si="34"/>
        <v>0</v>
      </c>
      <c r="U24" s="27">
        <f t="shared" si="34"/>
        <v>0</v>
      </c>
      <c r="V24" s="28">
        <f t="shared" si="34"/>
        <v>0</v>
      </c>
      <c r="W24" s="29">
        <f t="shared" si="34"/>
        <v>205</v>
      </c>
      <c r="X24" s="30">
        <f t="shared" si="34"/>
        <v>0</v>
      </c>
      <c r="Y24" s="30">
        <f t="shared" si="34"/>
        <v>0</v>
      </c>
      <c r="Z24" s="30">
        <f t="shared" si="34"/>
        <v>0</v>
      </c>
      <c r="AA24" s="30">
        <f t="shared" si="34"/>
        <v>19</v>
      </c>
      <c r="AB24" s="31">
        <f>SUM(AB6:AB23)/15</f>
        <v>0.79993872549019618</v>
      </c>
      <c r="AC24" s="4">
        <f>SUM(AC6:AC23)/15</f>
        <v>0.33888888888888891</v>
      </c>
      <c r="AD24" s="4">
        <f>SUM(AD6:AD23)/15</f>
        <v>0.3388684640522876</v>
      </c>
      <c r="AE24" s="32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1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 spans="1:3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 spans="1:3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94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F39" s="53"/>
    </row>
    <row r="40" spans="1:32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F40" s="53"/>
    </row>
    <row r="41" spans="1:32" ht="27">
      <c r="A41" s="63"/>
      <c r="B41" s="63"/>
      <c r="C41" s="63"/>
      <c r="D41" s="63"/>
      <c r="E41" s="63"/>
      <c r="F41" s="64"/>
      <c r="G41" s="64"/>
      <c r="H41" s="65"/>
      <c r="I41" s="65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F41" s="53"/>
    </row>
    <row r="42" spans="1:32" ht="29.25" customHeight="1">
      <c r="A42" s="66"/>
      <c r="B42" s="66"/>
      <c r="C42" s="67"/>
      <c r="D42" s="67"/>
      <c r="E42" s="67"/>
      <c r="F42" s="66"/>
      <c r="G42" s="66"/>
      <c r="H42" s="66"/>
      <c r="I42" s="66"/>
      <c r="J42" s="66"/>
      <c r="K42" s="66"/>
      <c r="L42" s="66"/>
      <c r="M42" s="67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29.25" customHeight="1">
      <c r="A48" s="66"/>
      <c r="B48" s="66"/>
      <c r="C48" s="68"/>
      <c r="D48" s="67"/>
      <c r="E48" s="67"/>
      <c r="F48" s="66"/>
      <c r="G48" s="66"/>
      <c r="H48" s="66"/>
      <c r="I48" s="66"/>
      <c r="J48" s="66"/>
      <c r="K48" s="66"/>
      <c r="L48" s="66"/>
      <c r="M48" s="68"/>
      <c r="N48" s="66"/>
      <c r="O48" s="66"/>
      <c r="P48" s="69"/>
      <c r="Q48" s="69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66"/>
      <c r="AC48" s="66"/>
      <c r="AD48" s="66"/>
      <c r="AF48" s="53"/>
    </row>
    <row r="49" spans="1:32" ht="29.25" customHeight="1">
      <c r="A49" s="66"/>
      <c r="B49" s="66"/>
      <c r="C49" s="68"/>
      <c r="D49" s="67"/>
      <c r="E49" s="67"/>
      <c r="F49" s="66"/>
      <c r="G49" s="66"/>
      <c r="H49" s="66"/>
      <c r="I49" s="66"/>
      <c r="J49" s="66"/>
      <c r="K49" s="66"/>
      <c r="L49" s="66"/>
      <c r="M49" s="68"/>
      <c r="N49" s="66"/>
      <c r="O49" s="66"/>
      <c r="P49" s="69"/>
      <c r="Q49" s="69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66"/>
      <c r="AC49" s="66"/>
      <c r="AD49" s="66"/>
      <c r="AF49" s="53"/>
    </row>
    <row r="50" spans="1:32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F50" s="53"/>
    </row>
    <row r="51" spans="1:32" ht="36" thickBot="1">
      <c r="A51" s="400" t="s">
        <v>45</v>
      </c>
      <c r="B51" s="400"/>
      <c r="C51" s="400"/>
      <c r="D51" s="400"/>
      <c r="E51" s="400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F51" s="53"/>
    </row>
    <row r="52" spans="1:32" ht="26.25" thickBot="1">
      <c r="A52" s="401" t="s">
        <v>280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3"/>
      <c r="N52" s="404" t="s">
        <v>281</v>
      </c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6"/>
    </row>
    <row r="53" spans="1:32" ht="27" customHeight="1">
      <c r="A53" s="407" t="s">
        <v>2</v>
      </c>
      <c r="B53" s="408"/>
      <c r="C53" s="180" t="s">
        <v>46</v>
      </c>
      <c r="D53" s="180" t="s">
        <v>47</v>
      </c>
      <c r="E53" s="180" t="s">
        <v>108</v>
      </c>
      <c r="F53" s="408" t="s">
        <v>107</v>
      </c>
      <c r="G53" s="408"/>
      <c r="H53" s="408"/>
      <c r="I53" s="408"/>
      <c r="J53" s="408"/>
      <c r="K53" s="408"/>
      <c r="L53" s="408"/>
      <c r="M53" s="409"/>
      <c r="N53" s="73" t="s">
        <v>112</v>
      </c>
      <c r="O53" s="180" t="s">
        <v>46</v>
      </c>
      <c r="P53" s="410" t="s">
        <v>47</v>
      </c>
      <c r="Q53" s="411"/>
      <c r="R53" s="410" t="s">
        <v>38</v>
      </c>
      <c r="S53" s="412"/>
      <c r="T53" s="412"/>
      <c r="U53" s="411"/>
      <c r="V53" s="410" t="s">
        <v>48</v>
      </c>
      <c r="W53" s="412"/>
      <c r="X53" s="412"/>
      <c r="Y53" s="412"/>
      <c r="Z53" s="412"/>
      <c r="AA53" s="412"/>
      <c r="AB53" s="412"/>
      <c r="AC53" s="412"/>
      <c r="AD53" s="413"/>
    </row>
    <row r="54" spans="1:32" ht="27" customHeight="1">
      <c r="A54" s="384" t="s">
        <v>268</v>
      </c>
      <c r="B54" s="385"/>
      <c r="C54" s="177" t="s">
        <v>140</v>
      </c>
      <c r="D54" s="177"/>
      <c r="E54" s="177" t="s">
        <v>277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176" t="s">
        <v>224</v>
      </c>
      <c r="O54" s="124" t="s">
        <v>140</v>
      </c>
      <c r="P54" s="385"/>
      <c r="Q54" s="385"/>
      <c r="R54" s="385" t="s">
        <v>282</v>
      </c>
      <c r="S54" s="385"/>
      <c r="T54" s="385"/>
      <c r="U54" s="385"/>
      <c r="V54" s="376" t="s">
        <v>130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152</v>
      </c>
      <c r="B55" s="385"/>
      <c r="C55" s="177" t="s">
        <v>142</v>
      </c>
      <c r="D55" s="177" t="s">
        <v>217</v>
      </c>
      <c r="E55" s="177" t="s">
        <v>201</v>
      </c>
      <c r="F55" s="376" t="s">
        <v>258</v>
      </c>
      <c r="G55" s="376"/>
      <c r="H55" s="376"/>
      <c r="I55" s="376"/>
      <c r="J55" s="376"/>
      <c r="K55" s="376"/>
      <c r="L55" s="376"/>
      <c r="M55" s="386"/>
      <c r="N55" s="176" t="s">
        <v>125</v>
      </c>
      <c r="O55" s="124" t="s">
        <v>216</v>
      </c>
      <c r="P55" s="385" t="s">
        <v>126</v>
      </c>
      <c r="Q55" s="385"/>
      <c r="R55" s="385" t="s">
        <v>264</v>
      </c>
      <c r="S55" s="385"/>
      <c r="T55" s="385"/>
      <c r="U55" s="385"/>
      <c r="V55" s="376" t="s">
        <v>193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125</v>
      </c>
      <c r="B56" s="385"/>
      <c r="C56" s="177" t="s">
        <v>141</v>
      </c>
      <c r="D56" s="177" t="s">
        <v>136</v>
      </c>
      <c r="E56" s="177" t="s">
        <v>263</v>
      </c>
      <c r="F56" s="376" t="s">
        <v>130</v>
      </c>
      <c r="G56" s="376"/>
      <c r="H56" s="376"/>
      <c r="I56" s="376"/>
      <c r="J56" s="376"/>
      <c r="K56" s="376"/>
      <c r="L56" s="376"/>
      <c r="M56" s="386"/>
      <c r="N56" s="176" t="s">
        <v>152</v>
      </c>
      <c r="O56" s="124" t="s">
        <v>142</v>
      </c>
      <c r="P56" s="385"/>
      <c r="Q56" s="385"/>
      <c r="R56" s="385" t="s">
        <v>201</v>
      </c>
      <c r="S56" s="385"/>
      <c r="T56" s="385"/>
      <c r="U56" s="385"/>
      <c r="V56" s="376" t="s">
        <v>143</v>
      </c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125</v>
      </c>
      <c r="B57" s="385"/>
      <c r="C57" s="177" t="s">
        <v>216</v>
      </c>
      <c r="D57" s="177" t="s">
        <v>126</v>
      </c>
      <c r="E57" s="177" t="s">
        <v>264</v>
      </c>
      <c r="F57" s="376" t="s">
        <v>130</v>
      </c>
      <c r="G57" s="376"/>
      <c r="H57" s="376"/>
      <c r="I57" s="376"/>
      <c r="J57" s="376"/>
      <c r="K57" s="376"/>
      <c r="L57" s="376"/>
      <c r="M57" s="386"/>
      <c r="N57" s="176" t="s">
        <v>114</v>
      </c>
      <c r="O57" s="124" t="s">
        <v>195</v>
      </c>
      <c r="P57" s="385" t="s">
        <v>149</v>
      </c>
      <c r="Q57" s="385"/>
      <c r="R57" s="385" t="s">
        <v>283</v>
      </c>
      <c r="S57" s="385"/>
      <c r="T57" s="385"/>
      <c r="U57" s="385"/>
      <c r="V57" s="376" t="s">
        <v>130</v>
      </c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152</v>
      </c>
      <c r="B58" s="385"/>
      <c r="C58" s="177" t="s">
        <v>184</v>
      </c>
      <c r="D58" s="177"/>
      <c r="E58" s="177" t="s">
        <v>265</v>
      </c>
      <c r="F58" s="376" t="s">
        <v>130</v>
      </c>
      <c r="G58" s="376"/>
      <c r="H58" s="376"/>
      <c r="I58" s="376"/>
      <c r="J58" s="376"/>
      <c r="K58" s="376"/>
      <c r="L58" s="376"/>
      <c r="M58" s="386"/>
      <c r="N58" s="176" t="s">
        <v>150</v>
      </c>
      <c r="O58" s="124" t="s">
        <v>145</v>
      </c>
      <c r="P58" s="385"/>
      <c r="Q58" s="385"/>
      <c r="R58" s="385" t="s">
        <v>284</v>
      </c>
      <c r="S58" s="385"/>
      <c r="T58" s="385"/>
      <c r="U58" s="385"/>
      <c r="V58" s="376" t="s">
        <v>130</v>
      </c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 t="s">
        <v>152</v>
      </c>
      <c r="B59" s="385"/>
      <c r="C59" s="177" t="s">
        <v>191</v>
      </c>
      <c r="D59" s="177"/>
      <c r="E59" s="177" t="s">
        <v>267</v>
      </c>
      <c r="F59" s="376" t="s">
        <v>130</v>
      </c>
      <c r="G59" s="376"/>
      <c r="H59" s="376"/>
      <c r="I59" s="376"/>
      <c r="J59" s="376"/>
      <c r="K59" s="376"/>
      <c r="L59" s="376"/>
      <c r="M59" s="386"/>
      <c r="N59" s="176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 t="s">
        <v>152</v>
      </c>
      <c r="B60" s="385"/>
      <c r="C60" s="177" t="s">
        <v>191</v>
      </c>
      <c r="D60" s="177"/>
      <c r="E60" s="177" t="s">
        <v>266</v>
      </c>
      <c r="F60" s="376" t="s">
        <v>130</v>
      </c>
      <c r="G60" s="376"/>
      <c r="H60" s="376"/>
      <c r="I60" s="376"/>
      <c r="J60" s="376"/>
      <c r="K60" s="376"/>
      <c r="L60" s="376"/>
      <c r="M60" s="386"/>
      <c r="N60" s="176"/>
      <c r="O60" s="124"/>
      <c r="P60" s="393"/>
      <c r="Q60" s="394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</row>
    <row r="61" spans="1:32" ht="27" customHeight="1">
      <c r="A61" s="384"/>
      <c r="B61" s="385"/>
      <c r="C61" s="177"/>
      <c r="D61" s="177"/>
      <c r="E61" s="177"/>
      <c r="F61" s="376"/>
      <c r="G61" s="376"/>
      <c r="H61" s="376"/>
      <c r="I61" s="376"/>
      <c r="J61" s="376"/>
      <c r="K61" s="376"/>
      <c r="L61" s="376"/>
      <c r="M61" s="386"/>
      <c r="N61" s="176"/>
      <c r="O61" s="124"/>
      <c r="P61" s="393"/>
      <c r="Q61" s="394"/>
      <c r="R61" s="385"/>
      <c r="S61" s="385"/>
      <c r="T61" s="385"/>
      <c r="U61" s="385"/>
      <c r="V61" s="376"/>
      <c r="W61" s="376"/>
      <c r="X61" s="376"/>
      <c r="Y61" s="376"/>
      <c r="Z61" s="376"/>
      <c r="AA61" s="376"/>
      <c r="AB61" s="376"/>
      <c r="AC61" s="376"/>
      <c r="AD61" s="386"/>
    </row>
    <row r="62" spans="1:32" ht="27" customHeight="1">
      <c r="A62" s="384"/>
      <c r="B62" s="385"/>
      <c r="C62" s="177"/>
      <c r="D62" s="177"/>
      <c r="E62" s="177"/>
      <c r="F62" s="376"/>
      <c r="G62" s="376"/>
      <c r="H62" s="376"/>
      <c r="I62" s="376"/>
      <c r="J62" s="376"/>
      <c r="K62" s="376"/>
      <c r="L62" s="376"/>
      <c r="M62" s="386"/>
      <c r="N62" s="176"/>
      <c r="O62" s="124"/>
      <c r="P62" s="385"/>
      <c r="Q62" s="385"/>
      <c r="R62" s="385"/>
      <c r="S62" s="385"/>
      <c r="T62" s="385"/>
      <c r="U62" s="385"/>
      <c r="V62" s="376"/>
      <c r="W62" s="376"/>
      <c r="X62" s="376"/>
      <c r="Y62" s="376"/>
      <c r="Z62" s="376"/>
      <c r="AA62" s="376"/>
      <c r="AB62" s="376"/>
      <c r="AC62" s="376"/>
      <c r="AD62" s="386"/>
      <c r="AF62" s="93">
        <f>8*3000</f>
        <v>24000</v>
      </c>
    </row>
    <row r="63" spans="1:32" ht="27" customHeight="1" thickBot="1">
      <c r="A63" s="387"/>
      <c r="B63" s="388"/>
      <c r="C63" s="179"/>
      <c r="D63" s="179"/>
      <c r="E63" s="179"/>
      <c r="F63" s="389"/>
      <c r="G63" s="389"/>
      <c r="H63" s="389"/>
      <c r="I63" s="389"/>
      <c r="J63" s="389"/>
      <c r="K63" s="389"/>
      <c r="L63" s="389"/>
      <c r="M63" s="390"/>
      <c r="N63" s="178"/>
      <c r="O63" s="120"/>
      <c r="P63" s="388"/>
      <c r="Q63" s="388"/>
      <c r="R63" s="388"/>
      <c r="S63" s="388"/>
      <c r="T63" s="388"/>
      <c r="U63" s="388"/>
      <c r="V63" s="391"/>
      <c r="W63" s="391"/>
      <c r="X63" s="391"/>
      <c r="Y63" s="391"/>
      <c r="Z63" s="391"/>
      <c r="AA63" s="391"/>
      <c r="AB63" s="391"/>
      <c r="AC63" s="391"/>
      <c r="AD63" s="392"/>
      <c r="AF63" s="93">
        <f>16*3000</f>
        <v>48000</v>
      </c>
    </row>
    <row r="64" spans="1:32" ht="27.75" thickBot="1">
      <c r="A64" s="382" t="s">
        <v>285</v>
      </c>
      <c r="B64" s="382"/>
      <c r="C64" s="382"/>
      <c r="D64" s="382"/>
      <c r="E64" s="382"/>
      <c r="F64" s="40"/>
      <c r="G64" s="40"/>
      <c r="H64" s="41"/>
      <c r="I64" s="4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F64" s="93">
        <v>24000</v>
      </c>
    </row>
    <row r="65" spans="1:32" ht="29.25" customHeight="1" thickBot="1">
      <c r="A65" s="383" t="s">
        <v>113</v>
      </c>
      <c r="B65" s="380"/>
      <c r="C65" s="175" t="s">
        <v>2</v>
      </c>
      <c r="D65" s="175" t="s">
        <v>37</v>
      </c>
      <c r="E65" s="175" t="s">
        <v>3</v>
      </c>
      <c r="F65" s="380" t="s">
        <v>110</v>
      </c>
      <c r="G65" s="380"/>
      <c r="H65" s="380"/>
      <c r="I65" s="380"/>
      <c r="J65" s="380"/>
      <c r="K65" s="380" t="s">
        <v>39</v>
      </c>
      <c r="L65" s="380"/>
      <c r="M65" s="175" t="s">
        <v>40</v>
      </c>
      <c r="N65" s="380" t="s">
        <v>41</v>
      </c>
      <c r="O65" s="380"/>
      <c r="P65" s="377" t="s">
        <v>42</v>
      </c>
      <c r="Q65" s="379"/>
      <c r="R65" s="377" t="s">
        <v>43</v>
      </c>
      <c r="S65" s="378"/>
      <c r="T65" s="378"/>
      <c r="U65" s="378"/>
      <c r="V65" s="378"/>
      <c r="W65" s="378"/>
      <c r="X65" s="378"/>
      <c r="Y65" s="378"/>
      <c r="Z65" s="378"/>
      <c r="AA65" s="379"/>
      <c r="AB65" s="380" t="s">
        <v>44</v>
      </c>
      <c r="AC65" s="380"/>
      <c r="AD65" s="381"/>
      <c r="AF65" s="93">
        <f>SUM(AF62:AF64)</f>
        <v>96000</v>
      </c>
    </row>
    <row r="66" spans="1:32" ht="25.5" customHeight="1">
      <c r="A66" s="372">
        <v>1</v>
      </c>
      <c r="B66" s="373"/>
      <c r="C66" s="123" t="s">
        <v>125</v>
      </c>
      <c r="D66" s="171"/>
      <c r="E66" s="174" t="s">
        <v>132</v>
      </c>
      <c r="F66" s="374" t="s">
        <v>271</v>
      </c>
      <c r="G66" s="366"/>
      <c r="H66" s="366"/>
      <c r="I66" s="366"/>
      <c r="J66" s="366"/>
      <c r="K66" s="366" t="s">
        <v>189</v>
      </c>
      <c r="L66" s="366"/>
      <c r="M66" s="54" t="s">
        <v>273</v>
      </c>
      <c r="N66" s="366">
        <v>13</v>
      </c>
      <c r="O66" s="366"/>
      <c r="P66" s="375">
        <v>500</v>
      </c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2</v>
      </c>
      <c r="B67" s="373"/>
      <c r="C67" s="123" t="s">
        <v>125</v>
      </c>
      <c r="D67" s="171"/>
      <c r="E67" s="174" t="s">
        <v>132</v>
      </c>
      <c r="F67" s="374" t="s">
        <v>286</v>
      </c>
      <c r="G67" s="366"/>
      <c r="H67" s="366"/>
      <c r="I67" s="366"/>
      <c r="J67" s="366"/>
      <c r="K67" s="366" t="s">
        <v>129</v>
      </c>
      <c r="L67" s="366"/>
      <c r="M67" s="54" t="s">
        <v>186</v>
      </c>
      <c r="N67" s="366">
        <v>7</v>
      </c>
      <c r="O67" s="366"/>
      <c r="P67" s="375">
        <v>50</v>
      </c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3</v>
      </c>
      <c r="B68" s="373"/>
      <c r="C68" s="123"/>
      <c r="D68" s="171"/>
      <c r="E68" s="174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4</v>
      </c>
      <c r="B69" s="373"/>
      <c r="C69" s="123"/>
      <c r="D69" s="171"/>
      <c r="E69" s="174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5</v>
      </c>
      <c r="B70" s="373"/>
      <c r="C70" s="123"/>
      <c r="D70" s="171"/>
      <c r="E70" s="174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6</v>
      </c>
      <c r="B71" s="373"/>
      <c r="C71" s="123"/>
      <c r="D71" s="171"/>
      <c r="E71" s="174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5.5" customHeight="1">
      <c r="A72" s="372">
        <v>7</v>
      </c>
      <c r="B72" s="373"/>
      <c r="C72" s="123"/>
      <c r="D72" s="171"/>
      <c r="E72" s="174"/>
      <c r="F72" s="374"/>
      <c r="G72" s="366"/>
      <c r="H72" s="366"/>
      <c r="I72" s="366"/>
      <c r="J72" s="366"/>
      <c r="K72" s="366"/>
      <c r="L72" s="366"/>
      <c r="M72" s="54"/>
      <c r="N72" s="366"/>
      <c r="O72" s="366"/>
      <c r="P72" s="375"/>
      <c r="Q72" s="375"/>
      <c r="R72" s="376"/>
      <c r="S72" s="376"/>
      <c r="T72" s="376"/>
      <c r="U72" s="376"/>
      <c r="V72" s="376"/>
      <c r="W72" s="376"/>
      <c r="X72" s="376"/>
      <c r="Y72" s="376"/>
      <c r="Z72" s="376"/>
      <c r="AA72" s="376"/>
      <c r="AB72" s="366"/>
      <c r="AC72" s="366"/>
      <c r="AD72" s="367"/>
      <c r="AF72" s="53"/>
    </row>
    <row r="73" spans="1:32" ht="25.5" customHeight="1">
      <c r="A73" s="372">
        <v>8</v>
      </c>
      <c r="B73" s="373"/>
      <c r="C73" s="123"/>
      <c r="D73" s="171"/>
      <c r="E73" s="174"/>
      <c r="F73" s="374"/>
      <c r="G73" s="366"/>
      <c r="H73" s="366"/>
      <c r="I73" s="366"/>
      <c r="J73" s="366"/>
      <c r="K73" s="366"/>
      <c r="L73" s="366"/>
      <c r="M73" s="54"/>
      <c r="N73" s="366"/>
      <c r="O73" s="366"/>
      <c r="P73" s="375"/>
      <c r="Q73" s="375"/>
      <c r="R73" s="376"/>
      <c r="S73" s="376"/>
      <c r="T73" s="376"/>
      <c r="U73" s="376"/>
      <c r="V73" s="376"/>
      <c r="W73" s="376"/>
      <c r="X73" s="376"/>
      <c r="Y73" s="376"/>
      <c r="Z73" s="376"/>
      <c r="AA73" s="376"/>
      <c r="AB73" s="366"/>
      <c r="AC73" s="366"/>
      <c r="AD73" s="367"/>
      <c r="AF73" s="53"/>
    </row>
    <row r="74" spans="1:32" ht="26.25" customHeight="1" thickBot="1">
      <c r="A74" s="346" t="s">
        <v>287</v>
      </c>
      <c r="B74" s="346"/>
      <c r="C74" s="346"/>
      <c r="D74" s="346"/>
      <c r="E74" s="346"/>
      <c r="F74" s="40"/>
      <c r="G74" s="40"/>
      <c r="H74" s="41"/>
      <c r="I74" s="4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F74" s="53"/>
    </row>
    <row r="75" spans="1:32" ht="23.25" thickBot="1">
      <c r="A75" s="347" t="s">
        <v>113</v>
      </c>
      <c r="B75" s="348"/>
      <c r="C75" s="173" t="s">
        <v>2</v>
      </c>
      <c r="D75" s="173" t="s">
        <v>37</v>
      </c>
      <c r="E75" s="173" t="s">
        <v>3</v>
      </c>
      <c r="F75" s="348" t="s">
        <v>38</v>
      </c>
      <c r="G75" s="348"/>
      <c r="H75" s="348"/>
      <c r="I75" s="348"/>
      <c r="J75" s="348"/>
      <c r="K75" s="368" t="s">
        <v>58</v>
      </c>
      <c r="L75" s="369"/>
      <c r="M75" s="369"/>
      <c r="N75" s="369"/>
      <c r="O75" s="369"/>
      <c r="P75" s="369"/>
      <c r="Q75" s="369"/>
      <c r="R75" s="369"/>
      <c r="S75" s="370"/>
      <c r="T75" s="348" t="s">
        <v>49</v>
      </c>
      <c r="U75" s="348"/>
      <c r="V75" s="368" t="s">
        <v>50</v>
      </c>
      <c r="W75" s="370"/>
      <c r="X75" s="369" t="s">
        <v>51</v>
      </c>
      <c r="Y75" s="369"/>
      <c r="Z75" s="369"/>
      <c r="AA75" s="369"/>
      <c r="AB75" s="369"/>
      <c r="AC75" s="369"/>
      <c r="AD75" s="371"/>
      <c r="AF75" s="53"/>
    </row>
    <row r="76" spans="1:32" ht="33.75" customHeight="1">
      <c r="A76" s="340">
        <v>1</v>
      </c>
      <c r="B76" s="341"/>
      <c r="C76" s="172" t="s">
        <v>114</v>
      </c>
      <c r="D76" s="172"/>
      <c r="E76" s="71" t="s">
        <v>119</v>
      </c>
      <c r="F76" s="355" t="s">
        <v>120</v>
      </c>
      <c r="G76" s="356"/>
      <c r="H76" s="356"/>
      <c r="I76" s="356"/>
      <c r="J76" s="357"/>
      <c r="K76" s="358" t="s">
        <v>115</v>
      </c>
      <c r="L76" s="359"/>
      <c r="M76" s="359"/>
      <c r="N76" s="359"/>
      <c r="O76" s="359"/>
      <c r="P76" s="359"/>
      <c r="Q76" s="359"/>
      <c r="R76" s="359"/>
      <c r="S76" s="360"/>
      <c r="T76" s="361">
        <v>42901</v>
      </c>
      <c r="U76" s="362"/>
      <c r="V76" s="363"/>
      <c r="W76" s="363"/>
      <c r="X76" s="364"/>
      <c r="Y76" s="364"/>
      <c r="Z76" s="364"/>
      <c r="AA76" s="364"/>
      <c r="AB76" s="364"/>
      <c r="AC76" s="364"/>
      <c r="AD76" s="365"/>
      <c r="AF76" s="53"/>
    </row>
    <row r="77" spans="1:32" ht="30" customHeight="1">
      <c r="A77" s="333">
        <f>A76+1</f>
        <v>2</v>
      </c>
      <c r="B77" s="334"/>
      <c r="C77" s="171" t="s">
        <v>114</v>
      </c>
      <c r="D77" s="171"/>
      <c r="E77" s="35" t="s">
        <v>116</v>
      </c>
      <c r="F77" s="334" t="s">
        <v>117</v>
      </c>
      <c r="G77" s="334"/>
      <c r="H77" s="334"/>
      <c r="I77" s="334"/>
      <c r="J77" s="334"/>
      <c r="K77" s="349" t="s">
        <v>118</v>
      </c>
      <c r="L77" s="350"/>
      <c r="M77" s="350"/>
      <c r="N77" s="350"/>
      <c r="O77" s="350"/>
      <c r="P77" s="350"/>
      <c r="Q77" s="350"/>
      <c r="R77" s="350"/>
      <c r="S77" s="351"/>
      <c r="T77" s="352">
        <v>42867</v>
      </c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ref="A78:A84" si="35">A77+1</f>
        <v>3</v>
      </c>
      <c r="B78" s="334"/>
      <c r="C78" s="171"/>
      <c r="D78" s="171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35"/>
        <v>4</v>
      </c>
      <c r="B79" s="334"/>
      <c r="C79" s="171"/>
      <c r="D79" s="171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35"/>
        <v>5</v>
      </c>
      <c r="B80" s="334"/>
      <c r="C80" s="171"/>
      <c r="D80" s="171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35"/>
        <v>6</v>
      </c>
      <c r="B81" s="334"/>
      <c r="C81" s="171"/>
      <c r="D81" s="171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35"/>
        <v>7</v>
      </c>
      <c r="B82" s="334"/>
      <c r="C82" s="171"/>
      <c r="D82" s="171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0" customHeight="1">
      <c r="A83" s="333">
        <f t="shared" si="35"/>
        <v>8</v>
      </c>
      <c r="B83" s="334"/>
      <c r="C83" s="171"/>
      <c r="D83" s="171"/>
      <c r="E83" s="35"/>
      <c r="F83" s="334"/>
      <c r="G83" s="334"/>
      <c r="H83" s="334"/>
      <c r="I83" s="334"/>
      <c r="J83" s="334"/>
      <c r="K83" s="349"/>
      <c r="L83" s="350"/>
      <c r="M83" s="350"/>
      <c r="N83" s="350"/>
      <c r="O83" s="350"/>
      <c r="P83" s="350"/>
      <c r="Q83" s="350"/>
      <c r="R83" s="350"/>
      <c r="S83" s="351"/>
      <c r="T83" s="352"/>
      <c r="U83" s="352"/>
      <c r="V83" s="352"/>
      <c r="W83" s="352"/>
      <c r="X83" s="353"/>
      <c r="Y83" s="353"/>
      <c r="Z83" s="353"/>
      <c r="AA83" s="353"/>
      <c r="AB83" s="353"/>
      <c r="AC83" s="353"/>
      <c r="AD83" s="354"/>
      <c r="AF83" s="53"/>
    </row>
    <row r="84" spans="1:32" ht="30" customHeight="1">
      <c r="A84" s="333">
        <f t="shared" si="35"/>
        <v>9</v>
      </c>
      <c r="B84" s="334"/>
      <c r="C84" s="171"/>
      <c r="D84" s="171"/>
      <c r="E84" s="35"/>
      <c r="F84" s="334"/>
      <c r="G84" s="334"/>
      <c r="H84" s="334"/>
      <c r="I84" s="334"/>
      <c r="J84" s="334"/>
      <c r="K84" s="349"/>
      <c r="L84" s="350"/>
      <c r="M84" s="350"/>
      <c r="N84" s="350"/>
      <c r="O84" s="350"/>
      <c r="P84" s="350"/>
      <c r="Q84" s="350"/>
      <c r="R84" s="350"/>
      <c r="S84" s="351"/>
      <c r="T84" s="352"/>
      <c r="U84" s="352"/>
      <c r="V84" s="352"/>
      <c r="W84" s="352"/>
      <c r="X84" s="353"/>
      <c r="Y84" s="353"/>
      <c r="Z84" s="353"/>
      <c r="AA84" s="353"/>
      <c r="AB84" s="353"/>
      <c r="AC84" s="353"/>
      <c r="AD84" s="354"/>
      <c r="AF84" s="53"/>
    </row>
    <row r="85" spans="1:32" ht="36" thickBot="1">
      <c r="A85" s="346" t="s">
        <v>288</v>
      </c>
      <c r="B85" s="346"/>
      <c r="C85" s="346"/>
      <c r="D85" s="346"/>
      <c r="E85" s="346"/>
      <c r="F85" s="40"/>
      <c r="G85" s="40"/>
      <c r="H85" s="41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F85" s="53"/>
    </row>
    <row r="86" spans="1:32" ht="30.75" customHeight="1" thickBot="1">
      <c r="A86" s="347" t="s">
        <v>113</v>
      </c>
      <c r="B86" s="348"/>
      <c r="C86" s="338" t="s">
        <v>52</v>
      </c>
      <c r="D86" s="338"/>
      <c r="E86" s="338" t="s">
        <v>53</v>
      </c>
      <c r="F86" s="338"/>
      <c r="G86" s="338"/>
      <c r="H86" s="338"/>
      <c r="I86" s="338"/>
      <c r="J86" s="338"/>
      <c r="K86" s="338" t="s">
        <v>54</v>
      </c>
      <c r="L86" s="338"/>
      <c r="M86" s="338"/>
      <c r="N86" s="338"/>
      <c r="O86" s="338"/>
      <c r="P86" s="338"/>
      <c r="Q86" s="338"/>
      <c r="R86" s="338"/>
      <c r="S86" s="338"/>
      <c r="T86" s="338" t="s">
        <v>55</v>
      </c>
      <c r="U86" s="338"/>
      <c r="V86" s="338" t="s">
        <v>56</v>
      </c>
      <c r="W86" s="338"/>
      <c r="X86" s="338"/>
      <c r="Y86" s="338" t="s">
        <v>51</v>
      </c>
      <c r="Z86" s="338"/>
      <c r="AA86" s="338"/>
      <c r="AB86" s="338"/>
      <c r="AC86" s="338"/>
      <c r="AD86" s="339"/>
      <c r="AF86" s="53"/>
    </row>
    <row r="87" spans="1:32" ht="30.75" customHeight="1">
      <c r="A87" s="340">
        <v>1</v>
      </c>
      <c r="B87" s="341"/>
      <c r="C87" s="342">
        <v>9</v>
      </c>
      <c r="D87" s="342"/>
      <c r="E87" s="342" t="s">
        <v>157</v>
      </c>
      <c r="F87" s="342"/>
      <c r="G87" s="342"/>
      <c r="H87" s="342"/>
      <c r="I87" s="342"/>
      <c r="J87" s="342"/>
      <c r="K87" s="342" t="s">
        <v>158</v>
      </c>
      <c r="L87" s="342"/>
      <c r="M87" s="342"/>
      <c r="N87" s="342"/>
      <c r="O87" s="342"/>
      <c r="P87" s="342"/>
      <c r="Q87" s="342"/>
      <c r="R87" s="342"/>
      <c r="S87" s="342"/>
      <c r="T87" s="342" t="s">
        <v>159</v>
      </c>
      <c r="U87" s="342"/>
      <c r="V87" s="343">
        <v>11307000</v>
      </c>
      <c r="W87" s="343"/>
      <c r="X87" s="343"/>
      <c r="Y87" s="344"/>
      <c r="Z87" s="344"/>
      <c r="AA87" s="344"/>
      <c r="AB87" s="344"/>
      <c r="AC87" s="344"/>
      <c r="AD87" s="345"/>
      <c r="AF87" s="53"/>
    </row>
    <row r="88" spans="1:32" ht="30.75" customHeight="1">
      <c r="A88" s="333">
        <v>2</v>
      </c>
      <c r="B88" s="334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6"/>
      <c r="U88" s="336"/>
      <c r="V88" s="337"/>
      <c r="W88" s="337"/>
      <c r="X88" s="337"/>
      <c r="Y88" s="326"/>
      <c r="Z88" s="326"/>
      <c r="AA88" s="326"/>
      <c r="AB88" s="326"/>
      <c r="AC88" s="326"/>
      <c r="AD88" s="327"/>
      <c r="AF88" s="53"/>
    </row>
    <row r="89" spans="1:32" ht="30.75" customHeight="1" thickBot="1">
      <c r="A89" s="328">
        <v>3</v>
      </c>
      <c r="B89" s="329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1"/>
      <c r="Z89" s="331"/>
      <c r="AA89" s="331"/>
      <c r="AB89" s="331"/>
      <c r="AC89" s="331"/>
      <c r="AD89" s="332"/>
      <c r="AF89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EC75-756F-4C01-B571-A96A6E125CD0}">
  <sheetPr>
    <pageSetUpPr fitToPage="1"/>
  </sheetPr>
  <dimension ref="A1:AF87"/>
  <sheetViews>
    <sheetView zoomScale="72" zoomScaleNormal="72" zoomScaleSheetLayoutView="70" workbookViewId="0">
      <selection activeCell="F80" sqref="F80:J80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289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182" t="s">
        <v>17</v>
      </c>
      <c r="L5" s="182" t="s">
        <v>18</v>
      </c>
      <c r="M5" s="182" t="s">
        <v>19</v>
      </c>
      <c r="N5" s="182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0.35832727272727272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0.35832727272727272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224</v>
      </c>
      <c r="D8" s="55"/>
      <c r="E8" s="57" t="s">
        <v>290</v>
      </c>
      <c r="F8" s="33" t="s">
        <v>131</v>
      </c>
      <c r="G8" s="36">
        <v>1</v>
      </c>
      <c r="H8" s="38">
        <v>25</v>
      </c>
      <c r="I8" s="7">
        <v>2000</v>
      </c>
      <c r="J8" s="5">
        <v>4985</v>
      </c>
      <c r="K8" s="15">
        <f>L8</f>
        <v>4985</v>
      </c>
      <c r="L8" s="15">
        <f>1850+3135</f>
        <v>4985</v>
      </c>
      <c r="M8" s="16">
        <f t="shared" si="0"/>
        <v>4985</v>
      </c>
      <c r="N8" s="16">
        <v>0</v>
      </c>
      <c r="O8" s="62">
        <f t="shared" si="1"/>
        <v>0</v>
      </c>
      <c r="P8" s="42">
        <f t="shared" si="2"/>
        <v>22</v>
      </c>
      <c r="Q8" s="43">
        <f t="shared" si="3"/>
        <v>2</v>
      </c>
      <c r="R8" s="7"/>
      <c r="S8" s="6"/>
      <c r="T8" s="17">
        <v>2</v>
      </c>
      <c r="U8" s="17"/>
      <c r="V8" s="18"/>
      <c r="W8" s="19"/>
      <c r="X8" s="17"/>
      <c r="Y8" s="20"/>
      <c r="Z8" s="20"/>
      <c r="AA8" s="21"/>
      <c r="AB8" s="8">
        <f t="shared" si="4"/>
        <v>1</v>
      </c>
      <c r="AC8" s="9">
        <f t="shared" si="5"/>
        <v>0.91666666666666663</v>
      </c>
      <c r="AD8" s="10">
        <f t="shared" si="6"/>
        <v>0.91666666666666663</v>
      </c>
      <c r="AE8" s="39">
        <f t="shared" si="7"/>
        <v>0.35832727272727272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263</v>
      </c>
      <c r="F9" s="12" t="s">
        <v>147</v>
      </c>
      <c r="G9" s="12">
        <v>1</v>
      </c>
      <c r="H9" s="13">
        <v>25</v>
      </c>
      <c r="I9" s="7">
        <v>6000</v>
      </c>
      <c r="J9" s="14">
        <v>5368</v>
      </c>
      <c r="K9" s="15">
        <f>L9+5586</f>
        <v>10954</v>
      </c>
      <c r="L9" s="15">
        <f>2225+2896+247</f>
        <v>5368</v>
      </c>
      <c r="M9" s="16">
        <f t="shared" si="0"/>
        <v>5368</v>
      </c>
      <c r="N9" s="16">
        <v>0</v>
      </c>
      <c r="O9" s="62">
        <f t="shared" si="1"/>
        <v>0</v>
      </c>
      <c r="P9" s="42">
        <f t="shared" si="2"/>
        <v>24</v>
      </c>
      <c r="Q9" s="43">
        <f t="shared" si="3"/>
        <v>0</v>
      </c>
      <c r="R9" s="7"/>
      <c r="S9" s="6"/>
      <c r="T9" s="17"/>
      <c r="U9" s="17"/>
      <c r="V9" s="18"/>
      <c r="W9" s="19"/>
      <c r="X9" s="17"/>
      <c r="Y9" s="20"/>
      <c r="Z9" s="20"/>
      <c r="AA9" s="21"/>
      <c r="AB9" s="8">
        <f t="shared" si="4"/>
        <v>1</v>
      </c>
      <c r="AC9" s="9">
        <f t="shared" si="5"/>
        <v>1</v>
      </c>
      <c r="AD9" s="10">
        <f t="shared" si="6"/>
        <v>1</v>
      </c>
      <c r="AE9" s="39">
        <f t="shared" si="7"/>
        <v>0.35832727272727272</v>
      </c>
      <c r="AF9" s="93">
        <f t="shared" si="8"/>
        <v>4</v>
      </c>
    </row>
    <row r="10" spans="1:32" ht="27" customHeight="1">
      <c r="A10" s="109">
        <v>5</v>
      </c>
      <c r="B10" s="11" t="s">
        <v>57</v>
      </c>
      <c r="C10" s="11" t="s">
        <v>152</v>
      </c>
      <c r="D10" s="55" t="s">
        <v>217</v>
      </c>
      <c r="E10" s="57" t="s">
        <v>201</v>
      </c>
      <c r="F10" s="12" t="s">
        <v>189</v>
      </c>
      <c r="G10" s="12">
        <v>2</v>
      </c>
      <c r="H10" s="13">
        <v>25</v>
      </c>
      <c r="I10" s="7">
        <v>20000</v>
      </c>
      <c r="J10" s="14">
        <v>3654</v>
      </c>
      <c r="K10" s="15">
        <f>L10+1696+5260</f>
        <v>10610</v>
      </c>
      <c r="L10" s="15">
        <f>1827*2</f>
        <v>3654</v>
      </c>
      <c r="M10" s="16">
        <f t="shared" si="0"/>
        <v>3654</v>
      </c>
      <c r="N10" s="16">
        <v>0</v>
      </c>
      <c r="O10" s="62">
        <f t="shared" si="1"/>
        <v>0</v>
      </c>
      <c r="P10" s="42">
        <f t="shared" si="2"/>
        <v>5</v>
      </c>
      <c r="Q10" s="43">
        <f t="shared" si="3"/>
        <v>19</v>
      </c>
      <c r="R10" s="7"/>
      <c r="S10" s="6">
        <v>19</v>
      </c>
      <c r="T10" s="17"/>
      <c r="U10" s="17"/>
      <c r="V10" s="18"/>
      <c r="W10" s="19"/>
      <c r="X10" s="17"/>
      <c r="Y10" s="20"/>
      <c r="Z10" s="20"/>
      <c r="AA10" s="21"/>
      <c r="AB10" s="8">
        <f t="shared" si="4"/>
        <v>1</v>
      </c>
      <c r="AC10" s="9">
        <f t="shared" si="5"/>
        <v>0.20833333333333334</v>
      </c>
      <c r="AD10" s="10">
        <f t="shared" si="6"/>
        <v>0.20833333333333334</v>
      </c>
      <c r="AE10" s="39">
        <f t="shared" si="7"/>
        <v>0.35832727272727272</v>
      </c>
      <c r="AF10" s="93">
        <f t="shared" si="8"/>
        <v>5</v>
      </c>
    </row>
    <row r="11" spans="1:32" ht="27" customHeight="1">
      <c r="A11" s="109">
        <v>6</v>
      </c>
      <c r="B11" s="11" t="s">
        <v>57</v>
      </c>
      <c r="C11" s="37" t="s">
        <v>125</v>
      </c>
      <c r="D11" s="55" t="s">
        <v>126</v>
      </c>
      <c r="E11" s="57" t="s">
        <v>291</v>
      </c>
      <c r="F11" s="12" t="s">
        <v>172</v>
      </c>
      <c r="G11" s="12">
        <v>1</v>
      </c>
      <c r="H11" s="13">
        <v>25</v>
      </c>
      <c r="I11" s="34">
        <v>1000</v>
      </c>
      <c r="J11" s="5">
        <v>1812</v>
      </c>
      <c r="K11" s="15">
        <f>L11</f>
        <v>1812</v>
      </c>
      <c r="L11" s="15">
        <v>1812</v>
      </c>
      <c r="M11" s="16">
        <f t="shared" si="0"/>
        <v>1812</v>
      </c>
      <c r="N11" s="16">
        <v>0</v>
      </c>
      <c r="O11" s="62">
        <f t="shared" si="1"/>
        <v>0</v>
      </c>
      <c r="P11" s="42">
        <f t="shared" si="2"/>
        <v>10</v>
      </c>
      <c r="Q11" s="43">
        <f t="shared" si="3"/>
        <v>14</v>
      </c>
      <c r="R11" s="7"/>
      <c r="S11" s="6">
        <v>14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0.41666666666666669</v>
      </c>
      <c r="AD11" s="10">
        <f t="shared" si="6"/>
        <v>0.41666666666666669</v>
      </c>
      <c r="AE11" s="39">
        <f t="shared" si="7"/>
        <v>0.35832727272727272</v>
      </c>
      <c r="AF11" s="93">
        <f t="shared" si="8"/>
        <v>6</v>
      </c>
    </row>
    <row r="12" spans="1:32" ht="27" customHeight="1">
      <c r="A12" s="109">
        <v>7</v>
      </c>
      <c r="B12" s="11" t="s">
        <v>57</v>
      </c>
      <c r="C12" s="11" t="s">
        <v>125</v>
      </c>
      <c r="D12" s="55" t="s">
        <v>132</v>
      </c>
      <c r="E12" s="57" t="s">
        <v>133</v>
      </c>
      <c r="F12" s="12" t="s">
        <v>129</v>
      </c>
      <c r="G12" s="12">
        <v>1</v>
      </c>
      <c r="H12" s="13">
        <v>25</v>
      </c>
      <c r="I12" s="7">
        <v>30000</v>
      </c>
      <c r="J12" s="14">
        <v>1455</v>
      </c>
      <c r="K12" s="15">
        <f>L12+6302+5982+6188+6139+6173+1455</f>
        <v>32239</v>
      </c>
      <c r="L12" s="15"/>
      <c r="M12" s="16">
        <f t="shared" si="0"/>
        <v>0</v>
      </c>
      <c r="N12" s="16">
        <v>0</v>
      </c>
      <c r="O12" s="62" t="str">
        <f t="shared" si="1"/>
        <v>0</v>
      </c>
      <c r="P12" s="42" t="str">
        <f t="shared" si="2"/>
        <v>0</v>
      </c>
      <c r="Q12" s="43">
        <f t="shared" si="3"/>
        <v>24</v>
      </c>
      <c r="R12" s="7"/>
      <c r="S12" s="6"/>
      <c r="T12" s="17"/>
      <c r="U12" s="17"/>
      <c r="V12" s="18"/>
      <c r="W12" s="19">
        <v>24</v>
      </c>
      <c r="X12" s="17"/>
      <c r="Y12" s="20"/>
      <c r="Z12" s="20"/>
      <c r="AA12" s="21"/>
      <c r="AB12" s="8">
        <f t="shared" si="4"/>
        <v>0</v>
      </c>
      <c r="AC12" s="9">
        <f t="shared" si="5"/>
        <v>0</v>
      </c>
      <c r="AD12" s="10">
        <f t="shared" si="6"/>
        <v>0</v>
      </c>
      <c r="AE12" s="39">
        <f t="shared" si="7"/>
        <v>0.35832727272727272</v>
      </c>
      <c r="AF12" s="93">
        <f t="shared" si="8"/>
        <v>7</v>
      </c>
    </row>
    <row r="13" spans="1:32" ht="27" customHeight="1">
      <c r="A13" s="109">
        <v>8</v>
      </c>
      <c r="B13" s="11" t="s">
        <v>57</v>
      </c>
      <c r="C13" s="11" t="s">
        <v>125</v>
      </c>
      <c r="D13" s="55" t="s">
        <v>123</v>
      </c>
      <c r="E13" s="57" t="s">
        <v>188</v>
      </c>
      <c r="F13" s="12" t="s">
        <v>189</v>
      </c>
      <c r="G13" s="12">
        <v>1</v>
      </c>
      <c r="H13" s="13">
        <v>25</v>
      </c>
      <c r="I13" s="7">
        <v>30000</v>
      </c>
      <c r="J13" s="14">
        <v>4940</v>
      </c>
      <c r="K13" s="15">
        <f>L13+544+4129+5286+4993+5552</f>
        <v>25444</v>
      </c>
      <c r="L13" s="15">
        <f>2215+2725</f>
        <v>4940</v>
      </c>
      <c r="M13" s="16">
        <f t="shared" si="0"/>
        <v>4940</v>
      </c>
      <c r="N13" s="16">
        <v>0</v>
      </c>
      <c r="O13" s="62">
        <f t="shared" si="1"/>
        <v>0</v>
      </c>
      <c r="P13" s="42">
        <f t="shared" si="2"/>
        <v>24</v>
      </c>
      <c r="Q13" s="43">
        <f t="shared" si="3"/>
        <v>0</v>
      </c>
      <c r="R13" s="7"/>
      <c r="S13" s="6"/>
      <c r="T13" s="17"/>
      <c r="U13" s="17"/>
      <c r="V13" s="18"/>
      <c r="W13" s="19"/>
      <c r="X13" s="17"/>
      <c r="Y13" s="20"/>
      <c r="Z13" s="20"/>
      <c r="AA13" s="21"/>
      <c r="AB13" s="8">
        <f t="shared" si="4"/>
        <v>1</v>
      </c>
      <c r="AC13" s="9">
        <f t="shared" si="5"/>
        <v>1</v>
      </c>
      <c r="AD13" s="10">
        <f t="shared" si="6"/>
        <v>1</v>
      </c>
      <c r="AE13" s="39">
        <f t="shared" si="7"/>
        <v>0.35832727272727272</v>
      </c>
      <c r="AF13" s="93">
        <f t="shared" si="8"/>
        <v>8</v>
      </c>
    </row>
    <row r="14" spans="1:32" ht="27" customHeight="1">
      <c r="A14" s="108">
        <v>9</v>
      </c>
      <c r="B14" s="11" t="s">
        <v>57</v>
      </c>
      <c r="C14" s="37" t="s">
        <v>114</v>
      </c>
      <c r="D14" s="55" t="s">
        <v>123</v>
      </c>
      <c r="E14" s="57" t="s">
        <v>155</v>
      </c>
      <c r="F14" s="33" t="s">
        <v>153</v>
      </c>
      <c r="G14" s="36">
        <v>1</v>
      </c>
      <c r="H14" s="38">
        <v>25</v>
      </c>
      <c r="I14" s="7">
        <v>1000</v>
      </c>
      <c r="J14" s="5">
        <v>1068</v>
      </c>
      <c r="K14" s="15">
        <f>L14+1068</f>
        <v>1068</v>
      </c>
      <c r="L14" s="15"/>
      <c r="M14" s="16">
        <f t="shared" si="0"/>
        <v>0</v>
      </c>
      <c r="N14" s="16">
        <v>0</v>
      </c>
      <c r="O14" s="62" t="str">
        <f t="shared" si="1"/>
        <v>0</v>
      </c>
      <c r="P14" s="42" t="str">
        <f t="shared" si="2"/>
        <v>0</v>
      </c>
      <c r="Q14" s="43">
        <f t="shared" si="3"/>
        <v>24</v>
      </c>
      <c r="R14" s="7">
        <v>24</v>
      </c>
      <c r="S14" s="6"/>
      <c r="T14" s="17"/>
      <c r="U14" s="17"/>
      <c r="V14" s="18"/>
      <c r="W14" s="19"/>
      <c r="X14" s="17"/>
      <c r="Y14" s="20"/>
      <c r="Z14" s="20"/>
      <c r="AA14" s="21"/>
      <c r="AB14" s="8">
        <f t="shared" si="4"/>
        <v>0</v>
      </c>
      <c r="AC14" s="9">
        <f t="shared" si="5"/>
        <v>0</v>
      </c>
      <c r="AD14" s="10">
        <f t="shared" si="6"/>
        <v>0</v>
      </c>
      <c r="AE14" s="39">
        <f t="shared" si="7"/>
        <v>0.35832727272727272</v>
      </c>
      <c r="AF14" s="93">
        <f t="shared" si="8"/>
        <v>9</v>
      </c>
    </row>
    <row r="15" spans="1:32" ht="27" customHeight="1">
      <c r="A15" s="108">
        <v>10</v>
      </c>
      <c r="B15" s="11" t="s">
        <v>57</v>
      </c>
      <c r="C15" s="11" t="s">
        <v>152</v>
      </c>
      <c r="D15" s="55"/>
      <c r="E15" s="57" t="s">
        <v>265</v>
      </c>
      <c r="F15" s="12" t="s">
        <v>156</v>
      </c>
      <c r="G15" s="12">
        <v>1</v>
      </c>
      <c r="H15" s="13">
        <v>24</v>
      </c>
      <c r="I15" s="34">
        <v>250</v>
      </c>
      <c r="J15" s="14">
        <v>305</v>
      </c>
      <c r="K15" s="15">
        <f>L15+305</f>
        <v>305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/>
      <c r="S15" s="6"/>
      <c r="T15" s="17"/>
      <c r="U15" s="17"/>
      <c r="V15" s="18"/>
      <c r="W15" s="19">
        <v>24</v>
      </c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0.35832727272727272</v>
      </c>
      <c r="AF15" s="93">
        <f t="shared" si="8"/>
        <v>10</v>
      </c>
    </row>
    <row r="16" spans="1:32" ht="27" customHeight="1">
      <c r="A16" s="108">
        <v>11</v>
      </c>
      <c r="B16" s="11" t="s">
        <v>57</v>
      </c>
      <c r="C16" s="37" t="s">
        <v>152</v>
      </c>
      <c r="D16" s="55" t="s">
        <v>278</v>
      </c>
      <c r="E16" s="57" t="s">
        <v>266</v>
      </c>
      <c r="F16" s="33" t="s">
        <v>212</v>
      </c>
      <c r="G16" s="36">
        <v>1</v>
      </c>
      <c r="H16" s="38">
        <v>25</v>
      </c>
      <c r="I16" s="7">
        <v>250</v>
      </c>
      <c r="J16" s="5">
        <v>285</v>
      </c>
      <c r="K16" s="15">
        <f>L16+285</f>
        <v>285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0.35832727272727272</v>
      </c>
      <c r="AF16" s="93">
        <f t="shared" si="8"/>
        <v>11</v>
      </c>
    </row>
    <row r="17" spans="1:32" ht="27" customHeight="1">
      <c r="A17" s="108">
        <v>12</v>
      </c>
      <c r="B17" s="11" t="s">
        <v>57</v>
      </c>
      <c r="C17" s="11" t="s">
        <v>125</v>
      </c>
      <c r="D17" s="55" t="s">
        <v>126</v>
      </c>
      <c r="E17" s="57" t="s">
        <v>154</v>
      </c>
      <c r="F17" s="12" t="s">
        <v>172</v>
      </c>
      <c r="G17" s="12">
        <v>1</v>
      </c>
      <c r="H17" s="13">
        <v>24</v>
      </c>
      <c r="I17" s="34">
        <v>500</v>
      </c>
      <c r="J17" s="14">
        <v>710</v>
      </c>
      <c r="K17" s="15">
        <f>L17+709</f>
        <v>709</v>
      </c>
      <c r="L17" s="15"/>
      <c r="M17" s="16">
        <f t="shared" si="0"/>
        <v>0</v>
      </c>
      <c r="N17" s="16">
        <v>0</v>
      </c>
      <c r="O17" s="62" t="str">
        <f t="shared" si="1"/>
        <v>0</v>
      </c>
      <c r="P17" s="42" t="str">
        <f t="shared" si="2"/>
        <v>0</v>
      </c>
      <c r="Q17" s="43">
        <f t="shared" si="3"/>
        <v>24</v>
      </c>
      <c r="R17" s="7"/>
      <c r="S17" s="6"/>
      <c r="T17" s="17"/>
      <c r="U17" s="17"/>
      <c r="V17" s="18"/>
      <c r="W17" s="19">
        <v>24</v>
      </c>
      <c r="X17" s="17"/>
      <c r="Y17" s="20"/>
      <c r="Z17" s="20"/>
      <c r="AA17" s="21"/>
      <c r="AB17" s="8">
        <f t="shared" si="4"/>
        <v>0</v>
      </c>
      <c r="AC17" s="9">
        <f t="shared" si="5"/>
        <v>0</v>
      </c>
      <c r="AD17" s="10">
        <f t="shared" si="6"/>
        <v>0</v>
      </c>
      <c r="AE17" s="39">
        <f t="shared" si="7"/>
        <v>0.35832727272727272</v>
      </c>
      <c r="AF17" s="93">
        <f t="shared" si="8"/>
        <v>12</v>
      </c>
    </row>
    <row r="18" spans="1:32" ht="27" customHeight="1">
      <c r="A18" s="109">
        <v>13</v>
      </c>
      <c r="B18" s="11" t="s">
        <v>57</v>
      </c>
      <c r="C18" s="37" t="s">
        <v>114</v>
      </c>
      <c r="D18" s="55" t="s">
        <v>149</v>
      </c>
      <c r="E18" s="57" t="s">
        <v>293</v>
      </c>
      <c r="F18" s="12" t="s">
        <v>137</v>
      </c>
      <c r="G18" s="36">
        <v>1</v>
      </c>
      <c r="H18" s="38">
        <v>30</v>
      </c>
      <c r="I18" s="7">
        <v>6000</v>
      </c>
      <c r="J18" s="5">
        <v>1064</v>
      </c>
      <c r="K18" s="15">
        <f>L18</f>
        <v>0</v>
      </c>
      <c r="L18" s="15">
        <v>0</v>
      </c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>
        <v>24</v>
      </c>
      <c r="T18" s="17"/>
      <c r="U18" s="17"/>
      <c r="V18" s="18"/>
      <c r="W18" s="19"/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0.35832727272727272</v>
      </c>
      <c r="AF18" s="93">
        <f t="shared" si="8"/>
        <v>13</v>
      </c>
    </row>
    <row r="19" spans="1:32" ht="27" customHeight="1">
      <c r="A19" s="109">
        <v>14</v>
      </c>
      <c r="B19" s="11" t="s">
        <v>57</v>
      </c>
      <c r="C19" s="37" t="s">
        <v>150</v>
      </c>
      <c r="D19" s="55"/>
      <c r="E19" s="57" t="s">
        <v>284</v>
      </c>
      <c r="F19" s="12" t="s">
        <v>247</v>
      </c>
      <c r="G19" s="36">
        <v>1</v>
      </c>
      <c r="H19" s="38">
        <v>30</v>
      </c>
      <c r="I19" s="7">
        <v>1000</v>
      </c>
      <c r="J19" s="5">
        <v>1064</v>
      </c>
      <c r="K19" s="15">
        <f>L19</f>
        <v>1064</v>
      </c>
      <c r="L19" s="15">
        <v>1064</v>
      </c>
      <c r="M19" s="16">
        <f t="shared" ref="M19" si="9">L19-N19</f>
        <v>1064</v>
      </c>
      <c r="N19" s="16">
        <v>0</v>
      </c>
      <c r="O19" s="62">
        <f t="shared" ref="O19" si="10">IF(L19=0,"0",N19/L19)</f>
        <v>0</v>
      </c>
      <c r="P19" s="42">
        <f t="shared" ref="P19" si="11">IF(L19=0,"0",(24-Q19))</f>
        <v>10</v>
      </c>
      <c r="Q19" s="43">
        <f t="shared" ref="Q19" si="12">SUM(R19:AA19)</f>
        <v>14</v>
      </c>
      <c r="R19" s="7"/>
      <c r="S19" s="6"/>
      <c r="T19" s="17"/>
      <c r="U19" s="17"/>
      <c r="V19" s="18"/>
      <c r="W19" s="19">
        <v>14</v>
      </c>
      <c r="X19" s="17"/>
      <c r="Y19" s="20"/>
      <c r="Z19" s="20"/>
      <c r="AA19" s="21"/>
      <c r="AB19" s="8">
        <f t="shared" ref="AB19" si="13">IF(J19=0,"0",(L19/J19))</f>
        <v>1</v>
      </c>
      <c r="AC19" s="9">
        <f t="shared" ref="AC19" si="14">IF(P19=0,"0",(P19/24))</f>
        <v>0.41666666666666669</v>
      </c>
      <c r="AD19" s="10">
        <f t="shared" ref="AD19" si="15">AC19*AB19*(1-O19)</f>
        <v>0.41666666666666669</v>
      </c>
      <c r="AE19" s="39">
        <f t="shared" si="7"/>
        <v>0.35832727272727272</v>
      </c>
      <c r="AF19" s="93">
        <f t="shared" ref="AF19" si="16">A19</f>
        <v>14</v>
      </c>
    </row>
    <row r="20" spans="1:32" ht="27" customHeight="1">
      <c r="A20" s="109">
        <v>14</v>
      </c>
      <c r="B20" s="11" t="s">
        <v>57</v>
      </c>
      <c r="C20" s="37" t="s">
        <v>224</v>
      </c>
      <c r="D20" s="55"/>
      <c r="E20" s="57" t="s">
        <v>292</v>
      </c>
      <c r="F20" s="33" t="s">
        <v>131</v>
      </c>
      <c r="G20" s="12">
        <v>1</v>
      </c>
      <c r="H20" s="13">
        <v>25</v>
      </c>
      <c r="I20" s="34">
        <v>1000</v>
      </c>
      <c r="J20" s="5">
        <v>2100</v>
      </c>
      <c r="K20" s="15">
        <f>L20</f>
        <v>2100</v>
      </c>
      <c r="L20" s="15">
        <v>2100</v>
      </c>
      <c r="M20" s="16">
        <f t="shared" si="0"/>
        <v>2100</v>
      </c>
      <c r="N20" s="16">
        <v>0</v>
      </c>
      <c r="O20" s="62">
        <f t="shared" si="1"/>
        <v>0</v>
      </c>
      <c r="P20" s="42">
        <f t="shared" si="2"/>
        <v>10</v>
      </c>
      <c r="Q20" s="43">
        <f t="shared" si="3"/>
        <v>14</v>
      </c>
      <c r="R20" s="7"/>
      <c r="S20" s="6"/>
      <c r="T20" s="17"/>
      <c r="U20" s="17"/>
      <c r="V20" s="18"/>
      <c r="W20" s="19">
        <v>14</v>
      </c>
      <c r="X20" s="17"/>
      <c r="Y20" s="20"/>
      <c r="Z20" s="20"/>
      <c r="AA20" s="21"/>
      <c r="AB20" s="8">
        <f t="shared" si="4"/>
        <v>1</v>
      </c>
      <c r="AC20" s="9">
        <f t="shared" si="5"/>
        <v>0.41666666666666669</v>
      </c>
      <c r="AD20" s="10">
        <f t="shared" si="6"/>
        <v>0.41666666666666669</v>
      </c>
      <c r="AE20" s="39">
        <f t="shared" si="7"/>
        <v>0.35832727272727272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236</v>
      </c>
      <c r="F21" s="12" t="s">
        <v>122</v>
      </c>
      <c r="G21" s="12">
        <v>4</v>
      </c>
      <c r="H21" s="38">
        <v>20</v>
      </c>
      <c r="I21" s="7">
        <v>300000</v>
      </c>
      <c r="J21" s="14">
        <v>44000</v>
      </c>
      <c r="K21" s="15">
        <f>L21+20068+24564+48544</f>
        <v>137172</v>
      </c>
      <c r="L21" s="15">
        <f>4340*4+6659*4</f>
        <v>43996</v>
      </c>
      <c r="M21" s="16">
        <f t="shared" si="0"/>
        <v>43996</v>
      </c>
      <c r="N21" s="16">
        <v>0</v>
      </c>
      <c r="O21" s="62">
        <f t="shared" si="1"/>
        <v>0</v>
      </c>
      <c r="P21" s="42">
        <f t="shared" si="2"/>
        <v>24</v>
      </c>
      <c r="Q21" s="43">
        <f t="shared" si="3"/>
        <v>0</v>
      </c>
      <c r="R21" s="7"/>
      <c r="S21" s="6"/>
      <c r="T21" s="17"/>
      <c r="U21" s="17"/>
      <c r="V21" s="18"/>
      <c r="W21" s="19"/>
      <c r="X21" s="17"/>
      <c r="Y21" s="20"/>
      <c r="Z21" s="20"/>
      <c r="AA21" s="21"/>
      <c r="AB21" s="8">
        <f t="shared" si="4"/>
        <v>0.99990909090909086</v>
      </c>
      <c r="AC21" s="9">
        <f t="shared" si="5"/>
        <v>1</v>
      </c>
      <c r="AD21" s="10">
        <f t="shared" si="6"/>
        <v>0.99990909090909086</v>
      </c>
      <c r="AE21" s="39">
        <f t="shared" si="7"/>
        <v>0.35832727272727272</v>
      </c>
      <c r="AF21" s="93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600000</v>
      </c>
      <c r="J22" s="22">
        <f t="shared" si="17"/>
        <v>110450</v>
      </c>
      <c r="K22" s="23">
        <f t="shared" si="17"/>
        <v>416025</v>
      </c>
      <c r="L22" s="24">
        <f t="shared" si="17"/>
        <v>67919</v>
      </c>
      <c r="M22" s="23">
        <f t="shared" si="17"/>
        <v>67919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129</v>
      </c>
      <c r="Q22" s="46">
        <f t="shared" si="18"/>
        <v>255</v>
      </c>
      <c r="R22" s="26">
        <f t="shared" si="18"/>
        <v>48</v>
      </c>
      <c r="S22" s="27">
        <f t="shared" si="18"/>
        <v>57</v>
      </c>
      <c r="T22" s="27">
        <f t="shared" si="18"/>
        <v>2</v>
      </c>
      <c r="U22" s="27">
        <f t="shared" si="18"/>
        <v>0</v>
      </c>
      <c r="V22" s="28">
        <f t="shared" si="18"/>
        <v>0</v>
      </c>
      <c r="W22" s="29">
        <f t="shared" si="18"/>
        <v>148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0.53332727272727276</v>
      </c>
      <c r="AC22" s="4">
        <f>SUM(AC6:AC21)/15</f>
        <v>0.35833333333333334</v>
      </c>
      <c r="AD22" s="4">
        <f>SUM(AD6:AD21)/15</f>
        <v>0.35832727272727272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294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295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183" t="s">
        <v>46</v>
      </c>
      <c r="D51" s="183" t="s">
        <v>47</v>
      </c>
      <c r="E51" s="183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183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224</v>
      </c>
      <c r="B52" s="385"/>
      <c r="C52" s="185" t="s">
        <v>140</v>
      </c>
      <c r="D52" s="185"/>
      <c r="E52" s="185" t="s">
        <v>282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184" t="s">
        <v>224</v>
      </c>
      <c r="O52" s="124" t="s">
        <v>140</v>
      </c>
      <c r="P52" s="385"/>
      <c r="Q52" s="385"/>
      <c r="R52" s="385" t="s">
        <v>296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152</v>
      </c>
      <c r="B53" s="385"/>
      <c r="C53" s="185" t="s">
        <v>142</v>
      </c>
      <c r="D53" s="185" t="s">
        <v>217</v>
      </c>
      <c r="E53" s="185" t="s">
        <v>201</v>
      </c>
      <c r="F53" s="376" t="s">
        <v>258</v>
      </c>
      <c r="G53" s="376"/>
      <c r="H53" s="376"/>
      <c r="I53" s="376"/>
      <c r="J53" s="376"/>
      <c r="K53" s="376"/>
      <c r="L53" s="376"/>
      <c r="M53" s="386"/>
      <c r="N53" s="184" t="s">
        <v>114</v>
      </c>
      <c r="O53" s="124" t="s">
        <v>141</v>
      </c>
      <c r="P53" s="385" t="s">
        <v>123</v>
      </c>
      <c r="Q53" s="385"/>
      <c r="R53" s="385" t="s">
        <v>297</v>
      </c>
      <c r="S53" s="385"/>
      <c r="T53" s="385"/>
      <c r="U53" s="385"/>
      <c r="V53" s="376" t="s">
        <v>130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185" t="s">
        <v>216</v>
      </c>
      <c r="D54" s="185" t="s">
        <v>126</v>
      </c>
      <c r="E54" s="185" t="s">
        <v>291</v>
      </c>
      <c r="F54" s="376" t="s">
        <v>130</v>
      </c>
      <c r="G54" s="376"/>
      <c r="H54" s="376"/>
      <c r="I54" s="376"/>
      <c r="J54" s="376"/>
      <c r="K54" s="376"/>
      <c r="L54" s="376"/>
      <c r="M54" s="386"/>
      <c r="N54" s="184" t="s">
        <v>152</v>
      </c>
      <c r="O54" s="124" t="s">
        <v>142</v>
      </c>
      <c r="P54" s="385"/>
      <c r="Q54" s="385"/>
      <c r="R54" s="385" t="s">
        <v>201</v>
      </c>
      <c r="S54" s="385"/>
      <c r="T54" s="385"/>
      <c r="U54" s="385"/>
      <c r="V54" s="376" t="s">
        <v>143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150</v>
      </c>
      <c r="B55" s="385"/>
      <c r="C55" s="185" t="s">
        <v>145</v>
      </c>
      <c r="D55" s="185"/>
      <c r="E55" s="185" t="s">
        <v>284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184" t="s">
        <v>114</v>
      </c>
      <c r="O55" s="124" t="s">
        <v>195</v>
      </c>
      <c r="P55" s="385" t="s">
        <v>149</v>
      </c>
      <c r="Q55" s="385"/>
      <c r="R55" s="385" t="s">
        <v>283</v>
      </c>
      <c r="S55" s="385"/>
      <c r="T55" s="385"/>
      <c r="U55" s="385"/>
      <c r="V55" s="376" t="s">
        <v>143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224</v>
      </c>
      <c r="B56" s="385"/>
      <c r="C56" s="185" t="s">
        <v>145</v>
      </c>
      <c r="D56" s="185"/>
      <c r="E56" s="185" t="s">
        <v>292</v>
      </c>
      <c r="F56" s="376" t="s">
        <v>130</v>
      </c>
      <c r="G56" s="376"/>
      <c r="H56" s="376"/>
      <c r="I56" s="376"/>
      <c r="J56" s="376"/>
      <c r="K56" s="376"/>
      <c r="L56" s="376"/>
      <c r="M56" s="386"/>
      <c r="N56" s="184"/>
      <c r="O56" s="12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185" t="s">
        <v>195</v>
      </c>
      <c r="D57" s="185" t="s">
        <v>149</v>
      </c>
      <c r="E57" s="185" t="s">
        <v>293</v>
      </c>
      <c r="F57" s="376" t="s">
        <v>298</v>
      </c>
      <c r="G57" s="376"/>
      <c r="H57" s="376"/>
      <c r="I57" s="376"/>
      <c r="J57" s="376"/>
      <c r="K57" s="376"/>
      <c r="L57" s="376"/>
      <c r="M57" s="386"/>
      <c r="N57" s="184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/>
      <c r="B58" s="385"/>
      <c r="C58" s="185"/>
      <c r="D58" s="185"/>
      <c r="E58" s="185"/>
      <c r="F58" s="376"/>
      <c r="G58" s="376"/>
      <c r="H58" s="376"/>
      <c r="I58" s="376"/>
      <c r="J58" s="376"/>
      <c r="K58" s="376"/>
      <c r="L58" s="376"/>
      <c r="M58" s="386"/>
      <c r="N58" s="184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85"/>
      <c r="D59" s="185"/>
      <c r="E59" s="185"/>
      <c r="F59" s="376"/>
      <c r="G59" s="376"/>
      <c r="H59" s="376"/>
      <c r="I59" s="376"/>
      <c r="J59" s="376"/>
      <c r="K59" s="376"/>
      <c r="L59" s="376"/>
      <c r="M59" s="386"/>
      <c r="N59" s="184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185"/>
      <c r="D60" s="185"/>
      <c r="E60" s="185"/>
      <c r="F60" s="376"/>
      <c r="G60" s="376"/>
      <c r="H60" s="376"/>
      <c r="I60" s="376"/>
      <c r="J60" s="376"/>
      <c r="K60" s="376"/>
      <c r="L60" s="376"/>
      <c r="M60" s="386"/>
      <c r="N60" s="184"/>
      <c r="O60" s="12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3">
        <f>8*3000</f>
        <v>24000</v>
      </c>
    </row>
    <row r="61" spans="1:32" ht="27" customHeight="1" thickBot="1">
      <c r="A61" s="387"/>
      <c r="B61" s="388"/>
      <c r="C61" s="187"/>
      <c r="D61" s="187"/>
      <c r="E61" s="187"/>
      <c r="F61" s="389"/>
      <c r="G61" s="389"/>
      <c r="H61" s="389"/>
      <c r="I61" s="389"/>
      <c r="J61" s="389"/>
      <c r="K61" s="389"/>
      <c r="L61" s="389"/>
      <c r="M61" s="390"/>
      <c r="N61" s="186"/>
      <c r="O61" s="120"/>
      <c r="P61" s="388"/>
      <c r="Q61" s="388"/>
      <c r="R61" s="388"/>
      <c r="S61" s="388"/>
      <c r="T61" s="388"/>
      <c r="U61" s="388"/>
      <c r="V61" s="391"/>
      <c r="W61" s="391"/>
      <c r="X61" s="391"/>
      <c r="Y61" s="391"/>
      <c r="Z61" s="391"/>
      <c r="AA61" s="391"/>
      <c r="AB61" s="391"/>
      <c r="AC61" s="391"/>
      <c r="AD61" s="392"/>
      <c r="AF61" s="93">
        <f>16*3000</f>
        <v>48000</v>
      </c>
    </row>
    <row r="62" spans="1:32" ht="27.75" thickBot="1">
      <c r="A62" s="382" t="s">
        <v>299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83" t="s">
        <v>113</v>
      </c>
      <c r="B63" s="380"/>
      <c r="C63" s="188" t="s">
        <v>2</v>
      </c>
      <c r="D63" s="188" t="s">
        <v>37</v>
      </c>
      <c r="E63" s="188" t="s">
        <v>3</v>
      </c>
      <c r="F63" s="380" t="s">
        <v>110</v>
      </c>
      <c r="G63" s="380"/>
      <c r="H63" s="380"/>
      <c r="I63" s="380"/>
      <c r="J63" s="380"/>
      <c r="K63" s="380" t="s">
        <v>39</v>
      </c>
      <c r="L63" s="380"/>
      <c r="M63" s="188" t="s">
        <v>40</v>
      </c>
      <c r="N63" s="380" t="s">
        <v>41</v>
      </c>
      <c r="O63" s="380"/>
      <c r="P63" s="377" t="s">
        <v>42</v>
      </c>
      <c r="Q63" s="379"/>
      <c r="R63" s="377" t="s">
        <v>43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44</v>
      </c>
      <c r="AC63" s="380"/>
      <c r="AD63" s="381"/>
      <c r="AF63" s="93">
        <f>SUM(AF60:AF62)</f>
        <v>96000</v>
      </c>
    </row>
    <row r="64" spans="1:32" ht="25.5" customHeight="1">
      <c r="A64" s="372">
        <v>1</v>
      </c>
      <c r="B64" s="373"/>
      <c r="C64" s="123" t="s">
        <v>125</v>
      </c>
      <c r="D64" s="191"/>
      <c r="E64" s="189" t="s">
        <v>208</v>
      </c>
      <c r="F64" s="374" t="s">
        <v>229</v>
      </c>
      <c r="G64" s="366"/>
      <c r="H64" s="366"/>
      <c r="I64" s="366"/>
      <c r="J64" s="366"/>
      <c r="K64" s="366" t="s">
        <v>205</v>
      </c>
      <c r="L64" s="366"/>
      <c r="M64" s="54" t="s">
        <v>186</v>
      </c>
      <c r="N64" s="366">
        <v>11</v>
      </c>
      <c r="O64" s="366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2</v>
      </c>
      <c r="B65" s="373"/>
      <c r="C65" s="123"/>
      <c r="D65" s="191"/>
      <c r="E65" s="189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3</v>
      </c>
      <c r="B66" s="373"/>
      <c r="C66" s="123"/>
      <c r="D66" s="191"/>
      <c r="E66" s="189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4</v>
      </c>
      <c r="B67" s="373"/>
      <c r="C67" s="123"/>
      <c r="D67" s="191"/>
      <c r="E67" s="189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5</v>
      </c>
      <c r="B68" s="373"/>
      <c r="C68" s="123"/>
      <c r="D68" s="191"/>
      <c r="E68" s="189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6</v>
      </c>
      <c r="B69" s="373"/>
      <c r="C69" s="123"/>
      <c r="D69" s="191"/>
      <c r="E69" s="189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7</v>
      </c>
      <c r="B70" s="373"/>
      <c r="C70" s="123"/>
      <c r="D70" s="191"/>
      <c r="E70" s="189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8</v>
      </c>
      <c r="B71" s="373"/>
      <c r="C71" s="123"/>
      <c r="D71" s="191"/>
      <c r="E71" s="189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6.25" customHeight="1" thickBot="1">
      <c r="A72" s="346" t="s">
        <v>300</v>
      </c>
      <c r="B72" s="346"/>
      <c r="C72" s="346"/>
      <c r="D72" s="346"/>
      <c r="E72" s="346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47" t="s">
        <v>113</v>
      </c>
      <c r="B73" s="348"/>
      <c r="C73" s="190" t="s">
        <v>2</v>
      </c>
      <c r="D73" s="190" t="s">
        <v>37</v>
      </c>
      <c r="E73" s="190" t="s">
        <v>3</v>
      </c>
      <c r="F73" s="348" t="s">
        <v>38</v>
      </c>
      <c r="G73" s="348"/>
      <c r="H73" s="348"/>
      <c r="I73" s="348"/>
      <c r="J73" s="348"/>
      <c r="K73" s="368" t="s">
        <v>58</v>
      </c>
      <c r="L73" s="369"/>
      <c r="M73" s="369"/>
      <c r="N73" s="369"/>
      <c r="O73" s="369"/>
      <c r="P73" s="369"/>
      <c r="Q73" s="369"/>
      <c r="R73" s="369"/>
      <c r="S73" s="370"/>
      <c r="T73" s="348" t="s">
        <v>49</v>
      </c>
      <c r="U73" s="348"/>
      <c r="V73" s="368" t="s">
        <v>50</v>
      </c>
      <c r="W73" s="370"/>
      <c r="X73" s="369" t="s">
        <v>51</v>
      </c>
      <c r="Y73" s="369"/>
      <c r="Z73" s="369"/>
      <c r="AA73" s="369"/>
      <c r="AB73" s="369"/>
      <c r="AC73" s="369"/>
      <c r="AD73" s="371"/>
      <c r="AF73" s="53"/>
    </row>
    <row r="74" spans="1:32" ht="33.75" customHeight="1">
      <c r="A74" s="340">
        <v>1</v>
      </c>
      <c r="B74" s="341"/>
      <c r="C74" s="192" t="s">
        <v>114</v>
      </c>
      <c r="D74" s="192"/>
      <c r="E74" s="71" t="s">
        <v>119</v>
      </c>
      <c r="F74" s="355" t="s">
        <v>120</v>
      </c>
      <c r="G74" s="356"/>
      <c r="H74" s="356"/>
      <c r="I74" s="356"/>
      <c r="J74" s="357"/>
      <c r="K74" s="358" t="s">
        <v>115</v>
      </c>
      <c r="L74" s="359"/>
      <c r="M74" s="359"/>
      <c r="N74" s="359"/>
      <c r="O74" s="359"/>
      <c r="P74" s="359"/>
      <c r="Q74" s="359"/>
      <c r="R74" s="359"/>
      <c r="S74" s="360"/>
      <c r="T74" s="361">
        <v>42901</v>
      </c>
      <c r="U74" s="362"/>
      <c r="V74" s="363"/>
      <c r="W74" s="363"/>
      <c r="X74" s="364"/>
      <c r="Y74" s="364"/>
      <c r="Z74" s="364"/>
      <c r="AA74" s="364"/>
      <c r="AB74" s="364"/>
      <c r="AC74" s="364"/>
      <c r="AD74" s="365"/>
      <c r="AF74" s="53"/>
    </row>
    <row r="75" spans="1:32" ht="30" customHeight="1">
      <c r="A75" s="333">
        <f>A74+1</f>
        <v>2</v>
      </c>
      <c r="B75" s="334"/>
      <c r="C75" s="191" t="s">
        <v>114</v>
      </c>
      <c r="D75" s="191"/>
      <c r="E75" s="35" t="s">
        <v>116</v>
      </c>
      <c r="F75" s="334" t="s">
        <v>117</v>
      </c>
      <c r="G75" s="334"/>
      <c r="H75" s="334"/>
      <c r="I75" s="334"/>
      <c r="J75" s="334"/>
      <c r="K75" s="349" t="s">
        <v>118</v>
      </c>
      <c r="L75" s="350"/>
      <c r="M75" s="350"/>
      <c r="N75" s="350"/>
      <c r="O75" s="350"/>
      <c r="P75" s="350"/>
      <c r="Q75" s="350"/>
      <c r="R75" s="350"/>
      <c r="S75" s="351"/>
      <c r="T75" s="352">
        <v>42867</v>
      </c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ref="A76:A82" si="19">A75+1</f>
        <v>3</v>
      </c>
      <c r="B76" s="334"/>
      <c r="C76" s="191"/>
      <c r="D76" s="191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4</v>
      </c>
      <c r="B77" s="334"/>
      <c r="C77" s="191"/>
      <c r="D77" s="191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5</v>
      </c>
      <c r="B78" s="334"/>
      <c r="C78" s="191"/>
      <c r="D78" s="191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6</v>
      </c>
      <c r="B79" s="334"/>
      <c r="C79" s="191"/>
      <c r="D79" s="191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7</v>
      </c>
      <c r="B80" s="334"/>
      <c r="C80" s="191"/>
      <c r="D80" s="191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8</v>
      </c>
      <c r="B81" s="334"/>
      <c r="C81" s="191"/>
      <c r="D81" s="191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9</v>
      </c>
      <c r="B82" s="334"/>
      <c r="C82" s="191"/>
      <c r="D82" s="191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6" thickBot="1">
      <c r="A83" s="346" t="s">
        <v>301</v>
      </c>
      <c r="B83" s="346"/>
      <c r="C83" s="346"/>
      <c r="D83" s="346"/>
      <c r="E83" s="346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7" t="s">
        <v>113</v>
      </c>
      <c r="B84" s="348"/>
      <c r="C84" s="338" t="s">
        <v>52</v>
      </c>
      <c r="D84" s="338"/>
      <c r="E84" s="338" t="s">
        <v>53</v>
      </c>
      <c r="F84" s="338"/>
      <c r="G84" s="338"/>
      <c r="H84" s="338"/>
      <c r="I84" s="338"/>
      <c r="J84" s="338"/>
      <c r="K84" s="338" t="s">
        <v>54</v>
      </c>
      <c r="L84" s="338"/>
      <c r="M84" s="338"/>
      <c r="N84" s="338"/>
      <c r="O84" s="338"/>
      <c r="P84" s="338"/>
      <c r="Q84" s="338"/>
      <c r="R84" s="338"/>
      <c r="S84" s="338"/>
      <c r="T84" s="338" t="s">
        <v>55</v>
      </c>
      <c r="U84" s="338"/>
      <c r="V84" s="338" t="s">
        <v>56</v>
      </c>
      <c r="W84" s="338"/>
      <c r="X84" s="338"/>
      <c r="Y84" s="338" t="s">
        <v>51</v>
      </c>
      <c r="Z84" s="338"/>
      <c r="AA84" s="338"/>
      <c r="AB84" s="338"/>
      <c r="AC84" s="338"/>
      <c r="AD84" s="339"/>
      <c r="AF84" s="53"/>
    </row>
    <row r="85" spans="1:32" ht="30.75" customHeight="1">
      <c r="A85" s="340">
        <v>1</v>
      </c>
      <c r="B85" s="341"/>
      <c r="C85" s="342">
        <v>9</v>
      </c>
      <c r="D85" s="342"/>
      <c r="E85" s="342" t="s">
        <v>157</v>
      </c>
      <c r="F85" s="342"/>
      <c r="G85" s="342"/>
      <c r="H85" s="342"/>
      <c r="I85" s="342"/>
      <c r="J85" s="342"/>
      <c r="K85" s="342" t="s">
        <v>158</v>
      </c>
      <c r="L85" s="342"/>
      <c r="M85" s="342"/>
      <c r="N85" s="342"/>
      <c r="O85" s="342"/>
      <c r="P85" s="342"/>
      <c r="Q85" s="342"/>
      <c r="R85" s="342"/>
      <c r="S85" s="342"/>
      <c r="T85" s="342" t="s">
        <v>159</v>
      </c>
      <c r="U85" s="342"/>
      <c r="V85" s="343">
        <v>11307000</v>
      </c>
      <c r="W85" s="343"/>
      <c r="X85" s="343"/>
      <c r="Y85" s="344"/>
      <c r="Z85" s="344"/>
      <c r="AA85" s="344"/>
      <c r="AB85" s="344"/>
      <c r="AC85" s="344"/>
      <c r="AD85" s="345"/>
      <c r="AF85" s="53"/>
    </row>
    <row r="86" spans="1:32" ht="30.75" customHeight="1">
      <c r="A86" s="333">
        <v>2</v>
      </c>
      <c r="B86" s="334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6"/>
      <c r="U86" s="336"/>
      <c r="V86" s="337"/>
      <c r="W86" s="337"/>
      <c r="X86" s="337"/>
      <c r="Y86" s="326"/>
      <c r="Z86" s="326"/>
      <c r="AA86" s="326"/>
      <c r="AB86" s="326"/>
      <c r="AC86" s="326"/>
      <c r="AD86" s="327"/>
      <c r="AF86" s="53"/>
    </row>
    <row r="87" spans="1:32" ht="30.75" customHeight="1" thickBot="1">
      <c r="A87" s="328">
        <v>3</v>
      </c>
      <c r="B87" s="329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1"/>
      <c r="Z87" s="331"/>
      <c r="AA87" s="331"/>
      <c r="AB87" s="331"/>
      <c r="AC87" s="331"/>
      <c r="AD87" s="332"/>
      <c r="AF87" s="53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8743-2D64-43DA-9A6C-8F22014EF360}">
  <sheetPr>
    <pageSetUpPr fitToPage="1"/>
  </sheetPr>
  <dimension ref="A1:AF87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" style="53" bestFit="1" customWidth="1"/>
    <col min="2" max="2" width="6" style="53" customWidth="1"/>
    <col min="3" max="3" width="9.125" style="53" customWidth="1"/>
    <col min="4" max="4" width="13.625" style="53" bestFit="1" customWidth="1"/>
    <col min="5" max="5" width="22.5" style="53" customWidth="1"/>
    <col min="6" max="6" width="9.625" style="53" bestFit="1" customWidth="1"/>
    <col min="7" max="7" width="8.125" style="53" bestFit="1" customWidth="1"/>
    <col min="8" max="8" width="10.75" style="53" bestFit="1" customWidth="1"/>
    <col min="9" max="9" width="16.875" style="53" customWidth="1"/>
    <col min="10" max="10" width="15.5" style="53" bestFit="1" customWidth="1"/>
    <col min="11" max="11" width="18.75" style="53" bestFit="1" customWidth="1"/>
    <col min="12" max="12" width="13.5" style="53" bestFit="1" customWidth="1"/>
    <col min="13" max="13" width="16.375" style="53" bestFit="1" customWidth="1"/>
    <col min="14" max="14" width="8.375" style="53" customWidth="1"/>
    <col min="15" max="15" width="8.75" style="53" customWidth="1"/>
    <col min="16" max="17" width="8.875" style="53" customWidth="1"/>
    <col min="18" max="18" width="6.75" style="53" bestFit="1" customWidth="1"/>
    <col min="19" max="19" width="9" style="53" bestFit="1" customWidth="1"/>
    <col min="20" max="20" width="6.5" style="53" bestFit="1" customWidth="1"/>
    <col min="21" max="21" width="6.75" style="53" bestFit="1" customWidth="1"/>
    <col min="22" max="23" width="9" style="53" bestFit="1" customWidth="1"/>
    <col min="24" max="24" width="7.125" style="53" bestFit="1" customWidth="1"/>
    <col min="25" max="26" width="6" style="53" bestFit="1" customWidth="1"/>
    <col min="27" max="27" width="6.5" style="53" bestFit="1" customWidth="1"/>
    <col min="28" max="30" width="8.25" style="53" bestFit="1" customWidth="1"/>
    <col min="31" max="31" width="6.125" style="53" bestFit="1" customWidth="1"/>
    <col min="32" max="32" width="9" style="93"/>
    <col min="33" max="33" width="17.625" style="53" customWidth="1"/>
    <col min="34" max="16384" width="9" style="53"/>
  </cols>
  <sheetData>
    <row r="1" spans="1:32" ht="44.25" customHeight="1">
      <c r="A1" s="424" t="s">
        <v>302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2" ht="44.25" customHeight="1">
      <c r="A2" s="424"/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7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  <row r="3" spans="1:32" ht="16.5" customHeight="1" thickBot="1">
      <c r="A3" s="425"/>
      <c r="B3" s="425"/>
      <c r="C3" s="425"/>
      <c r="D3" s="425"/>
      <c r="E3" s="425"/>
      <c r="F3" s="425"/>
      <c r="G3" s="425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</row>
    <row r="4" spans="1:32" ht="36" customHeight="1" thickBot="1">
      <c r="A4" s="426" t="s">
        <v>0</v>
      </c>
      <c r="B4" s="428" t="s">
        <v>1</v>
      </c>
      <c r="C4" s="428" t="s">
        <v>2</v>
      </c>
      <c r="D4" s="431" t="s">
        <v>3</v>
      </c>
      <c r="E4" s="433" t="s">
        <v>4</v>
      </c>
      <c r="F4" s="431" t="s">
        <v>5</v>
      </c>
      <c r="G4" s="428" t="s">
        <v>6</v>
      </c>
      <c r="H4" s="434" t="s">
        <v>7</v>
      </c>
      <c r="I4" s="414" t="s">
        <v>8</v>
      </c>
      <c r="J4" s="415"/>
      <c r="K4" s="415"/>
      <c r="L4" s="415"/>
      <c r="M4" s="415"/>
      <c r="N4" s="415"/>
      <c r="O4" s="416"/>
      <c r="P4" s="417" t="s">
        <v>9</v>
      </c>
      <c r="Q4" s="418"/>
      <c r="R4" s="419" t="s">
        <v>10</v>
      </c>
      <c r="S4" s="419"/>
      <c r="T4" s="419"/>
      <c r="U4" s="419"/>
      <c r="V4" s="419"/>
      <c r="W4" s="420" t="s">
        <v>11</v>
      </c>
      <c r="X4" s="419"/>
      <c r="Y4" s="419"/>
      <c r="Z4" s="419"/>
      <c r="AA4" s="421"/>
      <c r="AB4" s="422" t="s">
        <v>12</v>
      </c>
      <c r="AC4" s="395" t="s">
        <v>13</v>
      </c>
      <c r="AD4" s="395" t="s">
        <v>14</v>
      </c>
      <c r="AE4" s="58"/>
    </row>
    <row r="5" spans="1:32" ht="51" customHeight="1" thickBot="1">
      <c r="A5" s="427"/>
      <c r="B5" s="429"/>
      <c r="C5" s="430"/>
      <c r="D5" s="432"/>
      <c r="E5" s="432"/>
      <c r="F5" s="432"/>
      <c r="G5" s="429"/>
      <c r="H5" s="435"/>
      <c r="I5" s="59" t="s">
        <v>15</v>
      </c>
      <c r="J5" s="60" t="s">
        <v>16</v>
      </c>
      <c r="K5" s="203" t="s">
        <v>17</v>
      </c>
      <c r="L5" s="203" t="s">
        <v>18</v>
      </c>
      <c r="M5" s="203" t="s">
        <v>19</v>
      </c>
      <c r="N5" s="203" t="s">
        <v>20</v>
      </c>
      <c r="O5" s="61" t="s">
        <v>21</v>
      </c>
      <c r="P5" s="47" t="s">
        <v>22</v>
      </c>
      <c r="Q5" s="48" t="s">
        <v>23</v>
      </c>
      <c r="R5" s="49" t="s">
        <v>24</v>
      </c>
      <c r="S5" s="51" t="s">
        <v>25</v>
      </c>
      <c r="T5" s="50" t="s">
        <v>26</v>
      </c>
      <c r="U5" s="51" t="s">
        <v>27</v>
      </c>
      <c r="V5" s="48" t="s">
        <v>28</v>
      </c>
      <c r="W5" s="49" t="s">
        <v>29</v>
      </c>
      <c r="X5" s="51" t="s">
        <v>30</v>
      </c>
      <c r="Y5" s="51" t="s">
        <v>31</v>
      </c>
      <c r="Z5" s="51" t="s">
        <v>32</v>
      </c>
      <c r="AA5" s="48" t="s">
        <v>33</v>
      </c>
      <c r="AB5" s="423"/>
      <c r="AC5" s="396"/>
      <c r="AD5" s="396"/>
      <c r="AE5" s="58"/>
    </row>
    <row r="6" spans="1:32" ht="27" customHeight="1">
      <c r="A6" s="107">
        <v>1</v>
      </c>
      <c r="B6" s="11" t="s">
        <v>57</v>
      </c>
      <c r="C6" s="37" t="s">
        <v>121</v>
      </c>
      <c r="D6" s="55"/>
      <c r="E6" s="57" t="s">
        <v>124</v>
      </c>
      <c r="F6" s="33" t="s">
        <v>122</v>
      </c>
      <c r="G6" s="12">
        <v>4</v>
      </c>
      <c r="H6" s="13">
        <v>25</v>
      </c>
      <c r="I6" s="34">
        <v>200000</v>
      </c>
      <c r="J6" s="5">
        <v>36840</v>
      </c>
      <c r="K6" s="15">
        <f>L6+22392+20736+26096+36780+36776+36836</f>
        <v>179616</v>
      </c>
      <c r="L6" s="15"/>
      <c r="M6" s="16">
        <f t="shared" ref="M6:M21" si="0">L6-N6</f>
        <v>0</v>
      </c>
      <c r="N6" s="16">
        <v>0</v>
      </c>
      <c r="O6" s="62" t="str">
        <f t="shared" ref="O6:O22" si="1">IF(L6=0,"0",N6/L6)</f>
        <v>0</v>
      </c>
      <c r="P6" s="42" t="str">
        <f t="shared" ref="P6:P21" si="2">IF(L6=0,"0",(24-Q6))</f>
        <v>0</v>
      </c>
      <c r="Q6" s="43">
        <f t="shared" ref="Q6:Q21" si="3">SUM(R6:AA6)</f>
        <v>24</v>
      </c>
      <c r="R6" s="7">
        <v>24</v>
      </c>
      <c r="S6" s="6"/>
      <c r="T6" s="17"/>
      <c r="U6" s="17"/>
      <c r="V6" s="18"/>
      <c r="W6" s="19"/>
      <c r="X6" s="17"/>
      <c r="Y6" s="20"/>
      <c r="Z6" s="20"/>
      <c r="AA6" s="21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9">
        <f t="shared" ref="AE6:AE21" si="7">$AD$22</f>
        <v>0.28885613389719228</v>
      </c>
      <c r="AF6" s="93">
        <f t="shared" ref="AF6:AF21" si="8">A6</f>
        <v>1</v>
      </c>
    </row>
    <row r="7" spans="1:32" ht="27" customHeight="1">
      <c r="A7" s="107">
        <v>2</v>
      </c>
      <c r="B7" s="11" t="s">
        <v>57</v>
      </c>
      <c r="C7" s="37" t="s">
        <v>127</v>
      </c>
      <c r="D7" s="55"/>
      <c r="E7" s="57" t="s">
        <v>128</v>
      </c>
      <c r="F7" s="33" t="s">
        <v>122</v>
      </c>
      <c r="G7" s="12">
        <v>1</v>
      </c>
      <c r="H7" s="13">
        <v>32</v>
      </c>
      <c r="I7" s="34">
        <v>1000</v>
      </c>
      <c r="J7" s="5">
        <v>800</v>
      </c>
      <c r="K7" s="15">
        <f>L7+1050+1106+1627+1762+1317+800</f>
        <v>7662</v>
      </c>
      <c r="L7" s="15"/>
      <c r="M7" s="16">
        <f t="shared" si="0"/>
        <v>0</v>
      </c>
      <c r="N7" s="16">
        <v>0</v>
      </c>
      <c r="O7" s="62" t="str">
        <f t="shared" si="1"/>
        <v>0</v>
      </c>
      <c r="P7" s="42" t="str">
        <f t="shared" si="2"/>
        <v>0</v>
      </c>
      <c r="Q7" s="43">
        <f t="shared" si="3"/>
        <v>24</v>
      </c>
      <c r="R7" s="7"/>
      <c r="S7" s="6"/>
      <c r="T7" s="17"/>
      <c r="U7" s="17"/>
      <c r="V7" s="18"/>
      <c r="W7" s="19">
        <v>24</v>
      </c>
      <c r="X7" s="17"/>
      <c r="Y7" s="20"/>
      <c r="Z7" s="20"/>
      <c r="AA7" s="21"/>
      <c r="AB7" s="8">
        <f t="shared" si="4"/>
        <v>0</v>
      </c>
      <c r="AC7" s="9">
        <f t="shared" si="5"/>
        <v>0</v>
      </c>
      <c r="AD7" s="10">
        <f t="shared" si="6"/>
        <v>0</v>
      </c>
      <c r="AE7" s="39">
        <f t="shared" si="7"/>
        <v>0.28885613389719228</v>
      </c>
      <c r="AF7" s="93">
        <f t="shared" si="8"/>
        <v>2</v>
      </c>
    </row>
    <row r="8" spans="1:32" ht="27" customHeight="1">
      <c r="A8" s="108">
        <v>3</v>
      </c>
      <c r="B8" s="11" t="s">
        <v>57</v>
      </c>
      <c r="C8" s="37" t="s">
        <v>224</v>
      </c>
      <c r="D8" s="55"/>
      <c r="E8" s="57" t="s">
        <v>296</v>
      </c>
      <c r="F8" s="33" t="s">
        <v>131</v>
      </c>
      <c r="G8" s="36">
        <v>1</v>
      </c>
      <c r="H8" s="38">
        <v>25</v>
      </c>
      <c r="I8" s="7">
        <v>500</v>
      </c>
      <c r="J8" s="5">
        <v>1680</v>
      </c>
      <c r="K8" s="15">
        <f>L8</f>
        <v>1679</v>
      </c>
      <c r="L8" s="15">
        <f>1679</f>
        <v>1679</v>
      </c>
      <c r="M8" s="16">
        <f t="shared" si="0"/>
        <v>1679</v>
      </c>
      <c r="N8" s="16">
        <v>0</v>
      </c>
      <c r="O8" s="62">
        <f t="shared" si="1"/>
        <v>0</v>
      </c>
      <c r="P8" s="42">
        <f t="shared" si="2"/>
        <v>10</v>
      </c>
      <c r="Q8" s="43">
        <f t="shared" si="3"/>
        <v>14</v>
      </c>
      <c r="R8" s="7"/>
      <c r="S8" s="6"/>
      <c r="T8" s="17"/>
      <c r="U8" s="17"/>
      <c r="V8" s="18"/>
      <c r="W8" s="19">
        <v>14</v>
      </c>
      <c r="X8" s="17"/>
      <c r="Y8" s="20"/>
      <c r="Z8" s="20"/>
      <c r="AA8" s="21"/>
      <c r="AB8" s="8">
        <f t="shared" si="4"/>
        <v>0.99940476190476191</v>
      </c>
      <c r="AC8" s="9">
        <f t="shared" si="5"/>
        <v>0.41666666666666669</v>
      </c>
      <c r="AD8" s="10">
        <f t="shared" si="6"/>
        <v>0.41641865079365081</v>
      </c>
      <c r="AE8" s="39">
        <f t="shared" si="7"/>
        <v>0.28885613389719228</v>
      </c>
      <c r="AF8" s="93">
        <f t="shared" si="8"/>
        <v>3</v>
      </c>
    </row>
    <row r="9" spans="1:32" ht="27" customHeight="1">
      <c r="A9" s="109">
        <v>4</v>
      </c>
      <c r="B9" s="11" t="s">
        <v>57</v>
      </c>
      <c r="C9" s="11" t="s">
        <v>125</v>
      </c>
      <c r="D9" s="55" t="s">
        <v>136</v>
      </c>
      <c r="E9" s="57" t="s">
        <v>303</v>
      </c>
      <c r="F9" s="12" t="s">
        <v>147</v>
      </c>
      <c r="G9" s="12">
        <v>1</v>
      </c>
      <c r="H9" s="13">
        <v>25</v>
      </c>
      <c r="I9" s="7">
        <v>300</v>
      </c>
      <c r="J9" s="14">
        <v>548</v>
      </c>
      <c r="K9" s="15">
        <f>L9</f>
        <v>548</v>
      </c>
      <c r="L9" s="15">
        <v>548</v>
      </c>
      <c r="M9" s="16">
        <f t="shared" si="0"/>
        <v>548</v>
      </c>
      <c r="N9" s="16">
        <v>0</v>
      </c>
      <c r="O9" s="62">
        <f t="shared" si="1"/>
        <v>0</v>
      </c>
      <c r="P9" s="42">
        <f t="shared" si="2"/>
        <v>4</v>
      </c>
      <c r="Q9" s="43">
        <f t="shared" si="3"/>
        <v>20</v>
      </c>
      <c r="R9" s="7"/>
      <c r="S9" s="6"/>
      <c r="T9" s="17"/>
      <c r="U9" s="17"/>
      <c r="V9" s="18"/>
      <c r="W9" s="19">
        <v>20</v>
      </c>
      <c r="X9" s="17"/>
      <c r="Y9" s="20"/>
      <c r="Z9" s="20"/>
      <c r="AA9" s="21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9">
        <f t="shared" si="7"/>
        <v>0.28885613389719228</v>
      </c>
      <c r="AF9" s="93">
        <f t="shared" si="8"/>
        <v>4</v>
      </c>
    </row>
    <row r="10" spans="1:32" ht="27" customHeight="1">
      <c r="A10" s="109">
        <v>4</v>
      </c>
      <c r="B10" s="11" t="s">
        <v>57</v>
      </c>
      <c r="C10" s="11" t="s">
        <v>114</v>
      </c>
      <c r="D10" s="55" t="s">
        <v>123</v>
      </c>
      <c r="E10" s="57" t="s">
        <v>297</v>
      </c>
      <c r="F10" s="12" t="s">
        <v>137</v>
      </c>
      <c r="G10" s="12">
        <v>1</v>
      </c>
      <c r="H10" s="13">
        <v>25</v>
      </c>
      <c r="I10" s="7">
        <v>6000</v>
      </c>
      <c r="J10" s="14">
        <v>503</v>
      </c>
      <c r="K10" s="15">
        <f>L10</f>
        <v>503</v>
      </c>
      <c r="L10" s="15">
        <v>503</v>
      </c>
      <c r="M10" s="16">
        <f t="shared" ref="M10" si="9">L10-N10</f>
        <v>503</v>
      </c>
      <c r="N10" s="16">
        <v>0</v>
      </c>
      <c r="O10" s="62">
        <f t="shared" ref="O10" si="10">IF(L10=0,"0",N10/L10)</f>
        <v>0</v>
      </c>
      <c r="P10" s="42">
        <f t="shared" ref="P10" si="11">IF(L10=0,"0",(24-Q10))</f>
        <v>4</v>
      </c>
      <c r="Q10" s="43">
        <f t="shared" ref="Q10" si="12">SUM(R10:AA10)</f>
        <v>20</v>
      </c>
      <c r="R10" s="7"/>
      <c r="S10" s="6">
        <v>20</v>
      </c>
      <c r="T10" s="17"/>
      <c r="U10" s="17"/>
      <c r="V10" s="18"/>
      <c r="W10" s="19"/>
      <c r="X10" s="17"/>
      <c r="Y10" s="20"/>
      <c r="Z10" s="20"/>
      <c r="AA10" s="21"/>
      <c r="AB10" s="8">
        <f t="shared" ref="AB10" si="13">IF(J10=0,"0",(L10/J10))</f>
        <v>1</v>
      </c>
      <c r="AC10" s="9">
        <f t="shared" ref="AC10" si="14">IF(P10=0,"0",(P10/24))</f>
        <v>0.16666666666666666</v>
      </c>
      <c r="AD10" s="10">
        <f t="shared" ref="AD10" si="15">AC10*AB10*(1-O10)</f>
        <v>0.16666666666666666</v>
      </c>
      <c r="AE10" s="39">
        <f t="shared" si="7"/>
        <v>0.28885613389719228</v>
      </c>
      <c r="AF10" s="93">
        <f t="shared" ref="AF10" si="16">A10</f>
        <v>4</v>
      </c>
    </row>
    <row r="11" spans="1:32" ht="27" customHeight="1">
      <c r="A11" s="109">
        <v>5</v>
      </c>
      <c r="B11" s="11" t="s">
        <v>57</v>
      </c>
      <c r="C11" s="11" t="s">
        <v>152</v>
      </c>
      <c r="D11" s="55" t="s">
        <v>217</v>
      </c>
      <c r="E11" s="57" t="s">
        <v>201</v>
      </c>
      <c r="F11" s="12" t="s">
        <v>189</v>
      </c>
      <c r="G11" s="12">
        <v>2</v>
      </c>
      <c r="H11" s="13">
        <v>25</v>
      </c>
      <c r="I11" s="7">
        <v>20000</v>
      </c>
      <c r="J11" s="14">
        <v>9378</v>
      </c>
      <c r="K11" s="15">
        <f>L11+1696+5260+3654</f>
        <v>19988</v>
      </c>
      <c r="L11" s="15">
        <f>3704*2+985*2</f>
        <v>9378</v>
      </c>
      <c r="M11" s="16">
        <f t="shared" si="0"/>
        <v>9378</v>
      </c>
      <c r="N11" s="16">
        <v>0</v>
      </c>
      <c r="O11" s="62">
        <f t="shared" si="1"/>
        <v>0</v>
      </c>
      <c r="P11" s="42">
        <f t="shared" si="2"/>
        <v>19</v>
      </c>
      <c r="Q11" s="43">
        <f t="shared" si="3"/>
        <v>5</v>
      </c>
      <c r="R11" s="7"/>
      <c r="S11" s="6">
        <v>5</v>
      </c>
      <c r="T11" s="17"/>
      <c r="U11" s="17"/>
      <c r="V11" s="18"/>
      <c r="W11" s="19"/>
      <c r="X11" s="17"/>
      <c r="Y11" s="20"/>
      <c r="Z11" s="20"/>
      <c r="AA11" s="21"/>
      <c r="AB11" s="8">
        <f t="shared" si="4"/>
        <v>1</v>
      </c>
      <c r="AC11" s="9">
        <f t="shared" si="5"/>
        <v>0.79166666666666663</v>
      </c>
      <c r="AD11" s="10">
        <f t="shared" si="6"/>
        <v>0.79166666666666663</v>
      </c>
      <c r="AE11" s="39">
        <f t="shared" si="7"/>
        <v>0.28885613389719228</v>
      </c>
      <c r="AF11" s="93">
        <f t="shared" si="8"/>
        <v>5</v>
      </c>
    </row>
    <row r="12" spans="1:32" ht="27" customHeight="1">
      <c r="A12" s="109">
        <v>6</v>
      </c>
      <c r="B12" s="11" t="s">
        <v>57</v>
      </c>
      <c r="C12" s="37" t="s">
        <v>125</v>
      </c>
      <c r="D12" s="55" t="s">
        <v>126</v>
      </c>
      <c r="E12" s="57" t="s">
        <v>264</v>
      </c>
      <c r="F12" s="12" t="s">
        <v>172</v>
      </c>
      <c r="G12" s="12">
        <v>1</v>
      </c>
      <c r="H12" s="13">
        <v>25</v>
      </c>
      <c r="I12" s="34">
        <v>3000</v>
      </c>
      <c r="J12" s="5">
        <v>2740</v>
      </c>
      <c r="K12" s="15">
        <f>L12</f>
        <v>2739</v>
      </c>
      <c r="L12" s="15">
        <f>2739</f>
        <v>2739</v>
      </c>
      <c r="M12" s="16">
        <f t="shared" si="0"/>
        <v>2739</v>
      </c>
      <c r="N12" s="16">
        <v>0</v>
      </c>
      <c r="O12" s="62">
        <f t="shared" si="1"/>
        <v>0</v>
      </c>
      <c r="P12" s="42">
        <f t="shared" si="2"/>
        <v>16</v>
      </c>
      <c r="Q12" s="43">
        <f t="shared" si="3"/>
        <v>8</v>
      </c>
      <c r="R12" s="7"/>
      <c r="S12" s="6">
        <v>8</v>
      </c>
      <c r="T12" s="17"/>
      <c r="U12" s="17"/>
      <c r="V12" s="18"/>
      <c r="W12" s="19"/>
      <c r="X12" s="17"/>
      <c r="Y12" s="20"/>
      <c r="Z12" s="20"/>
      <c r="AA12" s="21"/>
      <c r="AB12" s="8">
        <f t="shared" si="4"/>
        <v>0.99963503649635033</v>
      </c>
      <c r="AC12" s="9">
        <f t="shared" si="5"/>
        <v>0.66666666666666663</v>
      </c>
      <c r="AD12" s="10">
        <f t="shared" si="6"/>
        <v>0.66642335766423355</v>
      </c>
      <c r="AE12" s="39">
        <f t="shared" si="7"/>
        <v>0.28885613389719228</v>
      </c>
      <c r="AF12" s="93">
        <f t="shared" si="8"/>
        <v>6</v>
      </c>
    </row>
    <row r="13" spans="1:32" ht="27" customHeight="1">
      <c r="A13" s="109">
        <v>7</v>
      </c>
      <c r="B13" s="11" t="s">
        <v>57</v>
      </c>
      <c r="C13" s="11" t="s">
        <v>125</v>
      </c>
      <c r="D13" s="55" t="s">
        <v>132</v>
      </c>
      <c r="E13" s="57" t="s">
        <v>133</v>
      </c>
      <c r="F13" s="12" t="s">
        <v>129</v>
      </c>
      <c r="G13" s="12">
        <v>1</v>
      </c>
      <c r="H13" s="13">
        <v>25</v>
      </c>
      <c r="I13" s="7">
        <v>30000</v>
      </c>
      <c r="J13" s="14">
        <v>1455</v>
      </c>
      <c r="K13" s="15">
        <f>L13+6302+5982+6188+6139+6173+1455</f>
        <v>32239</v>
      </c>
      <c r="L13" s="15"/>
      <c r="M13" s="16">
        <f t="shared" si="0"/>
        <v>0</v>
      </c>
      <c r="N13" s="16">
        <v>0</v>
      </c>
      <c r="O13" s="62" t="str">
        <f t="shared" si="1"/>
        <v>0</v>
      </c>
      <c r="P13" s="42" t="str">
        <f t="shared" si="2"/>
        <v>0</v>
      </c>
      <c r="Q13" s="43">
        <f t="shared" si="3"/>
        <v>24</v>
      </c>
      <c r="R13" s="7"/>
      <c r="S13" s="6"/>
      <c r="T13" s="17"/>
      <c r="U13" s="17"/>
      <c r="V13" s="18"/>
      <c r="W13" s="19">
        <v>24</v>
      </c>
      <c r="X13" s="17"/>
      <c r="Y13" s="20"/>
      <c r="Z13" s="20"/>
      <c r="AA13" s="21"/>
      <c r="AB13" s="8">
        <f t="shared" si="4"/>
        <v>0</v>
      </c>
      <c r="AC13" s="9">
        <f t="shared" si="5"/>
        <v>0</v>
      </c>
      <c r="AD13" s="10">
        <f t="shared" si="6"/>
        <v>0</v>
      </c>
      <c r="AE13" s="39">
        <f t="shared" si="7"/>
        <v>0.28885613389719228</v>
      </c>
      <c r="AF13" s="93">
        <f t="shared" si="8"/>
        <v>7</v>
      </c>
    </row>
    <row r="14" spans="1:32" ht="27" customHeight="1">
      <c r="A14" s="109">
        <v>8</v>
      </c>
      <c r="B14" s="11" t="s">
        <v>57</v>
      </c>
      <c r="C14" s="11" t="s">
        <v>125</v>
      </c>
      <c r="D14" s="55" t="s">
        <v>123</v>
      </c>
      <c r="E14" s="57" t="s">
        <v>188</v>
      </c>
      <c r="F14" s="12" t="s">
        <v>189</v>
      </c>
      <c r="G14" s="12">
        <v>1</v>
      </c>
      <c r="H14" s="13">
        <v>25</v>
      </c>
      <c r="I14" s="7">
        <v>30000</v>
      </c>
      <c r="J14" s="14">
        <v>4370</v>
      </c>
      <c r="K14" s="15">
        <f>L14+544+4129+5286+4993+5552+4940</f>
        <v>29814</v>
      </c>
      <c r="L14" s="15">
        <f>2803+1567</f>
        <v>4370</v>
      </c>
      <c r="M14" s="16">
        <f t="shared" si="0"/>
        <v>4370</v>
      </c>
      <c r="N14" s="16">
        <v>0</v>
      </c>
      <c r="O14" s="62">
        <f t="shared" si="1"/>
        <v>0</v>
      </c>
      <c r="P14" s="42">
        <f t="shared" si="2"/>
        <v>21</v>
      </c>
      <c r="Q14" s="43">
        <f t="shared" si="3"/>
        <v>3</v>
      </c>
      <c r="R14" s="7"/>
      <c r="S14" s="6">
        <v>3</v>
      </c>
      <c r="T14" s="17"/>
      <c r="U14" s="17"/>
      <c r="V14" s="18"/>
      <c r="W14" s="19"/>
      <c r="X14" s="17"/>
      <c r="Y14" s="20"/>
      <c r="Z14" s="20"/>
      <c r="AA14" s="21"/>
      <c r="AB14" s="8">
        <f t="shared" si="4"/>
        <v>1</v>
      </c>
      <c r="AC14" s="9">
        <f t="shared" si="5"/>
        <v>0.875</v>
      </c>
      <c r="AD14" s="10">
        <f t="shared" si="6"/>
        <v>0.875</v>
      </c>
      <c r="AE14" s="39">
        <f t="shared" si="7"/>
        <v>0.28885613389719228</v>
      </c>
      <c r="AF14" s="93">
        <f t="shared" si="8"/>
        <v>8</v>
      </c>
    </row>
    <row r="15" spans="1:32" ht="27" customHeight="1">
      <c r="A15" s="108">
        <v>9</v>
      </c>
      <c r="B15" s="11" t="s">
        <v>57</v>
      </c>
      <c r="C15" s="37" t="s">
        <v>114</v>
      </c>
      <c r="D15" s="55" t="s">
        <v>123</v>
      </c>
      <c r="E15" s="57" t="s">
        <v>155</v>
      </c>
      <c r="F15" s="33" t="s">
        <v>153</v>
      </c>
      <c r="G15" s="36">
        <v>1</v>
      </c>
      <c r="H15" s="38">
        <v>25</v>
      </c>
      <c r="I15" s="7">
        <v>1000</v>
      </c>
      <c r="J15" s="5">
        <v>1068</v>
      </c>
      <c r="K15" s="15">
        <f>L15+1068</f>
        <v>1068</v>
      </c>
      <c r="L15" s="15"/>
      <c r="M15" s="16">
        <f t="shared" si="0"/>
        <v>0</v>
      </c>
      <c r="N15" s="16">
        <v>0</v>
      </c>
      <c r="O15" s="62" t="str">
        <f t="shared" si="1"/>
        <v>0</v>
      </c>
      <c r="P15" s="42" t="str">
        <f t="shared" si="2"/>
        <v>0</v>
      </c>
      <c r="Q15" s="43">
        <f t="shared" si="3"/>
        <v>24</v>
      </c>
      <c r="R15" s="7">
        <v>24</v>
      </c>
      <c r="S15" s="6"/>
      <c r="T15" s="17"/>
      <c r="U15" s="17"/>
      <c r="V15" s="18"/>
      <c r="W15" s="19"/>
      <c r="X15" s="17"/>
      <c r="Y15" s="20"/>
      <c r="Z15" s="20"/>
      <c r="AA15" s="21"/>
      <c r="AB15" s="8">
        <f t="shared" si="4"/>
        <v>0</v>
      </c>
      <c r="AC15" s="9">
        <f t="shared" si="5"/>
        <v>0</v>
      </c>
      <c r="AD15" s="10">
        <f t="shared" si="6"/>
        <v>0</v>
      </c>
      <c r="AE15" s="39">
        <f t="shared" si="7"/>
        <v>0.28885613389719228</v>
      </c>
      <c r="AF15" s="93">
        <f t="shared" si="8"/>
        <v>9</v>
      </c>
    </row>
    <row r="16" spans="1:32" ht="27" customHeight="1">
      <c r="A16" s="108">
        <v>10</v>
      </c>
      <c r="B16" s="11" t="s">
        <v>57</v>
      </c>
      <c r="C16" s="11" t="s">
        <v>152</v>
      </c>
      <c r="D16" s="55"/>
      <c r="E16" s="57" t="s">
        <v>265</v>
      </c>
      <c r="F16" s="12" t="s">
        <v>156</v>
      </c>
      <c r="G16" s="12">
        <v>1</v>
      </c>
      <c r="H16" s="13">
        <v>24</v>
      </c>
      <c r="I16" s="34">
        <v>250</v>
      </c>
      <c r="J16" s="14">
        <v>305</v>
      </c>
      <c r="K16" s="15">
        <f>L16+305</f>
        <v>305</v>
      </c>
      <c r="L16" s="15"/>
      <c r="M16" s="16">
        <f t="shared" si="0"/>
        <v>0</v>
      </c>
      <c r="N16" s="16">
        <v>0</v>
      </c>
      <c r="O16" s="62" t="str">
        <f t="shared" si="1"/>
        <v>0</v>
      </c>
      <c r="P16" s="42" t="str">
        <f t="shared" si="2"/>
        <v>0</v>
      </c>
      <c r="Q16" s="43">
        <f t="shared" si="3"/>
        <v>24</v>
      </c>
      <c r="R16" s="7"/>
      <c r="S16" s="6"/>
      <c r="T16" s="17"/>
      <c r="U16" s="17"/>
      <c r="V16" s="18"/>
      <c r="W16" s="19">
        <v>24</v>
      </c>
      <c r="X16" s="17"/>
      <c r="Y16" s="20"/>
      <c r="Z16" s="20"/>
      <c r="AA16" s="21"/>
      <c r="AB16" s="8">
        <f t="shared" si="4"/>
        <v>0</v>
      </c>
      <c r="AC16" s="9">
        <f t="shared" si="5"/>
        <v>0</v>
      </c>
      <c r="AD16" s="10">
        <f t="shared" si="6"/>
        <v>0</v>
      </c>
      <c r="AE16" s="39">
        <f t="shared" si="7"/>
        <v>0.28885613389719228</v>
      </c>
      <c r="AF16" s="93">
        <f t="shared" si="8"/>
        <v>10</v>
      </c>
    </row>
    <row r="17" spans="1:32" ht="27" customHeight="1">
      <c r="A17" s="108">
        <v>11</v>
      </c>
      <c r="B17" s="11" t="s">
        <v>57</v>
      </c>
      <c r="C17" s="37" t="s">
        <v>125</v>
      </c>
      <c r="D17" s="55" t="s">
        <v>208</v>
      </c>
      <c r="E17" s="57" t="s">
        <v>229</v>
      </c>
      <c r="F17" s="33" t="s">
        <v>205</v>
      </c>
      <c r="G17" s="36">
        <v>2</v>
      </c>
      <c r="H17" s="38">
        <v>25</v>
      </c>
      <c r="I17" s="7">
        <v>15000</v>
      </c>
      <c r="J17" s="5">
        <v>5656</v>
      </c>
      <c r="K17" s="15">
        <f>L17</f>
        <v>5656</v>
      </c>
      <c r="L17" s="15">
        <f>2828*2</f>
        <v>5656</v>
      </c>
      <c r="M17" s="16">
        <f t="shared" si="0"/>
        <v>5656</v>
      </c>
      <c r="N17" s="16">
        <v>0</v>
      </c>
      <c r="O17" s="62">
        <f t="shared" si="1"/>
        <v>0</v>
      </c>
      <c r="P17" s="42">
        <f t="shared" si="2"/>
        <v>14</v>
      </c>
      <c r="Q17" s="43">
        <f t="shared" si="3"/>
        <v>10</v>
      </c>
      <c r="R17" s="7"/>
      <c r="S17" s="6">
        <v>10</v>
      </c>
      <c r="T17" s="17"/>
      <c r="U17" s="17"/>
      <c r="V17" s="18"/>
      <c r="W17" s="19"/>
      <c r="X17" s="17"/>
      <c r="Y17" s="20"/>
      <c r="Z17" s="20"/>
      <c r="AA17" s="21"/>
      <c r="AB17" s="8">
        <f t="shared" si="4"/>
        <v>1</v>
      </c>
      <c r="AC17" s="9">
        <f t="shared" si="5"/>
        <v>0.58333333333333337</v>
      </c>
      <c r="AD17" s="10">
        <f t="shared" si="6"/>
        <v>0.58333333333333337</v>
      </c>
      <c r="AE17" s="39">
        <f t="shared" si="7"/>
        <v>0.28885613389719228</v>
      </c>
      <c r="AF17" s="93">
        <f t="shared" si="8"/>
        <v>11</v>
      </c>
    </row>
    <row r="18" spans="1:32" ht="27" customHeight="1">
      <c r="A18" s="108">
        <v>12</v>
      </c>
      <c r="B18" s="11" t="s">
        <v>57</v>
      </c>
      <c r="C18" s="11" t="s">
        <v>125</v>
      </c>
      <c r="D18" s="55" t="s">
        <v>126</v>
      </c>
      <c r="E18" s="57" t="s">
        <v>154</v>
      </c>
      <c r="F18" s="12" t="s">
        <v>172</v>
      </c>
      <c r="G18" s="12">
        <v>1</v>
      </c>
      <c r="H18" s="13">
        <v>24</v>
      </c>
      <c r="I18" s="34">
        <v>500</v>
      </c>
      <c r="J18" s="14">
        <v>710</v>
      </c>
      <c r="K18" s="15">
        <f>L18+709</f>
        <v>709</v>
      </c>
      <c r="L18" s="15"/>
      <c r="M18" s="16">
        <f t="shared" si="0"/>
        <v>0</v>
      </c>
      <c r="N18" s="16">
        <v>0</v>
      </c>
      <c r="O18" s="62" t="str">
        <f t="shared" si="1"/>
        <v>0</v>
      </c>
      <c r="P18" s="42" t="str">
        <f t="shared" si="2"/>
        <v>0</v>
      </c>
      <c r="Q18" s="43">
        <f t="shared" si="3"/>
        <v>24</v>
      </c>
      <c r="R18" s="7"/>
      <c r="S18" s="6"/>
      <c r="T18" s="17"/>
      <c r="U18" s="17"/>
      <c r="V18" s="18"/>
      <c r="W18" s="19">
        <v>24</v>
      </c>
      <c r="X18" s="17"/>
      <c r="Y18" s="20"/>
      <c r="Z18" s="20"/>
      <c r="AA18" s="21"/>
      <c r="AB18" s="8">
        <f t="shared" si="4"/>
        <v>0</v>
      </c>
      <c r="AC18" s="9">
        <f t="shared" si="5"/>
        <v>0</v>
      </c>
      <c r="AD18" s="10">
        <f t="shared" si="6"/>
        <v>0</v>
      </c>
      <c r="AE18" s="39">
        <f t="shared" si="7"/>
        <v>0.28885613389719228</v>
      </c>
      <c r="AF18" s="93">
        <f t="shared" si="8"/>
        <v>12</v>
      </c>
    </row>
    <row r="19" spans="1:32" ht="27" customHeight="1">
      <c r="A19" s="109">
        <v>13</v>
      </c>
      <c r="B19" s="11" t="s">
        <v>57</v>
      </c>
      <c r="C19" s="37" t="s">
        <v>114</v>
      </c>
      <c r="D19" s="55" t="s">
        <v>149</v>
      </c>
      <c r="E19" s="57" t="s">
        <v>293</v>
      </c>
      <c r="F19" s="12" t="s">
        <v>137</v>
      </c>
      <c r="G19" s="36">
        <v>1</v>
      </c>
      <c r="H19" s="38">
        <v>30</v>
      </c>
      <c r="I19" s="7">
        <v>6000</v>
      </c>
      <c r="J19" s="5">
        <v>1064</v>
      </c>
      <c r="K19" s="15">
        <f>L19</f>
        <v>0</v>
      </c>
      <c r="L19" s="15"/>
      <c r="M19" s="16">
        <f t="shared" si="0"/>
        <v>0</v>
      </c>
      <c r="N19" s="16">
        <v>0</v>
      </c>
      <c r="O19" s="62" t="str">
        <f t="shared" si="1"/>
        <v>0</v>
      </c>
      <c r="P19" s="42" t="str">
        <f t="shared" si="2"/>
        <v>0</v>
      </c>
      <c r="Q19" s="43">
        <f t="shared" si="3"/>
        <v>24</v>
      </c>
      <c r="R19" s="7"/>
      <c r="S19" s="6">
        <v>24</v>
      </c>
      <c r="T19" s="17"/>
      <c r="U19" s="17"/>
      <c r="V19" s="18"/>
      <c r="W19" s="19"/>
      <c r="X19" s="17"/>
      <c r="Y19" s="20"/>
      <c r="Z19" s="20"/>
      <c r="AA19" s="21"/>
      <c r="AB19" s="8">
        <f t="shared" si="4"/>
        <v>0</v>
      </c>
      <c r="AC19" s="9">
        <f t="shared" si="5"/>
        <v>0</v>
      </c>
      <c r="AD19" s="10">
        <f t="shared" si="6"/>
        <v>0</v>
      </c>
      <c r="AE19" s="39">
        <f t="shared" si="7"/>
        <v>0.28885613389719228</v>
      </c>
      <c r="AF19" s="93">
        <f t="shared" si="8"/>
        <v>13</v>
      </c>
    </row>
    <row r="20" spans="1:32" ht="27" customHeight="1">
      <c r="A20" s="109">
        <v>14</v>
      </c>
      <c r="B20" s="11" t="s">
        <v>57</v>
      </c>
      <c r="C20" s="37" t="s">
        <v>150</v>
      </c>
      <c r="D20" s="55"/>
      <c r="E20" s="57" t="s">
        <v>284</v>
      </c>
      <c r="F20" s="12" t="s">
        <v>247</v>
      </c>
      <c r="G20" s="36">
        <v>1</v>
      </c>
      <c r="H20" s="38">
        <v>30</v>
      </c>
      <c r="I20" s="7">
        <v>1000</v>
      </c>
      <c r="J20" s="5">
        <v>1064</v>
      </c>
      <c r="K20" s="15">
        <f>L20+1064</f>
        <v>1064</v>
      </c>
      <c r="L20" s="15"/>
      <c r="M20" s="16">
        <f t="shared" si="0"/>
        <v>0</v>
      </c>
      <c r="N20" s="16">
        <v>0</v>
      </c>
      <c r="O20" s="62" t="str">
        <f t="shared" si="1"/>
        <v>0</v>
      </c>
      <c r="P20" s="42" t="str">
        <f t="shared" si="2"/>
        <v>0</v>
      </c>
      <c r="Q20" s="43">
        <f t="shared" si="3"/>
        <v>24</v>
      </c>
      <c r="R20" s="7"/>
      <c r="S20" s="6"/>
      <c r="T20" s="17"/>
      <c r="U20" s="17"/>
      <c r="V20" s="18"/>
      <c r="W20" s="19">
        <v>24</v>
      </c>
      <c r="X20" s="17"/>
      <c r="Y20" s="20"/>
      <c r="Z20" s="20"/>
      <c r="AA20" s="21"/>
      <c r="AB20" s="8">
        <f t="shared" si="4"/>
        <v>0</v>
      </c>
      <c r="AC20" s="9">
        <f t="shared" si="5"/>
        <v>0</v>
      </c>
      <c r="AD20" s="10">
        <f t="shared" si="6"/>
        <v>0</v>
      </c>
      <c r="AE20" s="39">
        <f t="shared" si="7"/>
        <v>0.28885613389719228</v>
      </c>
      <c r="AF20" s="93">
        <f t="shared" si="8"/>
        <v>14</v>
      </c>
    </row>
    <row r="21" spans="1:32" ht="27" customHeight="1" thickBot="1">
      <c r="A21" s="109">
        <v>15</v>
      </c>
      <c r="B21" s="11" t="s">
        <v>57</v>
      </c>
      <c r="C21" s="11" t="s">
        <v>121</v>
      </c>
      <c r="D21" s="55"/>
      <c r="E21" s="56" t="s">
        <v>236</v>
      </c>
      <c r="F21" s="12" t="s">
        <v>122</v>
      </c>
      <c r="G21" s="12">
        <v>4</v>
      </c>
      <c r="H21" s="38">
        <v>20</v>
      </c>
      <c r="I21" s="7">
        <v>300000</v>
      </c>
      <c r="J21" s="14">
        <v>30716</v>
      </c>
      <c r="K21" s="15">
        <f>L21+20068+24564+48544+43996</f>
        <v>167888</v>
      </c>
      <c r="L21" s="15">
        <f>1624*4+6055*4</f>
        <v>30716</v>
      </c>
      <c r="M21" s="16">
        <f t="shared" si="0"/>
        <v>30716</v>
      </c>
      <c r="N21" s="16">
        <v>0</v>
      </c>
      <c r="O21" s="62">
        <f t="shared" si="1"/>
        <v>0</v>
      </c>
      <c r="P21" s="42">
        <f t="shared" si="2"/>
        <v>16</v>
      </c>
      <c r="Q21" s="43">
        <f t="shared" si="3"/>
        <v>8</v>
      </c>
      <c r="R21" s="7"/>
      <c r="S21" s="6"/>
      <c r="T21" s="17"/>
      <c r="U21" s="17"/>
      <c r="V21" s="18">
        <v>8</v>
      </c>
      <c r="W21" s="19"/>
      <c r="X21" s="17"/>
      <c r="Y21" s="20"/>
      <c r="Z21" s="20"/>
      <c r="AA21" s="21"/>
      <c r="AB21" s="8">
        <f t="shared" si="4"/>
        <v>1</v>
      </c>
      <c r="AC21" s="9">
        <f t="shared" si="5"/>
        <v>0.66666666666666663</v>
      </c>
      <c r="AD21" s="10">
        <f t="shared" si="6"/>
        <v>0.66666666666666663</v>
      </c>
      <c r="AE21" s="39">
        <f t="shared" si="7"/>
        <v>0.28885613389719228</v>
      </c>
      <c r="AF21" s="93">
        <f t="shared" si="8"/>
        <v>15</v>
      </c>
    </row>
    <row r="22" spans="1:32" ht="31.5" customHeight="1" thickBot="1">
      <c r="A22" s="397" t="s">
        <v>34</v>
      </c>
      <c r="B22" s="398"/>
      <c r="C22" s="398"/>
      <c r="D22" s="398"/>
      <c r="E22" s="398"/>
      <c r="F22" s="398"/>
      <c r="G22" s="398"/>
      <c r="H22" s="399"/>
      <c r="I22" s="25">
        <f t="shared" ref="I22:N22" si="17">SUM(I6:I21)</f>
        <v>614550</v>
      </c>
      <c r="J22" s="22">
        <f t="shared" si="17"/>
        <v>98897</v>
      </c>
      <c r="K22" s="23">
        <f t="shared" si="17"/>
        <v>451478</v>
      </c>
      <c r="L22" s="24">
        <f t="shared" si="17"/>
        <v>55589</v>
      </c>
      <c r="M22" s="23">
        <f t="shared" si="17"/>
        <v>55589</v>
      </c>
      <c r="N22" s="24">
        <f t="shared" si="17"/>
        <v>0</v>
      </c>
      <c r="O22" s="44">
        <f t="shared" si="1"/>
        <v>0</v>
      </c>
      <c r="P22" s="45">
        <f t="shared" ref="P22:AA22" si="18">SUM(P6:P21)</f>
        <v>104</v>
      </c>
      <c r="Q22" s="46">
        <f t="shared" si="18"/>
        <v>280</v>
      </c>
      <c r="R22" s="26">
        <f t="shared" si="18"/>
        <v>48</v>
      </c>
      <c r="S22" s="27">
        <f t="shared" si="18"/>
        <v>70</v>
      </c>
      <c r="T22" s="27">
        <f t="shared" si="18"/>
        <v>0</v>
      </c>
      <c r="U22" s="27">
        <f t="shared" si="18"/>
        <v>0</v>
      </c>
      <c r="V22" s="28">
        <f t="shared" si="18"/>
        <v>8</v>
      </c>
      <c r="W22" s="29">
        <f t="shared" si="18"/>
        <v>154</v>
      </c>
      <c r="X22" s="30">
        <f t="shared" si="18"/>
        <v>0</v>
      </c>
      <c r="Y22" s="30">
        <f t="shared" si="18"/>
        <v>0</v>
      </c>
      <c r="Z22" s="30">
        <f t="shared" si="18"/>
        <v>0</v>
      </c>
      <c r="AA22" s="30">
        <f t="shared" si="18"/>
        <v>0</v>
      </c>
      <c r="AB22" s="31">
        <f>SUM(AB6:AB21)/15</f>
        <v>0.53326931989340742</v>
      </c>
      <c r="AC22" s="4">
        <f>SUM(AC6:AC21)/15</f>
        <v>0.28888888888888886</v>
      </c>
      <c r="AD22" s="4">
        <f>SUM(AD6:AD21)/15</f>
        <v>0.28885613389719228</v>
      </c>
      <c r="AE22" s="32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1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 spans="1:3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 spans="1:3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 spans="1:3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 spans="1:3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 spans="1:3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 spans="1:3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 spans="1: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F33" s="94"/>
    </row>
    <row r="34" spans="1:32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F34" s="53"/>
    </row>
    <row r="35" spans="1:32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F35" s="53"/>
    </row>
    <row r="36" spans="1:32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F36" s="53"/>
    </row>
    <row r="37" spans="1:32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F37" s="53"/>
    </row>
    <row r="38" spans="1:32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F38" s="53"/>
    </row>
    <row r="39" spans="1:32" ht="27">
      <c r="A39" s="63"/>
      <c r="B39" s="63"/>
      <c r="C39" s="63"/>
      <c r="D39" s="63"/>
      <c r="E39" s="63"/>
      <c r="F39" s="64"/>
      <c r="G39" s="64"/>
      <c r="H39" s="65"/>
      <c r="I39" s="65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F39" s="53"/>
    </row>
    <row r="40" spans="1:32" ht="29.25" customHeight="1">
      <c r="A40" s="66"/>
      <c r="B40" s="66"/>
      <c r="C40" s="67"/>
      <c r="D40" s="67"/>
      <c r="E40" s="67"/>
      <c r="F40" s="66"/>
      <c r="G40" s="66"/>
      <c r="H40" s="66"/>
      <c r="I40" s="66"/>
      <c r="J40" s="66"/>
      <c r="K40" s="66"/>
      <c r="L40" s="66"/>
      <c r="M40" s="67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F40" s="53"/>
    </row>
    <row r="41" spans="1:32" ht="29.25" customHeight="1">
      <c r="A41" s="66"/>
      <c r="B41" s="66"/>
      <c r="C41" s="68"/>
      <c r="D41" s="67"/>
      <c r="E41" s="67"/>
      <c r="F41" s="66"/>
      <c r="G41" s="66"/>
      <c r="H41" s="66"/>
      <c r="I41" s="66"/>
      <c r="J41" s="66"/>
      <c r="K41" s="66"/>
      <c r="L41" s="66"/>
      <c r="M41" s="68"/>
      <c r="N41" s="66"/>
      <c r="O41" s="66"/>
      <c r="P41" s="69"/>
      <c r="Q41" s="69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6"/>
      <c r="AC41" s="66"/>
      <c r="AD41" s="66"/>
      <c r="AF41" s="53"/>
    </row>
    <row r="42" spans="1:32" ht="29.25" customHeight="1">
      <c r="A42" s="66"/>
      <c r="B42" s="66"/>
      <c r="C42" s="68"/>
      <c r="D42" s="67"/>
      <c r="E42" s="67"/>
      <c r="F42" s="66"/>
      <c r="G42" s="66"/>
      <c r="H42" s="66"/>
      <c r="I42" s="66"/>
      <c r="J42" s="66"/>
      <c r="K42" s="66"/>
      <c r="L42" s="66"/>
      <c r="M42" s="68"/>
      <c r="N42" s="66"/>
      <c r="O42" s="66"/>
      <c r="P42" s="69"/>
      <c r="Q42" s="69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66"/>
      <c r="AC42" s="66"/>
      <c r="AD42" s="66"/>
      <c r="AF42" s="53"/>
    </row>
    <row r="43" spans="1:32" ht="29.25" customHeight="1">
      <c r="A43" s="66"/>
      <c r="B43" s="66"/>
      <c r="C43" s="68"/>
      <c r="D43" s="67"/>
      <c r="E43" s="67"/>
      <c r="F43" s="66"/>
      <c r="G43" s="66"/>
      <c r="H43" s="66"/>
      <c r="I43" s="66"/>
      <c r="J43" s="66"/>
      <c r="K43" s="66"/>
      <c r="L43" s="66"/>
      <c r="M43" s="68"/>
      <c r="N43" s="66"/>
      <c r="O43" s="66"/>
      <c r="P43" s="69"/>
      <c r="Q43" s="69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66"/>
      <c r="AC43" s="66"/>
      <c r="AD43" s="66"/>
      <c r="AF43" s="53"/>
    </row>
    <row r="44" spans="1:32" ht="29.25" customHeight="1">
      <c r="A44" s="66"/>
      <c r="B44" s="66"/>
      <c r="C44" s="68"/>
      <c r="D44" s="67"/>
      <c r="E44" s="67"/>
      <c r="F44" s="66"/>
      <c r="G44" s="66"/>
      <c r="H44" s="66"/>
      <c r="I44" s="66"/>
      <c r="J44" s="66"/>
      <c r="K44" s="66"/>
      <c r="L44" s="66"/>
      <c r="M44" s="68"/>
      <c r="N44" s="66"/>
      <c r="O44" s="66"/>
      <c r="P44" s="69"/>
      <c r="Q44" s="69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66"/>
      <c r="AC44" s="66"/>
      <c r="AD44" s="66"/>
      <c r="AF44" s="53"/>
    </row>
    <row r="45" spans="1:32" ht="29.25" customHeight="1">
      <c r="A45" s="66"/>
      <c r="B45" s="66"/>
      <c r="C45" s="68"/>
      <c r="D45" s="67"/>
      <c r="E45" s="67"/>
      <c r="F45" s="66"/>
      <c r="G45" s="66"/>
      <c r="H45" s="66"/>
      <c r="I45" s="66"/>
      <c r="J45" s="66"/>
      <c r="K45" s="66"/>
      <c r="L45" s="66"/>
      <c r="M45" s="68"/>
      <c r="N45" s="66"/>
      <c r="O45" s="66"/>
      <c r="P45" s="69"/>
      <c r="Q45" s="69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6"/>
      <c r="AC45" s="66"/>
      <c r="AD45" s="66"/>
      <c r="AF45" s="53"/>
    </row>
    <row r="46" spans="1:32" ht="29.25" customHeight="1">
      <c r="A46" s="66"/>
      <c r="B46" s="66"/>
      <c r="C46" s="68"/>
      <c r="D46" s="67"/>
      <c r="E46" s="67"/>
      <c r="F46" s="66"/>
      <c r="G46" s="66"/>
      <c r="H46" s="66"/>
      <c r="I46" s="66"/>
      <c r="J46" s="66"/>
      <c r="K46" s="66"/>
      <c r="L46" s="66"/>
      <c r="M46" s="68"/>
      <c r="N46" s="66"/>
      <c r="O46" s="66"/>
      <c r="P46" s="69"/>
      <c r="Q46" s="69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66"/>
      <c r="AC46" s="66"/>
      <c r="AD46" s="66"/>
      <c r="AF46" s="53"/>
    </row>
    <row r="47" spans="1:32" ht="29.25" customHeight="1">
      <c r="A47" s="66"/>
      <c r="B47" s="66"/>
      <c r="C47" s="68"/>
      <c r="D47" s="67"/>
      <c r="E47" s="67"/>
      <c r="F47" s="66"/>
      <c r="G47" s="66"/>
      <c r="H47" s="66"/>
      <c r="I47" s="66"/>
      <c r="J47" s="66"/>
      <c r="K47" s="66"/>
      <c r="L47" s="66"/>
      <c r="M47" s="68"/>
      <c r="N47" s="66"/>
      <c r="O47" s="66"/>
      <c r="P47" s="69"/>
      <c r="Q47" s="69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66"/>
      <c r="AC47" s="66"/>
      <c r="AD47" s="66"/>
      <c r="AF47" s="53"/>
    </row>
    <row r="48" spans="1:32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F48" s="53"/>
    </row>
    <row r="49" spans="1:32" ht="36" thickBot="1">
      <c r="A49" s="400" t="s">
        <v>45</v>
      </c>
      <c r="B49" s="400"/>
      <c r="C49" s="400"/>
      <c r="D49" s="400"/>
      <c r="E49" s="400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F49" s="53"/>
    </row>
    <row r="50" spans="1:32" ht="26.25" thickBot="1">
      <c r="A50" s="401" t="s">
        <v>304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3"/>
      <c r="N50" s="404" t="s">
        <v>307</v>
      </c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6"/>
    </row>
    <row r="51" spans="1:32" ht="27" customHeight="1">
      <c r="A51" s="407" t="s">
        <v>2</v>
      </c>
      <c r="B51" s="408"/>
      <c r="C51" s="202" t="s">
        <v>46</v>
      </c>
      <c r="D51" s="202" t="s">
        <v>47</v>
      </c>
      <c r="E51" s="202" t="s">
        <v>108</v>
      </c>
      <c r="F51" s="408" t="s">
        <v>107</v>
      </c>
      <c r="G51" s="408"/>
      <c r="H51" s="408"/>
      <c r="I51" s="408"/>
      <c r="J51" s="408"/>
      <c r="K51" s="408"/>
      <c r="L51" s="408"/>
      <c r="M51" s="409"/>
      <c r="N51" s="73" t="s">
        <v>112</v>
      </c>
      <c r="O51" s="202" t="s">
        <v>46</v>
      </c>
      <c r="P51" s="410" t="s">
        <v>47</v>
      </c>
      <c r="Q51" s="411"/>
      <c r="R51" s="410" t="s">
        <v>38</v>
      </c>
      <c r="S51" s="412"/>
      <c r="T51" s="412"/>
      <c r="U51" s="411"/>
      <c r="V51" s="410" t="s">
        <v>48</v>
      </c>
      <c r="W51" s="412"/>
      <c r="X51" s="412"/>
      <c r="Y51" s="412"/>
      <c r="Z51" s="412"/>
      <c r="AA51" s="412"/>
      <c r="AB51" s="412"/>
      <c r="AC51" s="412"/>
      <c r="AD51" s="413"/>
    </row>
    <row r="52" spans="1:32" ht="27" customHeight="1">
      <c r="A52" s="384" t="s">
        <v>224</v>
      </c>
      <c r="B52" s="385"/>
      <c r="C52" s="199" t="s">
        <v>140</v>
      </c>
      <c r="D52" s="199"/>
      <c r="E52" s="199" t="s">
        <v>296</v>
      </c>
      <c r="F52" s="376" t="s">
        <v>130</v>
      </c>
      <c r="G52" s="376"/>
      <c r="H52" s="376"/>
      <c r="I52" s="376"/>
      <c r="J52" s="376"/>
      <c r="K52" s="376"/>
      <c r="L52" s="376"/>
      <c r="M52" s="386"/>
      <c r="N52" s="198" t="s">
        <v>125</v>
      </c>
      <c r="O52" s="124" t="s">
        <v>140</v>
      </c>
      <c r="P52" s="385" t="s">
        <v>208</v>
      </c>
      <c r="Q52" s="385"/>
      <c r="R52" s="385" t="s">
        <v>308</v>
      </c>
      <c r="S52" s="385"/>
      <c r="T52" s="385"/>
      <c r="U52" s="385"/>
      <c r="V52" s="376" t="s">
        <v>130</v>
      </c>
      <c r="W52" s="376"/>
      <c r="X52" s="376"/>
      <c r="Y52" s="376"/>
      <c r="Z52" s="376"/>
      <c r="AA52" s="376"/>
      <c r="AB52" s="376"/>
      <c r="AC52" s="376"/>
      <c r="AD52" s="386"/>
    </row>
    <row r="53" spans="1:32" ht="27" customHeight="1">
      <c r="A53" s="384" t="s">
        <v>152</v>
      </c>
      <c r="B53" s="385"/>
      <c r="C53" s="199" t="s">
        <v>142</v>
      </c>
      <c r="D53" s="199" t="s">
        <v>217</v>
      </c>
      <c r="E53" s="199" t="s">
        <v>201</v>
      </c>
      <c r="F53" s="376" t="s">
        <v>143</v>
      </c>
      <c r="G53" s="376"/>
      <c r="H53" s="376"/>
      <c r="I53" s="376"/>
      <c r="J53" s="376"/>
      <c r="K53" s="376"/>
      <c r="L53" s="376"/>
      <c r="M53" s="386"/>
      <c r="N53" s="198" t="s">
        <v>114</v>
      </c>
      <c r="O53" s="124" t="s">
        <v>141</v>
      </c>
      <c r="P53" s="385" t="s">
        <v>123</v>
      </c>
      <c r="Q53" s="385"/>
      <c r="R53" s="385" t="s">
        <v>297</v>
      </c>
      <c r="S53" s="385"/>
      <c r="T53" s="385"/>
      <c r="U53" s="385"/>
      <c r="V53" s="376" t="s">
        <v>143</v>
      </c>
      <c r="W53" s="376"/>
      <c r="X53" s="376"/>
      <c r="Y53" s="376"/>
      <c r="Z53" s="376"/>
      <c r="AA53" s="376"/>
      <c r="AB53" s="376"/>
      <c r="AC53" s="376"/>
      <c r="AD53" s="386"/>
    </row>
    <row r="54" spans="1:32" ht="27" customHeight="1">
      <c r="A54" s="384" t="s">
        <v>125</v>
      </c>
      <c r="B54" s="385"/>
      <c r="C54" s="199" t="s">
        <v>216</v>
      </c>
      <c r="D54" s="199" t="s">
        <v>126</v>
      </c>
      <c r="E54" s="199" t="s">
        <v>264</v>
      </c>
      <c r="F54" s="376" t="s">
        <v>143</v>
      </c>
      <c r="G54" s="376"/>
      <c r="H54" s="376"/>
      <c r="I54" s="376"/>
      <c r="J54" s="376"/>
      <c r="K54" s="376"/>
      <c r="L54" s="376"/>
      <c r="M54" s="386"/>
      <c r="N54" s="198" t="s">
        <v>114</v>
      </c>
      <c r="O54" s="124" t="s">
        <v>195</v>
      </c>
      <c r="P54" s="385" t="s">
        <v>149</v>
      </c>
      <c r="Q54" s="385"/>
      <c r="R54" s="385" t="s">
        <v>283</v>
      </c>
      <c r="S54" s="385"/>
      <c r="T54" s="385"/>
      <c r="U54" s="385"/>
      <c r="V54" s="376" t="s">
        <v>143</v>
      </c>
      <c r="W54" s="376"/>
      <c r="X54" s="376"/>
      <c r="Y54" s="376"/>
      <c r="Z54" s="376"/>
      <c r="AA54" s="376"/>
      <c r="AB54" s="376"/>
      <c r="AC54" s="376"/>
      <c r="AD54" s="386"/>
    </row>
    <row r="55" spans="1:32" ht="27" customHeight="1">
      <c r="A55" s="384" t="s">
        <v>125</v>
      </c>
      <c r="B55" s="385"/>
      <c r="C55" s="199" t="s">
        <v>141</v>
      </c>
      <c r="D55" s="199" t="s">
        <v>136</v>
      </c>
      <c r="E55" s="199" t="s">
        <v>303</v>
      </c>
      <c r="F55" s="376" t="s">
        <v>130</v>
      </c>
      <c r="G55" s="376"/>
      <c r="H55" s="376"/>
      <c r="I55" s="376"/>
      <c r="J55" s="376"/>
      <c r="K55" s="376"/>
      <c r="L55" s="376"/>
      <c r="M55" s="386"/>
      <c r="N55" s="198" t="s">
        <v>125</v>
      </c>
      <c r="O55" s="124" t="s">
        <v>145</v>
      </c>
      <c r="P55" s="385" t="s">
        <v>123</v>
      </c>
      <c r="Q55" s="385"/>
      <c r="R55" s="385" t="s">
        <v>219</v>
      </c>
      <c r="S55" s="385"/>
      <c r="T55" s="385"/>
      <c r="U55" s="385"/>
      <c r="V55" s="376" t="s">
        <v>130</v>
      </c>
      <c r="W55" s="376"/>
      <c r="X55" s="376"/>
      <c r="Y55" s="376"/>
      <c r="Z55" s="376"/>
      <c r="AA55" s="376"/>
      <c r="AB55" s="376"/>
      <c r="AC55" s="376"/>
      <c r="AD55" s="386"/>
    </row>
    <row r="56" spans="1:32" ht="27" customHeight="1">
      <c r="A56" s="384" t="s">
        <v>114</v>
      </c>
      <c r="B56" s="385"/>
      <c r="C56" s="199" t="s">
        <v>141</v>
      </c>
      <c r="D56" s="199" t="s">
        <v>123</v>
      </c>
      <c r="E56" s="199" t="s">
        <v>297</v>
      </c>
      <c r="F56" s="376" t="s">
        <v>305</v>
      </c>
      <c r="G56" s="376"/>
      <c r="H56" s="376"/>
      <c r="I56" s="376"/>
      <c r="J56" s="376"/>
      <c r="K56" s="376"/>
      <c r="L56" s="376"/>
      <c r="M56" s="386"/>
      <c r="N56" s="198"/>
      <c r="O56" s="124"/>
      <c r="P56" s="385"/>
      <c r="Q56" s="385"/>
      <c r="R56" s="385"/>
      <c r="S56" s="385"/>
      <c r="T56" s="385"/>
      <c r="U56" s="385"/>
      <c r="V56" s="376"/>
      <c r="W56" s="376"/>
      <c r="X56" s="376"/>
      <c r="Y56" s="376"/>
      <c r="Z56" s="376"/>
      <c r="AA56" s="376"/>
      <c r="AB56" s="376"/>
      <c r="AC56" s="376"/>
      <c r="AD56" s="386"/>
    </row>
    <row r="57" spans="1:32" ht="27" customHeight="1">
      <c r="A57" s="384" t="s">
        <v>114</v>
      </c>
      <c r="B57" s="385"/>
      <c r="C57" s="199" t="s">
        <v>195</v>
      </c>
      <c r="D57" s="199" t="s">
        <v>149</v>
      </c>
      <c r="E57" s="199" t="s">
        <v>293</v>
      </c>
      <c r="F57" s="376" t="s">
        <v>306</v>
      </c>
      <c r="G57" s="376"/>
      <c r="H57" s="376"/>
      <c r="I57" s="376"/>
      <c r="J57" s="376"/>
      <c r="K57" s="376"/>
      <c r="L57" s="376"/>
      <c r="M57" s="386"/>
      <c r="N57" s="198"/>
      <c r="O57" s="124"/>
      <c r="P57" s="393"/>
      <c r="Q57" s="394"/>
      <c r="R57" s="385"/>
      <c r="S57" s="385"/>
      <c r="T57" s="385"/>
      <c r="U57" s="385"/>
      <c r="V57" s="376"/>
      <c r="W57" s="376"/>
      <c r="X57" s="376"/>
      <c r="Y57" s="376"/>
      <c r="Z57" s="376"/>
      <c r="AA57" s="376"/>
      <c r="AB57" s="376"/>
      <c r="AC57" s="376"/>
      <c r="AD57" s="386"/>
    </row>
    <row r="58" spans="1:32" ht="27" customHeight="1">
      <c r="A58" s="384" t="s">
        <v>125</v>
      </c>
      <c r="B58" s="385"/>
      <c r="C58" s="199" t="s">
        <v>191</v>
      </c>
      <c r="D58" s="199" t="s">
        <v>208</v>
      </c>
      <c r="E58" s="199" t="s">
        <v>229</v>
      </c>
      <c r="F58" s="376" t="s">
        <v>180</v>
      </c>
      <c r="G58" s="376"/>
      <c r="H58" s="376"/>
      <c r="I58" s="376"/>
      <c r="J58" s="376"/>
      <c r="K58" s="376"/>
      <c r="L58" s="376"/>
      <c r="M58" s="386"/>
      <c r="N58" s="198"/>
      <c r="O58" s="124"/>
      <c r="P58" s="393"/>
      <c r="Q58" s="394"/>
      <c r="R58" s="385"/>
      <c r="S58" s="385"/>
      <c r="T58" s="385"/>
      <c r="U58" s="385"/>
      <c r="V58" s="376"/>
      <c r="W58" s="376"/>
      <c r="X58" s="376"/>
      <c r="Y58" s="376"/>
      <c r="Z58" s="376"/>
      <c r="AA58" s="376"/>
      <c r="AB58" s="376"/>
      <c r="AC58" s="376"/>
      <c r="AD58" s="386"/>
    </row>
    <row r="59" spans="1:32" ht="27" customHeight="1">
      <c r="A59" s="384"/>
      <c r="B59" s="385"/>
      <c r="C59" s="199"/>
      <c r="D59" s="199"/>
      <c r="E59" s="199"/>
      <c r="F59" s="376"/>
      <c r="G59" s="376"/>
      <c r="H59" s="376"/>
      <c r="I59" s="376"/>
      <c r="J59" s="376"/>
      <c r="K59" s="376"/>
      <c r="L59" s="376"/>
      <c r="M59" s="386"/>
      <c r="N59" s="198"/>
      <c r="O59" s="124"/>
      <c r="P59" s="393"/>
      <c r="Q59" s="394"/>
      <c r="R59" s="385"/>
      <c r="S59" s="385"/>
      <c r="T59" s="385"/>
      <c r="U59" s="385"/>
      <c r="V59" s="376"/>
      <c r="W59" s="376"/>
      <c r="X59" s="376"/>
      <c r="Y59" s="376"/>
      <c r="Z59" s="376"/>
      <c r="AA59" s="376"/>
      <c r="AB59" s="376"/>
      <c r="AC59" s="376"/>
      <c r="AD59" s="386"/>
    </row>
    <row r="60" spans="1:32" ht="27" customHeight="1">
      <c r="A60" s="384"/>
      <c r="B60" s="385"/>
      <c r="C60" s="199"/>
      <c r="D60" s="199"/>
      <c r="E60" s="199"/>
      <c r="F60" s="376"/>
      <c r="G60" s="376"/>
      <c r="H60" s="376"/>
      <c r="I60" s="376"/>
      <c r="J60" s="376"/>
      <c r="K60" s="376"/>
      <c r="L60" s="376"/>
      <c r="M60" s="386"/>
      <c r="N60" s="198"/>
      <c r="O60" s="124"/>
      <c r="P60" s="385"/>
      <c r="Q60" s="385"/>
      <c r="R60" s="385"/>
      <c r="S60" s="385"/>
      <c r="T60" s="385"/>
      <c r="U60" s="385"/>
      <c r="V60" s="376"/>
      <c r="W60" s="376"/>
      <c r="X60" s="376"/>
      <c r="Y60" s="376"/>
      <c r="Z60" s="376"/>
      <c r="AA60" s="376"/>
      <c r="AB60" s="376"/>
      <c r="AC60" s="376"/>
      <c r="AD60" s="386"/>
      <c r="AF60" s="93">
        <f>8*3000</f>
        <v>24000</v>
      </c>
    </row>
    <row r="61" spans="1:32" ht="27" customHeight="1" thickBot="1">
      <c r="A61" s="387"/>
      <c r="B61" s="388"/>
      <c r="C61" s="201"/>
      <c r="D61" s="201"/>
      <c r="E61" s="201"/>
      <c r="F61" s="389"/>
      <c r="G61" s="389"/>
      <c r="H61" s="389"/>
      <c r="I61" s="389"/>
      <c r="J61" s="389"/>
      <c r="K61" s="389"/>
      <c r="L61" s="389"/>
      <c r="M61" s="390"/>
      <c r="N61" s="200"/>
      <c r="O61" s="120"/>
      <c r="P61" s="388"/>
      <c r="Q61" s="388"/>
      <c r="R61" s="388"/>
      <c r="S61" s="388"/>
      <c r="T61" s="388"/>
      <c r="U61" s="388"/>
      <c r="V61" s="391"/>
      <c r="W61" s="391"/>
      <c r="X61" s="391"/>
      <c r="Y61" s="391"/>
      <c r="Z61" s="391"/>
      <c r="AA61" s="391"/>
      <c r="AB61" s="391"/>
      <c r="AC61" s="391"/>
      <c r="AD61" s="392"/>
      <c r="AF61" s="93">
        <f>16*3000</f>
        <v>48000</v>
      </c>
    </row>
    <row r="62" spans="1:32" ht="27.75" thickBot="1">
      <c r="A62" s="382" t="s">
        <v>309</v>
      </c>
      <c r="B62" s="382"/>
      <c r="C62" s="382"/>
      <c r="D62" s="382"/>
      <c r="E62" s="382"/>
      <c r="F62" s="40"/>
      <c r="G62" s="40"/>
      <c r="H62" s="41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F62" s="93">
        <v>24000</v>
      </c>
    </row>
    <row r="63" spans="1:32" ht="29.25" customHeight="1" thickBot="1">
      <c r="A63" s="383" t="s">
        <v>113</v>
      </c>
      <c r="B63" s="380"/>
      <c r="C63" s="197" t="s">
        <v>2</v>
      </c>
      <c r="D63" s="197" t="s">
        <v>37</v>
      </c>
      <c r="E63" s="197" t="s">
        <v>3</v>
      </c>
      <c r="F63" s="380" t="s">
        <v>110</v>
      </c>
      <c r="G63" s="380"/>
      <c r="H63" s="380"/>
      <c r="I63" s="380"/>
      <c r="J63" s="380"/>
      <c r="K63" s="380" t="s">
        <v>39</v>
      </c>
      <c r="L63" s="380"/>
      <c r="M63" s="197" t="s">
        <v>40</v>
      </c>
      <c r="N63" s="380" t="s">
        <v>41</v>
      </c>
      <c r="O63" s="380"/>
      <c r="P63" s="377" t="s">
        <v>42</v>
      </c>
      <c r="Q63" s="379"/>
      <c r="R63" s="377" t="s">
        <v>43</v>
      </c>
      <c r="S63" s="378"/>
      <c r="T63" s="378"/>
      <c r="U63" s="378"/>
      <c r="V63" s="378"/>
      <c r="W63" s="378"/>
      <c r="X63" s="378"/>
      <c r="Y63" s="378"/>
      <c r="Z63" s="378"/>
      <c r="AA63" s="379"/>
      <c r="AB63" s="380" t="s">
        <v>44</v>
      </c>
      <c r="AC63" s="380"/>
      <c r="AD63" s="381"/>
      <c r="AF63" s="93">
        <f>SUM(AF60:AF62)</f>
        <v>96000</v>
      </c>
    </row>
    <row r="64" spans="1:32" ht="25.5" customHeight="1">
      <c r="A64" s="372">
        <v>1</v>
      </c>
      <c r="B64" s="373"/>
      <c r="C64" s="123" t="s">
        <v>125</v>
      </c>
      <c r="D64" s="193"/>
      <c r="E64" s="196" t="s">
        <v>208</v>
      </c>
      <c r="F64" s="374" t="s">
        <v>229</v>
      </c>
      <c r="G64" s="366"/>
      <c r="H64" s="366"/>
      <c r="I64" s="366"/>
      <c r="J64" s="366"/>
      <c r="K64" s="366" t="s">
        <v>205</v>
      </c>
      <c r="L64" s="366"/>
      <c r="M64" s="54" t="s">
        <v>186</v>
      </c>
      <c r="N64" s="366">
        <v>11</v>
      </c>
      <c r="O64" s="366"/>
      <c r="P64" s="375">
        <v>100</v>
      </c>
      <c r="Q64" s="375"/>
      <c r="R64" s="376"/>
      <c r="S64" s="376"/>
      <c r="T64" s="376"/>
      <c r="U64" s="376"/>
      <c r="V64" s="376"/>
      <c r="W64" s="376"/>
      <c r="X64" s="376"/>
      <c r="Y64" s="376"/>
      <c r="Z64" s="376"/>
      <c r="AA64" s="376"/>
      <c r="AB64" s="366"/>
      <c r="AC64" s="366"/>
      <c r="AD64" s="367"/>
      <c r="AF64" s="53"/>
    </row>
    <row r="65" spans="1:32" ht="25.5" customHeight="1">
      <c r="A65" s="372">
        <v>2</v>
      </c>
      <c r="B65" s="373"/>
      <c r="C65" s="123"/>
      <c r="D65" s="193"/>
      <c r="E65" s="196"/>
      <c r="F65" s="374"/>
      <c r="G65" s="366"/>
      <c r="H65" s="366"/>
      <c r="I65" s="366"/>
      <c r="J65" s="366"/>
      <c r="K65" s="366"/>
      <c r="L65" s="366"/>
      <c r="M65" s="54"/>
      <c r="N65" s="366"/>
      <c r="O65" s="366"/>
      <c r="P65" s="375"/>
      <c r="Q65" s="375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66"/>
      <c r="AC65" s="366"/>
      <c r="AD65" s="367"/>
      <c r="AF65" s="53"/>
    </row>
    <row r="66" spans="1:32" ht="25.5" customHeight="1">
      <c r="A66" s="372">
        <v>3</v>
      </c>
      <c r="B66" s="373"/>
      <c r="C66" s="123"/>
      <c r="D66" s="193"/>
      <c r="E66" s="196"/>
      <c r="F66" s="374"/>
      <c r="G66" s="366"/>
      <c r="H66" s="366"/>
      <c r="I66" s="366"/>
      <c r="J66" s="366"/>
      <c r="K66" s="366"/>
      <c r="L66" s="366"/>
      <c r="M66" s="54"/>
      <c r="N66" s="366"/>
      <c r="O66" s="366"/>
      <c r="P66" s="375"/>
      <c r="Q66" s="375"/>
      <c r="R66" s="376"/>
      <c r="S66" s="376"/>
      <c r="T66" s="376"/>
      <c r="U66" s="376"/>
      <c r="V66" s="376"/>
      <c r="W66" s="376"/>
      <c r="X66" s="376"/>
      <c r="Y66" s="376"/>
      <c r="Z66" s="376"/>
      <c r="AA66" s="376"/>
      <c r="AB66" s="366"/>
      <c r="AC66" s="366"/>
      <c r="AD66" s="367"/>
      <c r="AF66" s="53"/>
    </row>
    <row r="67" spans="1:32" ht="25.5" customHeight="1">
      <c r="A67" s="372">
        <v>4</v>
      </c>
      <c r="B67" s="373"/>
      <c r="C67" s="123"/>
      <c r="D67" s="193"/>
      <c r="E67" s="196"/>
      <c r="F67" s="374"/>
      <c r="G67" s="366"/>
      <c r="H67" s="366"/>
      <c r="I67" s="366"/>
      <c r="J67" s="366"/>
      <c r="K67" s="366"/>
      <c r="L67" s="366"/>
      <c r="M67" s="54"/>
      <c r="N67" s="366"/>
      <c r="O67" s="366"/>
      <c r="P67" s="375"/>
      <c r="Q67" s="375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66"/>
      <c r="AC67" s="366"/>
      <c r="AD67" s="367"/>
      <c r="AF67" s="53"/>
    </row>
    <row r="68" spans="1:32" ht="25.5" customHeight="1">
      <c r="A68" s="372">
        <v>5</v>
      </c>
      <c r="B68" s="373"/>
      <c r="C68" s="123"/>
      <c r="D68" s="193"/>
      <c r="E68" s="196"/>
      <c r="F68" s="374"/>
      <c r="G68" s="366"/>
      <c r="H68" s="366"/>
      <c r="I68" s="366"/>
      <c r="J68" s="366"/>
      <c r="K68" s="366"/>
      <c r="L68" s="366"/>
      <c r="M68" s="54"/>
      <c r="N68" s="366"/>
      <c r="O68" s="366"/>
      <c r="P68" s="375"/>
      <c r="Q68" s="375"/>
      <c r="R68" s="376"/>
      <c r="S68" s="376"/>
      <c r="T68" s="376"/>
      <c r="U68" s="376"/>
      <c r="V68" s="376"/>
      <c r="W68" s="376"/>
      <c r="X68" s="376"/>
      <c r="Y68" s="376"/>
      <c r="Z68" s="376"/>
      <c r="AA68" s="376"/>
      <c r="AB68" s="366"/>
      <c r="AC68" s="366"/>
      <c r="AD68" s="367"/>
      <c r="AF68" s="53"/>
    </row>
    <row r="69" spans="1:32" ht="25.5" customHeight="1">
      <c r="A69" s="372">
        <v>6</v>
      </c>
      <c r="B69" s="373"/>
      <c r="C69" s="123"/>
      <c r="D69" s="193"/>
      <c r="E69" s="196"/>
      <c r="F69" s="374"/>
      <c r="G69" s="366"/>
      <c r="H69" s="366"/>
      <c r="I69" s="366"/>
      <c r="J69" s="366"/>
      <c r="K69" s="366"/>
      <c r="L69" s="366"/>
      <c r="M69" s="54"/>
      <c r="N69" s="366"/>
      <c r="O69" s="366"/>
      <c r="P69" s="375"/>
      <c r="Q69" s="375"/>
      <c r="R69" s="376"/>
      <c r="S69" s="376"/>
      <c r="T69" s="376"/>
      <c r="U69" s="376"/>
      <c r="V69" s="376"/>
      <c r="W69" s="376"/>
      <c r="X69" s="376"/>
      <c r="Y69" s="376"/>
      <c r="Z69" s="376"/>
      <c r="AA69" s="376"/>
      <c r="AB69" s="366"/>
      <c r="AC69" s="366"/>
      <c r="AD69" s="367"/>
      <c r="AF69" s="53"/>
    </row>
    <row r="70" spans="1:32" ht="25.5" customHeight="1">
      <c r="A70" s="372">
        <v>7</v>
      </c>
      <c r="B70" s="373"/>
      <c r="C70" s="123"/>
      <c r="D70" s="193"/>
      <c r="E70" s="196"/>
      <c r="F70" s="374"/>
      <c r="G70" s="366"/>
      <c r="H70" s="366"/>
      <c r="I70" s="366"/>
      <c r="J70" s="366"/>
      <c r="K70" s="366"/>
      <c r="L70" s="366"/>
      <c r="M70" s="54"/>
      <c r="N70" s="366"/>
      <c r="O70" s="366"/>
      <c r="P70" s="375"/>
      <c r="Q70" s="375"/>
      <c r="R70" s="376"/>
      <c r="S70" s="376"/>
      <c r="T70" s="376"/>
      <c r="U70" s="376"/>
      <c r="V70" s="376"/>
      <c r="W70" s="376"/>
      <c r="X70" s="376"/>
      <c r="Y70" s="376"/>
      <c r="Z70" s="376"/>
      <c r="AA70" s="376"/>
      <c r="AB70" s="366"/>
      <c r="AC70" s="366"/>
      <c r="AD70" s="367"/>
      <c r="AF70" s="53"/>
    </row>
    <row r="71" spans="1:32" ht="25.5" customHeight="1">
      <c r="A71" s="372">
        <v>8</v>
      </c>
      <c r="B71" s="373"/>
      <c r="C71" s="123"/>
      <c r="D71" s="193"/>
      <c r="E71" s="196"/>
      <c r="F71" s="374"/>
      <c r="G71" s="366"/>
      <c r="H71" s="366"/>
      <c r="I71" s="366"/>
      <c r="J71" s="366"/>
      <c r="K71" s="366"/>
      <c r="L71" s="366"/>
      <c r="M71" s="54"/>
      <c r="N71" s="366"/>
      <c r="O71" s="366"/>
      <c r="P71" s="375"/>
      <c r="Q71" s="375"/>
      <c r="R71" s="376"/>
      <c r="S71" s="376"/>
      <c r="T71" s="376"/>
      <c r="U71" s="376"/>
      <c r="V71" s="376"/>
      <c r="W71" s="376"/>
      <c r="X71" s="376"/>
      <c r="Y71" s="376"/>
      <c r="Z71" s="376"/>
      <c r="AA71" s="376"/>
      <c r="AB71" s="366"/>
      <c r="AC71" s="366"/>
      <c r="AD71" s="367"/>
      <c r="AF71" s="53"/>
    </row>
    <row r="72" spans="1:32" ht="26.25" customHeight="1" thickBot="1">
      <c r="A72" s="346" t="s">
        <v>310</v>
      </c>
      <c r="B72" s="346"/>
      <c r="C72" s="346"/>
      <c r="D72" s="346"/>
      <c r="E72" s="346"/>
      <c r="F72" s="40"/>
      <c r="G72" s="40"/>
      <c r="H72" s="41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F72" s="53"/>
    </row>
    <row r="73" spans="1:32" ht="23.25" thickBot="1">
      <c r="A73" s="347" t="s">
        <v>113</v>
      </c>
      <c r="B73" s="348"/>
      <c r="C73" s="195" t="s">
        <v>2</v>
      </c>
      <c r="D73" s="195" t="s">
        <v>37</v>
      </c>
      <c r="E73" s="195" t="s">
        <v>3</v>
      </c>
      <c r="F73" s="348" t="s">
        <v>38</v>
      </c>
      <c r="G73" s="348"/>
      <c r="H73" s="348"/>
      <c r="I73" s="348"/>
      <c r="J73" s="348"/>
      <c r="K73" s="368" t="s">
        <v>58</v>
      </c>
      <c r="L73" s="369"/>
      <c r="M73" s="369"/>
      <c r="N73" s="369"/>
      <c r="O73" s="369"/>
      <c r="P73" s="369"/>
      <c r="Q73" s="369"/>
      <c r="R73" s="369"/>
      <c r="S73" s="370"/>
      <c r="T73" s="348" t="s">
        <v>49</v>
      </c>
      <c r="U73" s="348"/>
      <c r="V73" s="368" t="s">
        <v>50</v>
      </c>
      <c r="W73" s="370"/>
      <c r="X73" s="369" t="s">
        <v>51</v>
      </c>
      <c r="Y73" s="369"/>
      <c r="Z73" s="369"/>
      <c r="AA73" s="369"/>
      <c r="AB73" s="369"/>
      <c r="AC73" s="369"/>
      <c r="AD73" s="371"/>
      <c r="AF73" s="53"/>
    </row>
    <row r="74" spans="1:32" ht="33.75" customHeight="1">
      <c r="A74" s="340">
        <v>1</v>
      </c>
      <c r="B74" s="341"/>
      <c r="C74" s="194" t="s">
        <v>114</v>
      </c>
      <c r="D74" s="194"/>
      <c r="E74" s="71" t="s">
        <v>119</v>
      </c>
      <c r="F74" s="355" t="s">
        <v>120</v>
      </c>
      <c r="G74" s="356"/>
      <c r="H74" s="356"/>
      <c r="I74" s="356"/>
      <c r="J74" s="357"/>
      <c r="K74" s="358" t="s">
        <v>115</v>
      </c>
      <c r="L74" s="359"/>
      <c r="M74" s="359"/>
      <c r="N74" s="359"/>
      <c r="O74" s="359"/>
      <c r="P74" s="359"/>
      <c r="Q74" s="359"/>
      <c r="R74" s="359"/>
      <c r="S74" s="360"/>
      <c r="T74" s="361">
        <v>42901</v>
      </c>
      <c r="U74" s="362"/>
      <c r="V74" s="363"/>
      <c r="W74" s="363"/>
      <c r="X74" s="364"/>
      <c r="Y74" s="364"/>
      <c r="Z74" s="364"/>
      <c r="AA74" s="364"/>
      <c r="AB74" s="364"/>
      <c r="AC74" s="364"/>
      <c r="AD74" s="365"/>
      <c r="AF74" s="53"/>
    </row>
    <row r="75" spans="1:32" ht="30" customHeight="1">
      <c r="A75" s="333">
        <f>A74+1</f>
        <v>2</v>
      </c>
      <c r="B75" s="334"/>
      <c r="C75" s="193" t="s">
        <v>114</v>
      </c>
      <c r="D75" s="193"/>
      <c r="E75" s="35" t="s">
        <v>116</v>
      </c>
      <c r="F75" s="334" t="s">
        <v>117</v>
      </c>
      <c r="G75" s="334"/>
      <c r="H75" s="334"/>
      <c r="I75" s="334"/>
      <c r="J75" s="334"/>
      <c r="K75" s="349" t="s">
        <v>118</v>
      </c>
      <c r="L75" s="350"/>
      <c r="M75" s="350"/>
      <c r="N75" s="350"/>
      <c r="O75" s="350"/>
      <c r="P75" s="350"/>
      <c r="Q75" s="350"/>
      <c r="R75" s="350"/>
      <c r="S75" s="351"/>
      <c r="T75" s="352">
        <v>42867</v>
      </c>
      <c r="U75" s="352"/>
      <c r="V75" s="352"/>
      <c r="W75" s="352"/>
      <c r="X75" s="353"/>
      <c r="Y75" s="353"/>
      <c r="Z75" s="353"/>
      <c r="AA75" s="353"/>
      <c r="AB75" s="353"/>
      <c r="AC75" s="353"/>
      <c r="AD75" s="354"/>
      <c r="AF75" s="53"/>
    </row>
    <row r="76" spans="1:32" ht="30" customHeight="1">
      <c r="A76" s="333">
        <f t="shared" ref="A76:A82" si="19">A75+1</f>
        <v>3</v>
      </c>
      <c r="B76" s="334"/>
      <c r="C76" s="193"/>
      <c r="D76" s="193"/>
      <c r="E76" s="35"/>
      <c r="F76" s="334"/>
      <c r="G76" s="334"/>
      <c r="H76" s="334"/>
      <c r="I76" s="334"/>
      <c r="J76" s="334"/>
      <c r="K76" s="349"/>
      <c r="L76" s="350"/>
      <c r="M76" s="350"/>
      <c r="N76" s="350"/>
      <c r="O76" s="350"/>
      <c r="P76" s="350"/>
      <c r="Q76" s="350"/>
      <c r="R76" s="350"/>
      <c r="S76" s="351"/>
      <c r="T76" s="352"/>
      <c r="U76" s="352"/>
      <c r="V76" s="352"/>
      <c r="W76" s="352"/>
      <c r="X76" s="353"/>
      <c r="Y76" s="353"/>
      <c r="Z76" s="353"/>
      <c r="AA76" s="353"/>
      <c r="AB76" s="353"/>
      <c r="AC76" s="353"/>
      <c r="AD76" s="354"/>
      <c r="AF76" s="53"/>
    </row>
    <row r="77" spans="1:32" ht="30" customHeight="1">
      <c r="A77" s="333">
        <f t="shared" si="19"/>
        <v>4</v>
      </c>
      <c r="B77" s="334"/>
      <c r="C77" s="193"/>
      <c r="D77" s="193"/>
      <c r="E77" s="35"/>
      <c r="F77" s="334"/>
      <c r="G77" s="334"/>
      <c r="H77" s="334"/>
      <c r="I77" s="334"/>
      <c r="J77" s="334"/>
      <c r="K77" s="349"/>
      <c r="L77" s="350"/>
      <c r="M77" s="350"/>
      <c r="N77" s="350"/>
      <c r="O77" s="350"/>
      <c r="P77" s="350"/>
      <c r="Q77" s="350"/>
      <c r="R77" s="350"/>
      <c r="S77" s="351"/>
      <c r="T77" s="352"/>
      <c r="U77" s="352"/>
      <c r="V77" s="352"/>
      <c r="W77" s="352"/>
      <c r="X77" s="353"/>
      <c r="Y77" s="353"/>
      <c r="Z77" s="353"/>
      <c r="AA77" s="353"/>
      <c r="AB77" s="353"/>
      <c r="AC77" s="353"/>
      <c r="AD77" s="354"/>
      <c r="AF77" s="53"/>
    </row>
    <row r="78" spans="1:32" ht="30" customHeight="1">
      <c r="A78" s="333">
        <f t="shared" si="19"/>
        <v>5</v>
      </c>
      <c r="B78" s="334"/>
      <c r="C78" s="193"/>
      <c r="D78" s="193"/>
      <c r="E78" s="35"/>
      <c r="F78" s="334"/>
      <c r="G78" s="334"/>
      <c r="H78" s="334"/>
      <c r="I78" s="334"/>
      <c r="J78" s="334"/>
      <c r="K78" s="349"/>
      <c r="L78" s="350"/>
      <c r="M78" s="350"/>
      <c r="N78" s="350"/>
      <c r="O78" s="350"/>
      <c r="P78" s="350"/>
      <c r="Q78" s="350"/>
      <c r="R78" s="350"/>
      <c r="S78" s="351"/>
      <c r="T78" s="352"/>
      <c r="U78" s="352"/>
      <c r="V78" s="352"/>
      <c r="W78" s="352"/>
      <c r="X78" s="353"/>
      <c r="Y78" s="353"/>
      <c r="Z78" s="353"/>
      <c r="AA78" s="353"/>
      <c r="AB78" s="353"/>
      <c r="AC78" s="353"/>
      <c r="AD78" s="354"/>
      <c r="AF78" s="53"/>
    </row>
    <row r="79" spans="1:32" ht="30" customHeight="1">
      <c r="A79" s="333">
        <f t="shared" si="19"/>
        <v>6</v>
      </c>
      <c r="B79" s="334"/>
      <c r="C79" s="193"/>
      <c r="D79" s="193"/>
      <c r="E79" s="35"/>
      <c r="F79" s="334"/>
      <c r="G79" s="334"/>
      <c r="H79" s="334"/>
      <c r="I79" s="334"/>
      <c r="J79" s="334"/>
      <c r="K79" s="349"/>
      <c r="L79" s="350"/>
      <c r="M79" s="350"/>
      <c r="N79" s="350"/>
      <c r="O79" s="350"/>
      <c r="P79" s="350"/>
      <c r="Q79" s="350"/>
      <c r="R79" s="350"/>
      <c r="S79" s="351"/>
      <c r="T79" s="352"/>
      <c r="U79" s="352"/>
      <c r="V79" s="352"/>
      <c r="W79" s="352"/>
      <c r="X79" s="353"/>
      <c r="Y79" s="353"/>
      <c r="Z79" s="353"/>
      <c r="AA79" s="353"/>
      <c r="AB79" s="353"/>
      <c r="AC79" s="353"/>
      <c r="AD79" s="354"/>
      <c r="AF79" s="53"/>
    </row>
    <row r="80" spans="1:32" ht="30" customHeight="1">
      <c r="A80" s="333">
        <f t="shared" si="19"/>
        <v>7</v>
      </c>
      <c r="B80" s="334"/>
      <c r="C80" s="193"/>
      <c r="D80" s="193"/>
      <c r="E80" s="35"/>
      <c r="F80" s="334"/>
      <c r="G80" s="334"/>
      <c r="H80" s="334"/>
      <c r="I80" s="334"/>
      <c r="J80" s="334"/>
      <c r="K80" s="349"/>
      <c r="L80" s="350"/>
      <c r="M80" s="350"/>
      <c r="N80" s="350"/>
      <c r="O80" s="350"/>
      <c r="P80" s="350"/>
      <c r="Q80" s="350"/>
      <c r="R80" s="350"/>
      <c r="S80" s="351"/>
      <c r="T80" s="352"/>
      <c r="U80" s="352"/>
      <c r="V80" s="352"/>
      <c r="W80" s="352"/>
      <c r="X80" s="353"/>
      <c r="Y80" s="353"/>
      <c r="Z80" s="353"/>
      <c r="AA80" s="353"/>
      <c r="AB80" s="353"/>
      <c r="AC80" s="353"/>
      <c r="AD80" s="354"/>
      <c r="AF80" s="53"/>
    </row>
    <row r="81" spans="1:32" ht="30" customHeight="1">
      <c r="A81" s="333">
        <f t="shared" si="19"/>
        <v>8</v>
      </c>
      <c r="B81" s="334"/>
      <c r="C81" s="193"/>
      <c r="D81" s="193"/>
      <c r="E81" s="35"/>
      <c r="F81" s="334"/>
      <c r="G81" s="334"/>
      <c r="H81" s="334"/>
      <c r="I81" s="334"/>
      <c r="J81" s="334"/>
      <c r="K81" s="349"/>
      <c r="L81" s="350"/>
      <c r="M81" s="350"/>
      <c r="N81" s="350"/>
      <c r="O81" s="350"/>
      <c r="P81" s="350"/>
      <c r="Q81" s="350"/>
      <c r="R81" s="350"/>
      <c r="S81" s="351"/>
      <c r="T81" s="352"/>
      <c r="U81" s="352"/>
      <c r="V81" s="352"/>
      <c r="W81" s="352"/>
      <c r="X81" s="353"/>
      <c r="Y81" s="353"/>
      <c r="Z81" s="353"/>
      <c r="AA81" s="353"/>
      <c r="AB81" s="353"/>
      <c r="AC81" s="353"/>
      <c r="AD81" s="354"/>
      <c r="AF81" s="53"/>
    </row>
    <row r="82" spans="1:32" ht="30" customHeight="1">
      <c r="A82" s="333">
        <f t="shared" si="19"/>
        <v>9</v>
      </c>
      <c r="B82" s="334"/>
      <c r="C82" s="193"/>
      <c r="D82" s="193"/>
      <c r="E82" s="35"/>
      <c r="F82" s="334"/>
      <c r="G82" s="334"/>
      <c r="H82" s="334"/>
      <c r="I82" s="334"/>
      <c r="J82" s="334"/>
      <c r="K82" s="349"/>
      <c r="L82" s="350"/>
      <c r="M82" s="350"/>
      <c r="N82" s="350"/>
      <c r="O82" s="350"/>
      <c r="P82" s="350"/>
      <c r="Q82" s="350"/>
      <c r="R82" s="350"/>
      <c r="S82" s="351"/>
      <c r="T82" s="352"/>
      <c r="U82" s="352"/>
      <c r="V82" s="352"/>
      <c r="W82" s="352"/>
      <c r="X82" s="353"/>
      <c r="Y82" s="353"/>
      <c r="Z82" s="353"/>
      <c r="AA82" s="353"/>
      <c r="AB82" s="353"/>
      <c r="AC82" s="353"/>
      <c r="AD82" s="354"/>
      <c r="AF82" s="53"/>
    </row>
    <row r="83" spans="1:32" ht="36" thickBot="1">
      <c r="A83" s="346" t="s">
        <v>311</v>
      </c>
      <c r="B83" s="346"/>
      <c r="C83" s="346"/>
      <c r="D83" s="346"/>
      <c r="E83" s="346"/>
      <c r="F83" s="40"/>
      <c r="G83" s="40"/>
      <c r="H83" s="41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F83" s="53"/>
    </row>
    <row r="84" spans="1:32" ht="30.75" customHeight="1" thickBot="1">
      <c r="A84" s="347" t="s">
        <v>113</v>
      </c>
      <c r="B84" s="348"/>
      <c r="C84" s="338" t="s">
        <v>52</v>
      </c>
      <c r="D84" s="338"/>
      <c r="E84" s="338" t="s">
        <v>53</v>
      </c>
      <c r="F84" s="338"/>
      <c r="G84" s="338"/>
      <c r="H84" s="338"/>
      <c r="I84" s="338"/>
      <c r="J84" s="338"/>
      <c r="K84" s="338" t="s">
        <v>54</v>
      </c>
      <c r="L84" s="338"/>
      <c r="M84" s="338"/>
      <c r="N84" s="338"/>
      <c r="O84" s="338"/>
      <c r="P84" s="338"/>
      <c r="Q84" s="338"/>
      <c r="R84" s="338"/>
      <c r="S84" s="338"/>
      <c r="T84" s="338" t="s">
        <v>55</v>
      </c>
      <c r="U84" s="338"/>
      <c r="V84" s="338" t="s">
        <v>56</v>
      </c>
      <c r="W84" s="338"/>
      <c r="X84" s="338"/>
      <c r="Y84" s="338" t="s">
        <v>51</v>
      </c>
      <c r="Z84" s="338"/>
      <c r="AA84" s="338"/>
      <c r="AB84" s="338"/>
      <c r="AC84" s="338"/>
      <c r="AD84" s="339"/>
      <c r="AF84" s="53"/>
    </row>
    <row r="85" spans="1:32" ht="30.75" customHeight="1">
      <c r="A85" s="340">
        <v>1</v>
      </c>
      <c r="B85" s="341"/>
      <c r="C85" s="342">
        <v>9</v>
      </c>
      <c r="D85" s="342"/>
      <c r="E85" s="342" t="s">
        <v>157</v>
      </c>
      <c r="F85" s="342"/>
      <c r="G85" s="342"/>
      <c r="H85" s="342"/>
      <c r="I85" s="342"/>
      <c r="J85" s="342"/>
      <c r="K85" s="342" t="s">
        <v>158</v>
      </c>
      <c r="L85" s="342"/>
      <c r="M85" s="342"/>
      <c r="N85" s="342"/>
      <c r="O85" s="342"/>
      <c r="P85" s="342"/>
      <c r="Q85" s="342"/>
      <c r="R85" s="342"/>
      <c r="S85" s="342"/>
      <c r="T85" s="342" t="s">
        <v>159</v>
      </c>
      <c r="U85" s="342"/>
      <c r="V85" s="343">
        <v>11307000</v>
      </c>
      <c r="W85" s="343"/>
      <c r="X85" s="343"/>
      <c r="Y85" s="344"/>
      <c r="Z85" s="344"/>
      <c r="AA85" s="344"/>
      <c r="AB85" s="344"/>
      <c r="AC85" s="344"/>
      <c r="AD85" s="345"/>
      <c r="AF85" s="53"/>
    </row>
    <row r="86" spans="1:32" ht="30.75" customHeight="1">
      <c r="A86" s="333">
        <v>2</v>
      </c>
      <c r="B86" s="334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6"/>
      <c r="U86" s="336"/>
      <c r="V86" s="337"/>
      <c r="W86" s="337"/>
      <c r="X86" s="337"/>
      <c r="Y86" s="326"/>
      <c r="Z86" s="326"/>
      <c r="AA86" s="326"/>
      <c r="AB86" s="326"/>
      <c r="AC86" s="326"/>
      <c r="AD86" s="327"/>
      <c r="AF86" s="53"/>
    </row>
    <row r="87" spans="1:32" ht="30.75" customHeight="1" thickBot="1">
      <c r="A87" s="328">
        <v>3</v>
      </c>
      <c r="B87" s="329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1"/>
      <c r="Z87" s="331"/>
      <c r="AA87" s="331"/>
      <c r="AB87" s="331"/>
      <c r="AC87" s="331"/>
      <c r="AD87" s="332"/>
      <c r="AF87" s="53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2" fitToHeight="2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19</vt:i4>
      </vt:variant>
    </vt:vector>
  </HeadingPairs>
  <TitlesOfParts>
    <vt:vector size="39" baseType="lpstr">
      <vt:lpstr>총괄</vt:lpstr>
      <vt:lpstr>01</vt:lpstr>
      <vt:lpstr>03</vt:lpstr>
      <vt:lpstr>04</vt:lpstr>
      <vt:lpstr>05</vt:lpstr>
      <vt:lpstr>06</vt:lpstr>
      <vt:lpstr>07</vt:lpstr>
      <vt:lpstr>10</vt:lpstr>
      <vt:lpstr>11</vt:lpstr>
      <vt:lpstr>12</vt:lpstr>
      <vt:lpstr>13</vt:lpstr>
      <vt:lpstr>14</vt:lpstr>
      <vt:lpstr>15</vt:lpstr>
      <vt:lpstr>17</vt:lpstr>
      <vt:lpstr>18</vt:lpstr>
      <vt:lpstr>19</vt:lpstr>
      <vt:lpstr>20</vt:lpstr>
      <vt:lpstr>21</vt:lpstr>
      <vt:lpstr>27</vt:lpstr>
      <vt:lpstr>28</vt:lpstr>
      <vt:lpstr>'01'!Print_Area</vt:lpstr>
      <vt:lpstr>'03'!Print_Area</vt:lpstr>
      <vt:lpstr>'04'!Print_Area</vt:lpstr>
      <vt:lpstr>'05'!Print_Area</vt:lpstr>
      <vt:lpstr>'06'!Print_Area</vt:lpstr>
      <vt:lpstr>'07'!Print_Area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'17'!Print_Area</vt:lpstr>
      <vt:lpstr>'18'!Print_Area</vt:lpstr>
      <vt:lpstr>'19'!Print_Area</vt:lpstr>
      <vt:lpstr>'20'!Print_Area</vt:lpstr>
      <vt:lpstr>'21'!Print_Area</vt:lpstr>
      <vt:lpstr>'27'!Print_Area</vt:lpstr>
      <vt:lpstr>'28'!Print_Area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2018-09-17T23:50:45Z</cp:lastPrinted>
  <dcterms:created xsi:type="dcterms:W3CDTF">2014-05-16T00:06:55Z</dcterms:created>
  <dcterms:modified xsi:type="dcterms:W3CDTF">2018-09-29T00:14:25Z</dcterms:modified>
</cp:coreProperties>
</file>