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45.xml" ContentType="application/vnd.openxmlformats-officedocument.drawingml.chartshapes+xml"/>
  <Override PartName="/xl/drawings/drawing46.xml" ContentType="application/vnd.openxmlformats-officedocument.drawing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drawings/drawing4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19년도\일일업무\생산일보\"/>
    </mc:Choice>
  </mc:AlternateContent>
  <xr:revisionPtr revIDLastSave="0" documentId="13_ncr:1_{6477F00F-60D7-4AD4-AF19-58AD1F822663}" xr6:coauthVersionLast="40" xr6:coauthVersionMax="40" xr10:uidLastSave="{00000000-0000-0000-0000-000000000000}"/>
  <bookViews>
    <workbookView xWindow="480" yWindow="1470" windowWidth="14880" windowHeight="7125" activeTab="23" xr2:uid="{00000000-000D-0000-FFFF-FFFF00000000}"/>
  </bookViews>
  <sheets>
    <sheet name="총괄" sheetId="16" r:id="rId1"/>
    <sheet name="01" sheetId="1351" r:id="rId2"/>
    <sheet name="02" sheetId="1352" r:id="rId3"/>
    <sheet name="03" sheetId="1353" r:id="rId4"/>
    <sheet name="04" sheetId="1354" r:id="rId5"/>
    <sheet name="07" sheetId="1355" r:id="rId6"/>
    <sheet name="08" sheetId="1356" r:id="rId7"/>
    <sheet name="09" sheetId="1357" r:id="rId8"/>
    <sheet name="10" sheetId="1358" r:id="rId9"/>
    <sheet name="11" sheetId="1359" r:id="rId10"/>
    <sheet name="14" sheetId="1360" r:id="rId11"/>
    <sheet name="15" sheetId="1361" r:id="rId12"/>
    <sheet name="16" sheetId="1362" r:id="rId13"/>
    <sheet name="17" sheetId="1363" r:id="rId14"/>
    <sheet name="18" sheetId="1364" r:id="rId15"/>
    <sheet name="21" sheetId="1365" r:id="rId16"/>
    <sheet name="22" sheetId="1366" r:id="rId17"/>
    <sheet name="23" sheetId="1367" r:id="rId18"/>
    <sheet name="24" sheetId="1368" r:id="rId19"/>
    <sheet name="25" sheetId="1369" r:id="rId20"/>
    <sheet name="28" sheetId="1370" r:id="rId21"/>
    <sheet name="29" sheetId="1371" r:id="rId22"/>
    <sheet name="30" sheetId="1372" r:id="rId23"/>
    <sheet name="31" sheetId="1373" r:id="rId24"/>
  </sheets>
  <definedNames>
    <definedName name="_xlnm.Print_Area" localSheetId="1">'01'!$A$1:$AD$87</definedName>
    <definedName name="_xlnm.Print_Area" localSheetId="2">'02'!$A$1:$AD$88</definedName>
    <definedName name="_xlnm.Print_Area" localSheetId="3">'03'!$A$1:$AD$86</definedName>
    <definedName name="_xlnm.Print_Area" localSheetId="4">'04'!$A$1:$AD$87</definedName>
    <definedName name="_xlnm.Print_Area" localSheetId="5">'07'!$A$1:$AD$87</definedName>
    <definedName name="_xlnm.Print_Area" localSheetId="6">'08'!$A$1:$AD$86</definedName>
    <definedName name="_xlnm.Print_Area" localSheetId="7">'09'!$A$1:$AD$86</definedName>
    <definedName name="_xlnm.Print_Area" localSheetId="8">'10'!$A$1:$AD$86</definedName>
    <definedName name="_xlnm.Print_Area" localSheetId="9">'11'!$A$1:$AD$86</definedName>
    <definedName name="_xlnm.Print_Area" localSheetId="10">'14'!$A$1:$AD$87</definedName>
    <definedName name="_xlnm.Print_Area" localSheetId="11">'15'!$A$1:$AD$87</definedName>
    <definedName name="_xlnm.Print_Area" localSheetId="12">'16'!$A$1:$AD$86</definedName>
    <definedName name="_xlnm.Print_Area" localSheetId="13">'17'!$A$1:$AD$86</definedName>
    <definedName name="_xlnm.Print_Area" localSheetId="14">'18'!$A$1:$AD$86</definedName>
    <definedName name="_xlnm.Print_Area" localSheetId="15">'21'!$A$1:$AD$86</definedName>
    <definedName name="_xlnm.Print_Area" localSheetId="16">'22'!$A$1:$AD$86</definedName>
    <definedName name="_xlnm.Print_Area" localSheetId="17">'23'!$A$1:$AD$86</definedName>
    <definedName name="_xlnm.Print_Area" localSheetId="18">'24'!$A$1:$AD$86</definedName>
    <definedName name="_xlnm.Print_Area" localSheetId="19">'25'!$A$1:$AD$86</definedName>
    <definedName name="_xlnm.Print_Area" localSheetId="20">'28'!$A$1:$AD$86</definedName>
    <definedName name="_xlnm.Print_Area" localSheetId="21">'29'!$A$1:$AD$86</definedName>
    <definedName name="_xlnm.Print_Area" localSheetId="22">'30'!$A$1:$AD$87</definedName>
    <definedName name="_xlnm.Print_Area" localSheetId="23">'31'!$A$1:$AD$86</definedName>
    <definedName name="ㅁ1" localSheetId="15">'21'!$M$1048521:$M$1048576</definedName>
    <definedName name="ㅁ1" localSheetId="16">'22'!$M$1048521:$M$1048576</definedName>
    <definedName name="ㅁ1" localSheetId="17">'23'!$M$1048521:$M$1048576</definedName>
    <definedName name="ㅁ1" localSheetId="18">'24'!$M$1048521:$M$1048576</definedName>
    <definedName name="ㅁ1" localSheetId="19">'25'!$M$1048521:$M$1048576</definedName>
    <definedName name="ㅁ1" localSheetId="20">'28'!$M$1048521:$M$1048576</definedName>
    <definedName name="ㅁ1" localSheetId="21">'29'!$M$1048521:$M$1048576</definedName>
    <definedName name="ㅁ1" localSheetId="22">'30'!$M$1048522:$M$1048576</definedName>
    <definedName name="ㅁ1" localSheetId="23">'31'!$M$1048521:$M$1048576</definedName>
    <definedName name="ㅁ1">'18'!$M$1048521:$M$1048576</definedName>
  </definedNames>
  <calcPr calcId="181029"/>
</workbook>
</file>

<file path=xl/calcChain.xml><?xml version="1.0" encoding="utf-8"?>
<calcChain xmlns="http://schemas.openxmlformats.org/spreadsheetml/2006/main">
  <c r="AF18" i="16" l="1"/>
  <c r="AF17" i="16"/>
  <c r="AF16" i="16"/>
  <c r="AF15" i="16"/>
  <c r="AF14" i="16"/>
  <c r="AF13" i="16"/>
  <c r="AF12" i="16"/>
  <c r="AF11" i="16"/>
  <c r="AF10" i="16"/>
  <c r="AF9" i="16"/>
  <c r="AF8" i="16"/>
  <c r="AF7" i="16"/>
  <c r="AF6" i="16"/>
  <c r="AF5" i="16"/>
  <c r="AF4" i="16"/>
  <c r="AF3" i="16"/>
  <c r="L20" i="1373"/>
  <c r="K20" i="1373" s="1"/>
  <c r="L19" i="1373"/>
  <c r="L18" i="1373"/>
  <c r="K18" i="1373" s="1"/>
  <c r="L17" i="1373"/>
  <c r="O17" i="1373" s="1"/>
  <c r="L16" i="1373"/>
  <c r="K16" i="1373" s="1"/>
  <c r="L13" i="1373"/>
  <c r="L11" i="1373"/>
  <c r="K11" i="1373" s="1"/>
  <c r="L10" i="1373"/>
  <c r="O10" i="1373" s="1"/>
  <c r="K10" i="1373"/>
  <c r="L8" i="1373"/>
  <c r="K19" i="1373"/>
  <c r="A74" i="1373"/>
  <c r="A75" i="1373" s="1"/>
  <c r="A76" i="1373" s="1"/>
  <c r="A77" i="1373" s="1"/>
  <c r="A78" i="1373" s="1"/>
  <c r="A79" i="1373" s="1"/>
  <c r="A80" i="1373" s="1"/>
  <c r="A81" i="1373" s="1"/>
  <c r="AF60" i="1373"/>
  <c r="AF59" i="1373"/>
  <c r="AF62" i="1373" s="1"/>
  <c r="AA21" i="1373"/>
  <c r="Z21" i="1373"/>
  <c r="Y21" i="1373"/>
  <c r="X21" i="1373"/>
  <c r="W21" i="1373"/>
  <c r="V21" i="1373"/>
  <c r="U21" i="1373"/>
  <c r="T21" i="1373"/>
  <c r="S21" i="1373"/>
  <c r="R21" i="1373"/>
  <c r="N21" i="1373"/>
  <c r="J21" i="1373"/>
  <c r="I21" i="1373"/>
  <c r="AF20" i="1373"/>
  <c r="Q20" i="1373"/>
  <c r="O20" i="1373"/>
  <c r="AB20" i="1373"/>
  <c r="AF19" i="1373"/>
  <c r="Q19" i="1373"/>
  <c r="M19" i="1373"/>
  <c r="AF18" i="1373"/>
  <c r="Q18" i="1373"/>
  <c r="P18" i="1373"/>
  <c r="AC18" i="1373" s="1"/>
  <c r="AF17" i="1373"/>
  <c r="AB17" i="1373"/>
  <c r="Q17" i="1373"/>
  <c r="AF16" i="1373"/>
  <c r="AB16" i="1373"/>
  <c r="Q16" i="1373"/>
  <c r="M16" i="1373"/>
  <c r="AF15" i="1373"/>
  <c r="AB15" i="1373"/>
  <c r="Q15" i="1373"/>
  <c r="P15" i="1373"/>
  <c r="AC15" i="1373" s="1"/>
  <c r="O15" i="1373"/>
  <c r="M15" i="1373"/>
  <c r="K15" i="1373"/>
  <c r="AF14" i="1373"/>
  <c r="AB14" i="1373"/>
  <c r="Q14" i="1373"/>
  <c r="P14" i="1373"/>
  <c r="AC14" i="1373" s="1"/>
  <c r="O14" i="1373"/>
  <c r="M14" i="1373"/>
  <c r="K14" i="1373"/>
  <c r="AF13" i="1373"/>
  <c r="Q13" i="1373"/>
  <c r="AF12" i="1373"/>
  <c r="AB12" i="1373"/>
  <c r="Q12" i="1373"/>
  <c r="P12" i="1373"/>
  <c r="AC12" i="1373" s="1"/>
  <c r="O12" i="1373"/>
  <c r="M12" i="1373"/>
  <c r="AF11" i="1373"/>
  <c r="AB11" i="1373"/>
  <c r="Q11" i="1373"/>
  <c r="M11" i="1373"/>
  <c r="AF10" i="1373"/>
  <c r="AB10" i="1373"/>
  <c r="Q10" i="1373"/>
  <c r="AF9" i="1373"/>
  <c r="AB9" i="1373"/>
  <c r="Q9" i="1373"/>
  <c r="P9" i="1373"/>
  <c r="AC9" i="1373" s="1"/>
  <c r="O9" i="1373"/>
  <c r="M9" i="1373"/>
  <c r="K9" i="1373"/>
  <c r="AF8" i="1373"/>
  <c r="AB8" i="1373"/>
  <c r="Q8" i="1373"/>
  <c r="M8" i="1373"/>
  <c r="K8" i="1373"/>
  <c r="AF7" i="1373"/>
  <c r="AB7" i="1373"/>
  <c r="Q7" i="1373"/>
  <c r="P7" i="1373"/>
  <c r="AC7" i="1373" s="1"/>
  <c r="O7" i="1373"/>
  <c r="M7" i="1373"/>
  <c r="K7" i="1373"/>
  <c r="AF6" i="1373"/>
  <c r="AB6" i="1373"/>
  <c r="Q6" i="1373"/>
  <c r="P6" i="1373"/>
  <c r="AC6" i="1373" s="1"/>
  <c r="O6" i="1373"/>
  <c r="M6" i="1373"/>
  <c r="K6" i="1373"/>
  <c r="P20" i="1373" l="1"/>
  <c r="AC20" i="1373" s="1"/>
  <c r="AD20" i="1373" s="1"/>
  <c r="AD7" i="1373"/>
  <c r="AD9" i="1373"/>
  <c r="AD15" i="1373"/>
  <c r="AD14" i="1373"/>
  <c r="P16" i="1373"/>
  <c r="AC16" i="1373" s="1"/>
  <c r="P19" i="1373"/>
  <c r="AC19" i="1373" s="1"/>
  <c r="AB19" i="1373"/>
  <c r="P17" i="1373"/>
  <c r="AC17" i="1373" s="1"/>
  <c r="AD17" i="1373" s="1"/>
  <c r="K17" i="1373"/>
  <c r="M17" i="1373"/>
  <c r="P13" i="1373"/>
  <c r="AC13" i="1373" s="1"/>
  <c r="K13" i="1373"/>
  <c r="K21" i="1373" s="1"/>
  <c r="P11" i="1373"/>
  <c r="AC11" i="1373" s="1"/>
  <c r="AD11" i="1373"/>
  <c r="O11" i="1373"/>
  <c r="M10" i="1373"/>
  <c r="Q21" i="1373"/>
  <c r="P8" i="1373"/>
  <c r="AC8" i="1373" s="1"/>
  <c r="O8" i="1373"/>
  <c r="L21" i="1373"/>
  <c r="O21" i="1373" s="1"/>
  <c r="AD12" i="1373"/>
  <c r="AD6" i="1373"/>
  <c r="P10" i="1373"/>
  <c r="AC10" i="1373" s="1"/>
  <c r="AD10" i="1373" s="1"/>
  <c r="M13" i="1373"/>
  <c r="AB13" i="1373"/>
  <c r="AD13" i="1373" s="1"/>
  <c r="O16" i="1373"/>
  <c r="M18" i="1373"/>
  <c r="AB18" i="1373"/>
  <c r="O19" i="1373"/>
  <c r="O13" i="1373"/>
  <c r="O18" i="1373"/>
  <c r="M20" i="1373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I22" i="1372"/>
  <c r="L21" i="1372"/>
  <c r="K21" i="1372"/>
  <c r="AF20" i="1372"/>
  <c r="Q20" i="1372"/>
  <c r="P20" i="1372"/>
  <c r="AC20" i="1372" s="1"/>
  <c r="L20" i="1372"/>
  <c r="AB20" i="1372" s="1"/>
  <c r="K20" i="1372"/>
  <c r="L19" i="1372"/>
  <c r="L18" i="1372"/>
  <c r="K18" i="1372"/>
  <c r="L16" i="1372"/>
  <c r="M16" i="1372" s="1"/>
  <c r="L13" i="1372"/>
  <c r="AB13" i="1372" s="1"/>
  <c r="K13" i="1372"/>
  <c r="L10" i="1372"/>
  <c r="M10" i="1372" s="1"/>
  <c r="K12" i="1372"/>
  <c r="K10" i="1372"/>
  <c r="A76" i="1372"/>
  <c r="A77" i="1372" s="1"/>
  <c r="A78" i="1372" s="1"/>
  <c r="A79" i="1372" s="1"/>
  <c r="A80" i="1372" s="1"/>
  <c r="A81" i="1372" s="1"/>
  <c r="A82" i="1372" s="1"/>
  <c r="A75" i="1372"/>
  <c r="AF61" i="1372"/>
  <c r="AF60" i="1372"/>
  <c r="AF63" i="1372" s="1"/>
  <c r="AA22" i="1372"/>
  <c r="Z22" i="1372"/>
  <c r="Y22" i="1372"/>
  <c r="X22" i="1372"/>
  <c r="W22" i="1372"/>
  <c r="V22" i="1372"/>
  <c r="U22" i="1372"/>
  <c r="T22" i="1372"/>
  <c r="S22" i="1372"/>
  <c r="R22" i="1372"/>
  <c r="N22" i="1372"/>
  <c r="J22" i="1372"/>
  <c r="AF21" i="1372"/>
  <c r="AB21" i="1372"/>
  <c r="Q21" i="1372"/>
  <c r="M21" i="1372"/>
  <c r="AF19" i="1372"/>
  <c r="Q19" i="1372"/>
  <c r="O19" i="1372"/>
  <c r="M19" i="1372"/>
  <c r="AF18" i="1372"/>
  <c r="AB18" i="1372"/>
  <c r="Q18" i="1372"/>
  <c r="P18" i="1372" s="1"/>
  <c r="AC18" i="1372" s="1"/>
  <c r="O18" i="1372"/>
  <c r="M18" i="1372"/>
  <c r="AF17" i="1372"/>
  <c r="AB17" i="1372"/>
  <c r="Q17" i="1372"/>
  <c r="P17" i="1372"/>
  <c r="AC17" i="1372" s="1"/>
  <c r="O17" i="1372"/>
  <c r="M17" i="1372"/>
  <c r="K17" i="1372"/>
  <c r="AF16" i="1372"/>
  <c r="AB16" i="1372"/>
  <c r="Q16" i="1372"/>
  <c r="P16" i="1372" s="1"/>
  <c r="AC16" i="1372" s="1"/>
  <c r="O16" i="1372"/>
  <c r="AF15" i="1372"/>
  <c r="AB15" i="1372"/>
  <c r="Q15" i="1372"/>
  <c r="P15" i="1372"/>
  <c r="AC15" i="1372" s="1"/>
  <c r="O15" i="1372"/>
  <c r="M15" i="1372"/>
  <c r="K15" i="1372"/>
  <c r="AF14" i="1372"/>
  <c r="AB14" i="1372"/>
  <c r="Q14" i="1372"/>
  <c r="P14" i="1372"/>
  <c r="AC14" i="1372" s="1"/>
  <c r="O14" i="1372"/>
  <c r="M14" i="1372"/>
  <c r="K14" i="1372"/>
  <c r="AF13" i="1372"/>
  <c r="Q13" i="1372"/>
  <c r="P13" i="1372" s="1"/>
  <c r="AC13" i="1372" s="1"/>
  <c r="O13" i="1372"/>
  <c r="AF12" i="1372"/>
  <c r="AB12" i="1372"/>
  <c r="Q12" i="1372"/>
  <c r="P12" i="1372" s="1"/>
  <c r="AC12" i="1372" s="1"/>
  <c r="O12" i="1372"/>
  <c r="M12" i="1372"/>
  <c r="AF11" i="1372"/>
  <c r="AB11" i="1372"/>
  <c r="Q11" i="1372"/>
  <c r="P11" i="1372"/>
  <c r="AC11" i="1372" s="1"/>
  <c r="O11" i="1372"/>
  <c r="M11" i="1372"/>
  <c r="AF10" i="1372"/>
  <c r="AB10" i="1372"/>
  <c r="Q10" i="1372"/>
  <c r="P10" i="1372" s="1"/>
  <c r="AC10" i="1372" s="1"/>
  <c r="AF9" i="1372"/>
  <c r="AC9" i="1372"/>
  <c r="AD9" i="1372" s="1"/>
  <c r="AB9" i="1372"/>
  <c r="Q9" i="1372"/>
  <c r="P9" i="1372"/>
  <c r="O9" i="1372"/>
  <c r="M9" i="1372"/>
  <c r="K9" i="1372"/>
  <c r="AF8" i="1372"/>
  <c r="AC8" i="1372"/>
  <c r="AD8" i="1372" s="1"/>
  <c r="AB8" i="1372"/>
  <c r="Q8" i="1372"/>
  <c r="P8" i="1372"/>
  <c r="O8" i="1372"/>
  <c r="M8" i="1372"/>
  <c r="K8" i="1372"/>
  <c r="AF7" i="1372"/>
  <c r="AC7" i="1372"/>
  <c r="AB7" i="1372"/>
  <c r="Q7" i="1372"/>
  <c r="P7" i="1372"/>
  <c r="O7" i="1372"/>
  <c r="M7" i="1372"/>
  <c r="K7" i="1372"/>
  <c r="AF6" i="1372"/>
  <c r="AC6" i="1372"/>
  <c r="AB6" i="1372"/>
  <c r="Q6" i="1372"/>
  <c r="P6" i="1372"/>
  <c r="O6" i="1372"/>
  <c r="M6" i="1372"/>
  <c r="K6" i="1372"/>
  <c r="AD16" i="1373" l="1"/>
  <c r="AD19" i="1373"/>
  <c r="AD8" i="1373"/>
  <c r="AD18" i="1373"/>
  <c r="M21" i="1373"/>
  <c r="P21" i="1373"/>
  <c r="AB21" i="1373"/>
  <c r="AC21" i="1373"/>
  <c r="AD20" i="1372"/>
  <c r="O20" i="1372"/>
  <c r="AD7" i="1372"/>
  <c r="P19" i="1372"/>
  <c r="AC19" i="1372" s="1"/>
  <c r="M20" i="1372"/>
  <c r="P21" i="1372"/>
  <c r="AC21" i="1372" s="1"/>
  <c r="O21" i="1372"/>
  <c r="K19" i="1372"/>
  <c r="AD16" i="1372"/>
  <c r="K16" i="1372"/>
  <c r="K22" i="1372" s="1"/>
  <c r="L22" i="1372"/>
  <c r="O22" i="1372" s="1"/>
  <c r="M13" i="1372"/>
  <c r="M22" i="1372" s="1"/>
  <c r="Q22" i="1372"/>
  <c r="AD12" i="1372"/>
  <c r="AD18" i="1372"/>
  <c r="AD14" i="1372"/>
  <c r="AD11" i="1372"/>
  <c r="AD13" i="1372"/>
  <c r="AD17" i="1372"/>
  <c r="AD15" i="1372"/>
  <c r="AB19" i="1372"/>
  <c r="AD6" i="1372"/>
  <c r="O10" i="1372"/>
  <c r="AD10" i="1372" s="1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19" i="1371"/>
  <c r="P19" i="1371" s="1"/>
  <c r="AC19" i="1371" s="1"/>
  <c r="K18" i="1371"/>
  <c r="K17" i="1371"/>
  <c r="K13" i="1371"/>
  <c r="K11" i="1371"/>
  <c r="L10" i="1371"/>
  <c r="K20" i="1371"/>
  <c r="A75" i="1371"/>
  <c r="A76" i="1371" s="1"/>
  <c r="A77" i="1371" s="1"/>
  <c r="A78" i="1371" s="1"/>
  <c r="A79" i="1371" s="1"/>
  <c r="A80" i="1371" s="1"/>
  <c r="A81" i="1371" s="1"/>
  <c r="A74" i="1371"/>
  <c r="AF60" i="1371"/>
  <c r="AF59" i="1371"/>
  <c r="AF62" i="1371" s="1"/>
  <c r="AA21" i="1371"/>
  <c r="Z21" i="1371"/>
  <c r="Y21" i="1371"/>
  <c r="X21" i="1371"/>
  <c r="W21" i="1371"/>
  <c r="V21" i="1371"/>
  <c r="U21" i="1371"/>
  <c r="T21" i="1371"/>
  <c r="S21" i="1371"/>
  <c r="R21" i="1371"/>
  <c r="N21" i="1371"/>
  <c r="J21" i="1371"/>
  <c r="AF20" i="1371"/>
  <c r="Q20" i="1371"/>
  <c r="O20" i="1371"/>
  <c r="AF19" i="1371"/>
  <c r="Q19" i="1371"/>
  <c r="AF18" i="1371"/>
  <c r="Q18" i="1371"/>
  <c r="P18" i="1371" s="1"/>
  <c r="AC18" i="1371" s="1"/>
  <c r="O18" i="1371"/>
  <c r="AB18" i="1371"/>
  <c r="AF17" i="1371"/>
  <c r="AB17" i="1371"/>
  <c r="Q17" i="1371"/>
  <c r="O17" i="1371"/>
  <c r="M17" i="1371"/>
  <c r="P17" i="1371"/>
  <c r="AC17" i="1371" s="1"/>
  <c r="I21" i="1371"/>
  <c r="AF16" i="1371"/>
  <c r="AB16" i="1371"/>
  <c r="Q16" i="1371"/>
  <c r="P16" i="1371"/>
  <c r="AC16" i="1371" s="1"/>
  <c r="O16" i="1371"/>
  <c r="M16" i="1371"/>
  <c r="K16" i="1371"/>
  <c r="AF15" i="1371"/>
  <c r="AB15" i="1371"/>
  <c r="Q15" i="1371"/>
  <c r="P15" i="1371"/>
  <c r="AC15" i="1371" s="1"/>
  <c r="AD15" i="1371" s="1"/>
  <c r="O15" i="1371"/>
  <c r="M15" i="1371"/>
  <c r="K15" i="1371"/>
  <c r="AF14" i="1371"/>
  <c r="AB14" i="1371"/>
  <c r="Q14" i="1371"/>
  <c r="P14" i="1371"/>
  <c r="AC14" i="1371" s="1"/>
  <c r="O14" i="1371"/>
  <c r="M14" i="1371"/>
  <c r="K14" i="1371"/>
  <c r="AF13" i="1371"/>
  <c r="AB13" i="1371"/>
  <c r="Q13" i="1371"/>
  <c r="P13" i="1371" s="1"/>
  <c r="AC13" i="1371" s="1"/>
  <c r="O13" i="1371"/>
  <c r="M13" i="1371"/>
  <c r="AF12" i="1371"/>
  <c r="AB12" i="1371"/>
  <c r="Q12" i="1371"/>
  <c r="P12" i="1371" s="1"/>
  <c r="AC12" i="1371" s="1"/>
  <c r="O12" i="1371"/>
  <c r="M12" i="1371"/>
  <c r="K12" i="1371"/>
  <c r="AF11" i="1371"/>
  <c r="AB11" i="1371"/>
  <c r="Q11" i="1371"/>
  <c r="P11" i="1371" s="1"/>
  <c r="AC11" i="1371" s="1"/>
  <c r="M11" i="1371"/>
  <c r="AF10" i="1371"/>
  <c r="AB10" i="1371"/>
  <c r="Q10" i="1371"/>
  <c r="P10" i="1371" s="1"/>
  <c r="AC10" i="1371" s="1"/>
  <c r="AD10" i="1371" s="1"/>
  <c r="O10" i="1371"/>
  <c r="M10" i="1371"/>
  <c r="K10" i="1371"/>
  <c r="AF9" i="1371"/>
  <c r="AC9" i="1371"/>
  <c r="AD9" i="1371" s="1"/>
  <c r="AB9" i="1371"/>
  <c r="Q9" i="1371"/>
  <c r="P9" i="1371"/>
  <c r="O9" i="1371"/>
  <c r="M9" i="1371"/>
  <c r="K9" i="1371"/>
  <c r="AF8" i="1371"/>
  <c r="AC8" i="1371"/>
  <c r="AD8" i="1371" s="1"/>
  <c r="AB8" i="1371"/>
  <c r="Q8" i="1371"/>
  <c r="P8" i="1371"/>
  <c r="O8" i="1371"/>
  <c r="M8" i="1371"/>
  <c r="K8" i="1371"/>
  <c r="AF7" i="1371"/>
  <c r="AC7" i="1371"/>
  <c r="AD7" i="1371" s="1"/>
  <c r="AB7" i="1371"/>
  <c r="Q7" i="1371"/>
  <c r="P7" i="1371"/>
  <c r="O7" i="1371"/>
  <c r="M7" i="1371"/>
  <c r="K7" i="1371"/>
  <c r="AF6" i="1371"/>
  <c r="AC6" i="1371"/>
  <c r="AB6" i="1371"/>
  <c r="Q6" i="1371"/>
  <c r="P6" i="1371"/>
  <c r="O6" i="1371"/>
  <c r="M6" i="1371"/>
  <c r="K6" i="1371"/>
  <c r="AD21" i="1373" l="1"/>
  <c r="AE11" i="1373" s="1"/>
  <c r="AE14" i="1373"/>
  <c r="AC22" i="1372"/>
  <c r="AD19" i="1372"/>
  <c r="AD21" i="1372"/>
  <c r="AD22" i="1372" s="1"/>
  <c r="AE20" i="1372" s="1"/>
  <c r="P22" i="1372"/>
  <c r="AB22" i="1372"/>
  <c r="K19" i="1371"/>
  <c r="K21" i="1371" s="1"/>
  <c r="L21" i="1371"/>
  <c r="O21" i="1371" s="1"/>
  <c r="AB19" i="1371"/>
  <c r="AD17" i="1371"/>
  <c r="Q21" i="1371"/>
  <c r="AD14" i="1371"/>
  <c r="AD13" i="1371"/>
  <c r="AD12" i="1371"/>
  <c r="AD16" i="1371"/>
  <c r="AD18" i="1371"/>
  <c r="O11" i="1371"/>
  <c r="AD11" i="1371" s="1"/>
  <c r="M18" i="1371"/>
  <c r="O19" i="1371"/>
  <c r="P20" i="1371"/>
  <c r="AC20" i="1371" s="1"/>
  <c r="AD20" i="1371" s="1"/>
  <c r="AD6" i="1371"/>
  <c r="M20" i="1371"/>
  <c r="AB20" i="1371"/>
  <c r="AB21" i="1371" s="1"/>
  <c r="M19" i="1371"/>
  <c r="L20" i="1370"/>
  <c r="K20" i="1370" s="1"/>
  <c r="L19" i="1370"/>
  <c r="L18" i="1370"/>
  <c r="K18" i="1370" s="1"/>
  <c r="L17" i="1370"/>
  <c r="K16" i="1370"/>
  <c r="K15" i="1370"/>
  <c r="K14" i="1370"/>
  <c r="K13" i="1370"/>
  <c r="K12" i="1370"/>
  <c r="L11" i="1370"/>
  <c r="K11" i="1370" s="1"/>
  <c r="K10" i="1370"/>
  <c r="K9" i="1370"/>
  <c r="K8" i="1370"/>
  <c r="K19" i="1370"/>
  <c r="K17" i="1370"/>
  <c r="A75" i="1370"/>
  <c r="A76" i="1370" s="1"/>
  <c r="A77" i="1370" s="1"/>
  <c r="A78" i="1370" s="1"/>
  <c r="A79" i="1370" s="1"/>
  <c r="A80" i="1370" s="1"/>
  <c r="A81" i="1370" s="1"/>
  <c r="A74" i="1370"/>
  <c r="AF60" i="1370"/>
  <c r="AF59" i="1370"/>
  <c r="AF62" i="1370" s="1"/>
  <c r="AA21" i="1370"/>
  <c r="Z21" i="1370"/>
  <c r="Y21" i="1370"/>
  <c r="X21" i="1370"/>
  <c r="W21" i="1370"/>
  <c r="V21" i="1370"/>
  <c r="U21" i="1370"/>
  <c r="T21" i="1370"/>
  <c r="S21" i="1370"/>
  <c r="R21" i="1370"/>
  <c r="N21" i="1370"/>
  <c r="J21" i="1370"/>
  <c r="AF20" i="1370"/>
  <c r="Q20" i="1370"/>
  <c r="O20" i="1370"/>
  <c r="AF19" i="1370"/>
  <c r="Q19" i="1370"/>
  <c r="P19" i="1370"/>
  <c r="AC19" i="1370" s="1"/>
  <c r="AB19" i="1370"/>
  <c r="AF18" i="1370"/>
  <c r="AB18" i="1370"/>
  <c r="Q18" i="1370"/>
  <c r="P18" i="1370"/>
  <c r="AC18" i="1370" s="1"/>
  <c r="O18" i="1370"/>
  <c r="M18" i="1370"/>
  <c r="AF17" i="1370"/>
  <c r="Q17" i="1370"/>
  <c r="O17" i="1370"/>
  <c r="I17" i="1370"/>
  <c r="I21" i="1370" s="1"/>
  <c r="AF16" i="1370"/>
  <c r="Q16" i="1370"/>
  <c r="O16" i="1370"/>
  <c r="AF15" i="1370"/>
  <c r="Q15" i="1370"/>
  <c r="P15" i="1370"/>
  <c r="AC15" i="1370" s="1"/>
  <c r="AB15" i="1370"/>
  <c r="AF14" i="1370"/>
  <c r="AC14" i="1370"/>
  <c r="AB14" i="1370"/>
  <c r="Q14" i="1370"/>
  <c r="P14" i="1370"/>
  <c r="O14" i="1370"/>
  <c r="M14" i="1370"/>
  <c r="AF13" i="1370"/>
  <c r="AB13" i="1370"/>
  <c r="Q13" i="1370"/>
  <c r="P13" i="1370"/>
  <c r="AC13" i="1370" s="1"/>
  <c r="O13" i="1370"/>
  <c r="M13" i="1370"/>
  <c r="AF12" i="1370"/>
  <c r="Q12" i="1370"/>
  <c r="P12" i="1370"/>
  <c r="AC12" i="1370" s="1"/>
  <c r="O12" i="1370"/>
  <c r="AB12" i="1370"/>
  <c r="AF11" i="1370"/>
  <c r="Q11" i="1370"/>
  <c r="P11" i="1370" s="1"/>
  <c r="AC11" i="1370" s="1"/>
  <c r="M11" i="1370"/>
  <c r="AF10" i="1370"/>
  <c r="AB10" i="1370"/>
  <c r="Q10" i="1370"/>
  <c r="P10" i="1370"/>
  <c r="AC10" i="1370" s="1"/>
  <c r="O10" i="1370"/>
  <c r="M10" i="1370"/>
  <c r="AF9" i="1370"/>
  <c r="AC9" i="1370"/>
  <c r="AB9" i="1370"/>
  <c r="Q9" i="1370"/>
  <c r="P9" i="1370"/>
  <c r="O9" i="1370"/>
  <c r="M9" i="1370"/>
  <c r="AF8" i="1370"/>
  <c r="Q8" i="1370"/>
  <c r="P8" i="1370"/>
  <c r="AC8" i="1370" s="1"/>
  <c r="AB8" i="1370"/>
  <c r="AF7" i="1370"/>
  <c r="AC7" i="1370"/>
  <c r="AD7" i="1370" s="1"/>
  <c r="AB7" i="1370"/>
  <c r="Q7" i="1370"/>
  <c r="P7" i="1370"/>
  <c r="O7" i="1370"/>
  <c r="M7" i="1370"/>
  <c r="K7" i="1370"/>
  <c r="AF6" i="1370"/>
  <c r="AB6" i="1370"/>
  <c r="Q6" i="1370"/>
  <c r="P6" i="1370"/>
  <c r="AC6" i="1370" s="1"/>
  <c r="O6" i="1370"/>
  <c r="M6" i="1370"/>
  <c r="K6" i="1370"/>
  <c r="AE19" i="1373" l="1"/>
  <c r="AE6" i="1373"/>
  <c r="AE12" i="1373"/>
  <c r="AE18" i="1373"/>
  <c r="AE20" i="1373"/>
  <c r="AE7" i="1373"/>
  <c r="AE10" i="1373"/>
  <c r="AE9" i="1373"/>
  <c r="AE17" i="1373"/>
  <c r="AE16" i="1373"/>
  <c r="AE8" i="1373"/>
  <c r="AE13" i="1373"/>
  <c r="AE15" i="1373"/>
  <c r="AE19" i="1372"/>
  <c r="AE6" i="1372"/>
  <c r="AE17" i="1372"/>
  <c r="AE15" i="1372"/>
  <c r="AE13" i="1372"/>
  <c r="AE11" i="1372"/>
  <c r="AE21" i="1372"/>
  <c r="AE7" i="1372"/>
  <c r="AE18" i="1372"/>
  <c r="AE16" i="1372"/>
  <c r="AE14" i="1372"/>
  <c r="AE12" i="1372"/>
  <c r="AE10" i="1372"/>
  <c r="AE8" i="1372"/>
  <c r="AE9" i="1372"/>
  <c r="AD19" i="1371"/>
  <c r="M21" i="1371"/>
  <c r="AC21" i="1371"/>
  <c r="AD21" i="1371"/>
  <c r="P21" i="1371"/>
  <c r="AD18" i="1370"/>
  <c r="AB11" i="1370"/>
  <c r="AD11" i="1370" s="1"/>
  <c r="O11" i="1370"/>
  <c r="Q21" i="1370"/>
  <c r="AD14" i="1370"/>
  <c r="AD9" i="1370"/>
  <c r="AD10" i="1370"/>
  <c r="AD13" i="1370"/>
  <c r="AD6" i="1370"/>
  <c r="AD12" i="1370"/>
  <c r="O8" i="1370"/>
  <c r="AD8" i="1370" s="1"/>
  <c r="M12" i="1370"/>
  <c r="O15" i="1370"/>
  <c r="AD15" i="1370" s="1"/>
  <c r="P16" i="1370"/>
  <c r="AC16" i="1370" s="1"/>
  <c r="K21" i="1370"/>
  <c r="P17" i="1370"/>
  <c r="AC17" i="1370" s="1"/>
  <c r="O19" i="1370"/>
  <c r="AD19" i="1370" s="1"/>
  <c r="P20" i="1370"/>
  <c r="AC20" i="1370" s="1"/>
  <c r="AD20" i="1370" s="1"/>
  <c r="M16" i="1370"/>
  <c r="AB16" i="1370"/>
  <c r="M17" i="1370"/>
  <c r="AB17" i="1370"/>
  <c r="M20" i="1370"/>
  <c r="AB20" i="1370"/>
  <c r="L21" i="1370"/>
  <c r="O21" i="1370" s="1"/>
  <c r="M8" i="1370"/>
  <c r="M15" i="1370"/>
  <c r="M19" i="1370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0" i="1369"/>
  <c r="K20" i="1369" s="1"/>
  <c r="L19" i="1369"/>
  <c r="L17" i="1369"/>
  <c r="K17" i="1369" s="1"/>
  <c r="L16" i="1369"/>
  <c r="O16" i="1369" s="1"/>
  <c r="K16" i="1369"/>
  <c r="L15" i="1369"/>
  <c r="K15" i="1369"/>
  <c r="L12" i="1369"/>
  <c r="K12" i="1369" s="1"/>
  <c r="L8" i="1369"/>
  <c r="O8" i="1369" s="1"/>
  <c r="K8" i="1369"/>
  <c r="K19" i="1369"/>
  <c r="K18" i="1369"/>
  <c r="K11" i="1369"/>
  <c r="K9" i="1369"/>
  <c r="A75" i="1369"/>
  <c r="A76" i="1369" s="1"/>
  <c r="A77" i="1369" s="1"/>
  <c r="A78" i="1369" s="1"/>
  <c r="A79" i="1369" s="1"/>
  <c r="A80" i="1369" s="1"/>
  <c r="A81" i="1369" s="1"/>
  <c r="A74" i="1369"/>
  <c r="AF60" i="1369"/>
  <c r="AF59" i="1369"/>
  <c r="AF62" i="1369" s="1"/>
  <c r="AA21" i="1369"/>
  <c r="Z21" i="1369"/>
  <c r="Y21" i="1369"/>
  <c r="X21" i="1369"/>
  <c r="W21" i="1369"/>
  <c r="V21" i="1369"/>
  <c r="U21" i="1369"/>
  <c r="T21" i="1369"/>
  <c r="S21" i="1369"/>
  <c r="R21" i="1369"/>
  <c r="N21" i="1369"/>
  <c r="J21" i="1369"/>
  <c r="AF20" i="1369"/>
  <c r="Q20" i="1369"/>
  <c r="O20" i="1369"/>
  <c r="AF19" i="1369"/>
  <c r="Q19" i="1369"/>
  <c r="AB19" i="1369"/>
  <c r="AF18" i="1369"/>
  <c r="AB18" i="1369"/>
  <c r="Q18" i="1369"/>
  <c r="P18" i="1369"/>
  <c r="AC18" i="1369" s="1"/>
  <c r="AD18" i="1369" s="1"/>
  <c r="O18" i="1369"/>
  <c r="M18" i="1369"/>
  <c r="AF17" i="1369"/>
  <c r="Q17" i="1369"/>
  <c r="O17" i="1369"/>
  <c r="I17" i="1369"/>
  <c r="I21" i="1369" s="1"/>
  <c r="AF16" i="1369"/>
  <c r="Q16" i="1369"/>
  <c r="P16" i="1369"/>
  <c r="AC16" i="1369" s="1"/>
  <c r="AF15" i="1369"/>
  <c r="AB15" i="1369"/>
  <c r="Q15" i="1369"/>
  <c r="M15" i="1369"/>
  <c r="AF14" i="1369"/>
  <c r="AB14" i="1369"/>
  <c r="Q14" i="1369"/>
  <c r="P14" i="1369"/>
  <c r="AC14" i="1369" s="1"/>
  <c r="O14" i="1369"/>
  <c r="M14" i="1369"/>
  <c r="K14" i="1369"/>
  <c r="AF13" i="1369"/>
  <c r="AC13" i="1369"/>
  <c r="AB13" i="1369"/>
  <c r="Q13" i="1369"/>
  <c r="P13" i="1369"/>
  <c r="O13" i="1369"/>
  <c r="M13" i="1369"/>
  <c r="K13" i="1369"/>
  <c r="AF12" i="1369"/>
  <c r="Q12" i="1369"/>
  <c r="O12" i="1369"/>
  <c r="AF11" i="1369"/>
  <c r="AB11" i="1369"/>
  <c r="Q11" i="1369"/>
  <c r="P11" i="1369"/>
  <c r="AC11" i="1369" s="1"/>
  <c r="O11" i="1369"/>
  <c r="M11" i="1369"/>
  <c r="AF10" i="1369"/>
  <c r="AB10" i="1369"/>
  <c r="Q10" i="1369"/>
  <c r="P10" i="1369"/>
  <c r="AC10" i="1369" s="1"/>
  <c r="O10" i="1369"/>
  <c r="M10" i="1369"/>
  <c r="K10" i="1369"/>
  <c r="AF9" i="1369"/>
  <c r="AB9" i="1369"/>
  <c r="Q9" i="1369"/>
  <c r="P9" i="1369"/>
  <c r="AC9" i="1369" s="1"/>
  <c r="O9" i="1369"/>
  <c r="M9" i="1369"/>
  <c r="AF8" i="1369"/>
  <c r="AB8" i="1369"/>
  <c r="Q8" i="1369"/>
  <c r="P8" i="1369"/>
  <c r="AC8" i="1369" s="1"/>
  <c r="AD8" i="1369" s="1"/>
  <c r="M8" i="1369"/>
  <c r="AF7" i="1369"/>
  <c r="AB7" i="1369"/>
  <c r="Q7" i="1369"/>
  <c r="P7" i="1369"/>
  <c r="AC7" i="1369" s="1"/>
  <c r="AD7" i="1369" s="1"/>
  <c r="O7" i="1369"/>
  <c r="M7" i="1369"/>
  <c r="K7" i="1369"/>
  <c r="AF6" i="1369"/>
  <c r="AC6" i="1369"/>
  <c r="AB6" i="1369"/>
  <c r="Q6" i="1369"/>
  <c r="P6" i="1369"/>
  <c r="O6" i="1369"/>
  <c r="M6" i="1369"/>
  <c r="K6" i="1369"/>
  <c r="AE18" i="1371" l="1"/>
  <c r="AE10" i="1371"/>
  <c r="AE9" i="1371"/>
  <c r="AE7" i="1371"/>
  <c r="AE19" i="1371"/>
  <c r="AE15" i="1371"/>
  <c r="AE13" i="1371"/>
  <c r="AE11" i="1371"/>
  <c r="AE20" i="1371"/>
  <c r="AE17" i="1371"/>
  <c r="AE16" i="1371"/>
  <c r="AE14" i="1371"/>
  <c r="AE12" i="1371"/>
  <c r="AE8" i="1371"/>
  <c r="AE6" i="1371"/>
  <c r="M21" i="1370"/>
  <c r="P21" i="1370"/>
  <c r="AD16" i="1370"/>
  <c r="AB21" i="1370"/>
  <c r="AD17" i="1370"/>
  <c r="AC21" i="1370"/>
  <c r="L21" i="1369"/>
  <c r="O21" i="1369" s="1"/>
  <c r="P19" i="1369"/>
  <c r="AC19" i="1369" s="1"/>
  <c r="M16" i="1369"/>
  <c r="AB16" i="1369"/>
  <c r="Q21" i="1369"/>
  <c r="P15" i="1369"/>
  <c r="AC15" i="1369" s="1"/>
  <c r="O15" i="1369"/>
  <c r="AD13" i="1369"/>
  <c r="AD16" i="1369"/>
  <c r="AD10" i="1369"/>
  <c r="AD14" i="1369"/>
  <c r="AD9" i="1369"/>
  <c r="AD11" i="1369"/>
  <c r="K21" i="1369"/>
  <c r="P12" i="1369"/>
  <c r="AC12" i="1369" s="1"/>
  <c r="P17" i="1369"/>
  <c r="AC17" i="1369" s="1"/>
  <c r="O19" i="1369"/>
  <c r="AD19" i="1369" s="1"/>
  <c r="P20" i="1369"/>
  <c r="AC20" i="1369" s="1"/>
  <c r="AD20" i="1369" s="1"/>
  <c r="AD6" i="1369"/>
  <c r="M12" i="1369"/>
  <c r="AB12" i="1369"/>
  <c r="M17" i="1369"/>
  <c r="AB17" i="1369"/>
  <c r="M20" i="1369"/>
  <c r="AB20" i="1369"/>
  <c r="M19" i="1369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0" i="1368"/>
  <c r="L19" i="1368"/>
  <c r="K19" i="1368" s="1"/>
  <c r="L17" i="1368"/>
  <c r="L12" i="1368"/>
  <c r="K12" i="1368"/>
  <c r="K11" i="1368"/>
  <c r="L9" i="1368"/>
  <c r="K20" i="1368"/>
  <c r="K18" i="1368"/>
  <c r="K17" i="1368"/>
  <c r="K9" i="1368"/>
  <c r="A75" i="1368"/>
  <c r="A76" i="1368" s="1"/>
  <c r="A77" i="1368" s="1"/>
  <c r="A78" i="1368" s="1"/>
  <c r="A79" i="1368" s="1"/>
  <c r="A80" i="1368" s="1"/>
  <c r="A81" i="1368" s="1"/>
  <c r="A74" i="1368"/>
  <c r="AF60" i="1368"/>
  <c r="AF59" i="1368"/>
  <c r="AF62" i="1368" s="1"/>
  <c r="AA21" i="1368"/>
  <c r="Z21" i="1368"/>
  <c r="Y21" i="1368"/>
  <c r="X21" i="1368"/>
  <c r="W21" i="1368"/>
  <c r="V21" i="1368"/>
  <c r="U21" i="1368"/>
  <c r="T21" i="1368"/>
  <c r="S21" i="1368"/>
  <c r="R21" i="1368"/>
  <c r="N21" i="1368"/>
  <c r="J21" i="1368"/>
  <c r="AF20" i="1368"/>
  <c r="Q20" i="1368"/>
  <c r="O20" i="1368"/>
  <c r="AF19" i="1368"/>
  <c r="Q19" i="1368"/>
  <c r="AB19" i="1368"/>
  <c r="AF18" i="1368"/>
  <c r="Q18" i="1368"/>
  <c r="P18" i="1368" s="1"/>
  <c r="AC18" i="1368" s="1"/>
  <c r="O18" i="1368"/>
  <c r="AB18" i="1368"/>
  <c r="AF17" i="1368"/>
  <c r="AB17" i="1368"/>
  <c r="Q17" i="1368"/>
  <c r="M17" i="1368"/>
  <c r="I17" i="1368"/>
  <c r="I21" i="1368" s="1"/>
  <c r="AF16" i="1368"/>
  <c r="AB16" i="1368"/>
  <c r="Q16" i="1368"/>
  <c r="P16" i="1368"/>
  <c r="AC16" i="1368" s="1"/>
  <c r="AD16" i="1368" s="1"/>
  <c r="O16" i="1368"/>
  <c r="M16" i="1368"/>
  <c r="K16" i="1368"/>
  <c r="AF15" i="1368"/>
  <c r="AB15" i="1368"/>
  <c r="Q15" i="1368"/>
  <c r="P15" i="1368"/>
  <c r="AC15" i="1368" s="1"/>
  <c r="O15" i="1368"/>
  <c r="M15" i="1368"/>
  <c r="K15" i="1368"/>
  <c r="AF14" i="1368"/>
  <c r="AC14" i="1368"/>
  <c r="AD14" i="1368" s="1"/>
  <c r="AB14" i="1368"/>
  <c r="Q14" i="1368"/>
  <c r="P14" i="1368"/>
  <c r="O14" i="1368"/>
  <c r="M14" i="1368"/>
  <c r="K14" i="1368"/>
  <c r="AF13" i="1368"/>
  <c r="AB13" i="1368"/>
  <c r="Q13" i="1368"/>
  <c r="P13" i="1368"/>
  <c r="AC13" i="1368" s="1"/>
  <c r="O13" i="1368"/>
  <c r="M13" i="1368"/>
  <c r="K13" i="1368"/>
  <c r="AF12" i="1368"/>
  <c r="AB12" i="1368"/>
  <c r="Q12" i="1368"/>
  <c r="P12" i="1368"/>
  <c r="AC12" i="1368" s="1"/>
  <c r="O12" i="1368"/>
  <c r="M12" i="1368"/>
  <c r="AF11" i="1368"/>
  <c r="AB11" i="1368"/>
  <c r="Q11" i="1368"/>
  <c r="P11" i="1368"/>
  <c r="AC11" i="1368" s="1"/>
  <c r="O11" i="1368"/>
  <c r="M11" i="1368"/>
  <c r="AF10" i="1368"/>
  <c r="AB10" i="1368"/>
  <c r="Q10" i="1368"/>
  <c r="P10" i="1368"/>
  <c r="AC10" i="1368" s="1"/>
  <c r="AD10" i="1368" s="1"/>
  <c r="O10" i="1368"/>
  <c r="M10" i="1368"/>
  <c r="K10" i="1368"/>
  <c r="AF9" i="1368"/>
  <c r="AB9" i="1368"/>
  <c r="Q9" i="1368"/>
  <c r="P9" i="1368"/>
  <c r="AC9" i="1368" s="1"/>
  <c r="O9" i="1368"/>
  <c r="M9" i="1368"/>
  <c r="AF8" i="1368"/>
  <c r="AC8" i="1368"/>
  <c r="AD8" i="1368" s="1"/>
  <c r="AB8" i="1368"/>
  <c r="Q8" i="1368"/>
  <c r="P8" i="1368"/>
  <c r="O8" i="1368"/>
  <c r="M8" i="1368"/>
  <c r="K8" i="1368"/>
  <c r="AF7" i="1368"/>
  <c r="AB7" i="1368"/>
  <c r="Q7" i="1368"/>
  <c r="P7" i="1368"/>
  <c r="AC7" i="1368" s="1"/>
  <c r="AD7" i="1368" s="1"/>
  <c r="O7" i="1368"/>
  <c r="M7" i="1368"/>
  <c r="K7" i="1368"/>
  <c r="AF6" i="1368"/>
  <c r="AC6" i="1368"/>
  <c r="AB6" i="1368"/>
  <c r="Q6" i="1368"/>
  <c r="P6" i="1368"/>
  <c r="O6" i="1368"/>
  <c r="M6" i="1368"/>
  <c r="K6" i="1368"/>
  <c r="AD21" i="1370" l="1"/>
  <c r="AE18" i="1370" s="1"/>
  <c r="AD15" i="1369"/>
  <c r="AB21" i="1369"/>
  <c r="M21" i="1369"/>
  <c r="AD12" i="1369"/>
  <c r="P21" i="1369"/>
  <c r="AD17" i="1369"/>
  <c r="AC21" i="1369"/>
  <c r="P19" i="1368"/>
  <c r="AC19" i="1368" s="1"/>
  <c r="P17" i="1368"/>
  <c r="AC17" i="1368" s="1"/>
  <c r="O17" i="1368"/>
  <c r="AD17" i="1368" s="1"/>
  <c r="AD12" i="1368"/>
  <c r="AD11" i="1368"/>
  <c r="Q21" i="1368"/>
  <c r="AD15" i="1368"/>
  <c r="AD13" i="1368"/>
  <c r="AD9" i="1368"/>
  <c r="AD18" i="1368"/>
  <c r="M18" i="1368"/>
  <c r="O19" i="1368"/>
  <c r="K21" i="1368"/>
  <c r="P20" i="1368"/>
  <c r="AC20" i="1368" s="1"/>
  <c r="AD20" i="1368" s="1"/>
  <c r="M20" i="1368"/>
  <c r="AB20" i="1368"/>
  <c r="AB21" i="1368" s="1"/>
  <c r="L21" i="1368"/>
  <c r="O21" i="1368" s="1"/>
  <c r="AD6" i="1368"/>
  <c r="M19" i="1368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0" i="1367"/>
  <c r="L18" i="1367"/>
  <c r="K18" i="1367"/>
  <c r="L19" i="1367"/>
  <c r="AB19" i="1367" s="1"/>
  <c r="AF19" i="1367"/>
  <c r="Q19" i="1367"/>
  <c r="P19" i="1367" s="1"/>
  <c r="AC19" i="1367" s="1"/>
  <c r="O19" i="1367"/>
  <c r="K19" i="1367"/>
  <c r="L17" i="1367"/>
  <c r="K17" i="1367"/>
  <c r="I17" i="1367"/>
  <c r="I21" i="1367" s="1"/>
  <c r="K12" i="1367"/>
  <c r="K9" i="1367"/>
  <c r="K20" i="1367"/>
  <c r="K16" i="1367"/>
  <c r="K13" i="1367"/>
  <c r="A74" i="1367"/>
  <c r="A75" i="1367" s="1"/>
  <c r="A76" i="1367" s="1"/>
  <c r="A77" i="1367" s="1"/>
  <c r="A78" i="1367" s="1"/>
  <c r="A79" i="1367" s="1"/>
  <c r="A80" i="1367" s="1"/>
  <c r="A81" i="1367" s="1"/>
  <c r="AF62" i="1367"/>
  <c r="AF60" i="1367"/>
  <c r="AF59" i="1367"/>
  <c r="AA21" i="1367"/>
  <c r="Z21" i="1367"/>
  <c r="Y21" i="1367"/>
  <c r="X21" i="1367"/>
  <c r="W21" i="1367"/>
  <c r="V21" i="1367"/>
  <c r="U21" i="1367"/>
  <c r="T21" i="1367"/>
  <c r="S21" i="1367"/>
  <c r="R21" i="1367"/>
  <c r="N21" i="1367"/>
  <c r="J21" i="1367"/>
  <c r="AF20" i="1367"/>
  <c r="Q20" i="1367"/>
  <c r="O20" i="1367"/>
  <c r="AF18" i="1367"/>
  <c r="Q18" i="1367"/>
  <c r="P18" i="1367"/>
  <c r="AC18" i="1367" s="1"/>
  <c r="AF17" i="1367"/>
  <c r="AB17" i="1367"/>
  <c r="Q17" i="1367"/>
  <c r="P17" i="1367" s="1"/>
  <c r="AC17" i="1367" s="1"/>
  <c r="O17" i="1367"/>
  <c r="M17" i="1367"/>
  <c r="AF16" i="1367"/>
  <c r="AB16" i="1367"/>
  <c r="Q16" i="1367"/>
  <c r="O16" i="1367"/>
  <c r="M16" i="1367"/>
  <c r="P16" i="1367"/>
  <c r="AC16" i="1367" s="1"/>
  <c r="AF15" i="1367"/>
  <c r="AB15" i="1367"/>
  <c r="Q15" i="1367"/>
  <c r="P15" i="1367"/>
  <c r="AC15" i="1367" s="1"/>
  <c r="O15" i="1367"/>
  <c r="M15" i="1367"/>
  <c r="K15" i="1367"/>
  <c r="AF14" i="1367"/>
  <c r="AB14" i="1367"/>
  <c r="Q14" i="1367"/>
  <c r="P14" i="1367"/>
  <c r="AC14" i="1367" s="1"/>
  <c r="AD14" i="1367" s="1"/>
  <c r="O14" i="1367"/>
  <c r="M14" i="1367"/>
  <c r="K14" i="1367"/>
  <c r="AF13" i="1367"/>
  <c r="Q13" i="1367"/>
  <c r="P13" i="1367"/>
  <c r="AC13" i="1367" s="1"/>
  <c r="AF12" i="1367"/>
  <c r="Q12" i="1367"/>
  <c r="P12" i="1367"/>
  <c r="AC12" i="1367" s="1"/>
  <c r="O12" i="1367"/>
  <c r="AF11" i="1367"/>
  <c r="AB11" i="1367"/>
  <c r="Q11" i="1367"/>
  <c r="P11" i="1367"/>
  <c r="AC11" i="1367" s="1"/>
  <c r="AD11" i="1367" s="1"/>
  <c r="O11" i="1367"/>
  <c r="M11" i="1367"/>
  <c r="K11" i="1367"/>
  <c r="AF10" i="1367"/>
  <c r="AB10" i="1367"/>
  <c r="Q10" i="1367"/>
  <c r="P10" i="1367"/>
  <c r="AC10" i="1367" s="1"/>
  <c r="AD10" i="1367" s="1"/>
  <c r="O10" i="1367"/>
  <c r="M10" i="1367"/>
  <c r="K10" i="1367"/>
  <c r="AF9" i="1367"/>
  <c r="AB9" i="1367"/>
  <c r="Q9" i="1367"/>
  <c r="P9" i="1367"/>
  <c r="AC9" i="1367" s="1"/>
  <c r="AD9" i="1367" s="1"/>
  <c r="O9" i="1367"/>
  <c r="M9" i="1367"/>
  <c r="AF8" i="1367"/>
  <c r="AB8" i="1367"/>
  <c r="Q8" i="1367"/>
  <c r="P8" i="1367"/>
  <c r="AC8" i="1367" s="1"/>
  <c r="AD8" i="1367" s="1"/>
  <c r="O8" i="1367"/>
  <c r="M8" i="1367"/>
  <c r="K8" i="1367"/>
  <c r="AF7" i="1367"/>
  <c r="AC7" i="1367"/>
  <c r="AD7" i="1367" s="1"/>
  <c r="AB7" i="1367"/>
  <c r="Q7" i="1367"/>
  <c r="P7" i="1367"/>
  <c r="O7" i="1367"/>
  <c r="M7" i="1367"/>
  <c r="K7" i="1367"/>
  <c r="AF6" i="1367"/>
  <c r="AB6" i="1367"/>
  <c r="Q6" i="1367"/>
  <c r="P6" i="1367"/>
  <c r="O6" i="1367"/>
  <c r="M6" i="1367"/>
  <c r="K6" i="1367"/>
  <c r="AE10" i="1370" l="1"/>
  <c r="AE19" i="1370"/>
  <c r="AE7" i="1370"/>
  <c r="AE6" i="1370"/>
  <c r="AE9" i="1370"/>
  <c r="AE16" i="1370"/>
  <c r="AE12" i="1370"/>
  <c r="AE13" i="1370"/>
  <c r="AE11" i="1370"/>
  <c r="AE17" i="1370"/>
  <c r="AE14" i="1370"/>
  <c r="AE8" i="1370"/>
  <c r="AE15" i="1370"/>
  <c r="AE20" i="1370"/>
  <c r="AD21" i="1369"/>
  <c r="AE18" i="1369" s="1"/>
  <c r="AD19" i="1368"/>
  <c r="AD21" i="1368" s="1"/>
  <c r="M21" i="1368"/>
  <c r="P21" i="1368"/>
  <c r="AC21" i="1368"/>
  <c r="P20" i="1367"/>
  <c r="AC20" i="1367" s="1"/>
  <c r="AD19" i="1367"/>
  <c r="M19" i="1367"/>
  <c r="AD17" i="1367"/>
  <c r="Q21" i="1367"/>
  <c r="AD15" i="1367"/>
  <c r="AD16" i="1367"/>
  <c r="AD12" i="1367"/>
  <c r="M13" i="1367"/>
  <c r="AB13" i="1367"/>
  <c r="M18" i="1367"/>
  <c r="AB18" i="1367"/>
  <c r="AC6" i="1367"/>
  <c r="M12" i="1367"/>
  <c r="AB12" i="1367"/>
  <c r="O13" i="1367"/>
  <c r="O18" i="1367"/>
  <c r="M20" i="1367"/>
  <c r="AB20" i="1367"/>
  <c r="L21" i="1367"/>
  <c r="O21" i="1367" s="1"/>
  <c r="K21" i="1367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0" i="1366"/>
  <c r="AB20" i="1366" s="1"/>
  <c r="K20" i="1366"/>
  <c r="L18" i="1366"/>
  <c r="L16" i="1366"/>
  <c r="L13" i="1366"/>
  <c r="K13" i="1366" s="1"/>
  <c r="L12" i="1366"/>
  <c r="O12" i="1366" s="1"/>
  <c r="K12" i="1366"/>
  <c r="K18" i="1366"/>
  <c r="K17" i="1366"/>
  <c r="K16" i="1366"/>
  <c r="K14" i="1366"/>
  <c r="K10" i="1366"/>
  <c r="A74" i="1366"/>
  <c r="A75" i="1366" s="1"/>
  <c r="A76" i="1366" s="1"/>
  <c r="A77" i="1366" s="1"/>
  <c r="A78" i="1366" s="1"/>
  <c r="A79" i="1366" s="1"/>
  <c r="A80" i="1366" s="1"/>
  <c r="A81" i="1366" s="1"/>
  <c r="AF62" i="1366"/>
  <c r="AF60" i="1366"/>
  <c r="AF59" i="1366"/>
  <c r="AA21" i="1366"/>
  <c r="Z21" i="1366"/>
  <c r="Y21" i="1366"/>
  <c r="X21" i="1366"/>
  <c r="W21" i="1366"/>
  <c r="V21" i="1366"/>
  <c r="U21" i="1366"/>
  <c r="T21" i="1366"/>
  <c r="S21" i="1366"/>
  <c r="R21" i="1366"/>
  <c r="N21" i="1366"/>
  <c r="J21" i="1366"/>
  <c r="I21" i="1366"/>
  <c r="AF20" i="1366"/>
  <c r="Q20" i="1366"/>
  <c r="P20" i="1366" s="1"/>
  <c r="AC20" i="1366" s="1"/>
  <c r="O20" i="1366"/>
  <c r="M20" i="1366"/>
  <c r="AF19" i="1366"/>
  <c r="AB19" i="1366"/>
  <c r="Q19" i="1366"/>
  <c r="P19" i="1366"/>
  <c r="AC19" i="1366" s="1"/>
  <c r="AD19" i="1366" s="1"/>
  <c r="O19" i="1366"/>
  <c r="M19" i="1366"/>
  <c r="K19" i="1366"/>
  <c r="AF18" i="1366"/>
  <c r="AB18" i="1366"/>
  <c r="Q18" i="1366"/>
  <c r="P18" i="1366" s="1"/>
  <c r="AC18" i="1366" s="1"/>
  <c r="M18" i="1366"/>
  <c r="O18" i="1366"/>
  <c r="AF17" i="1366"/>
  <c r="AB17" i="1366"/>
  <c r="Q17" i="1366"/>
  <c r="O17" i="1366"/>
  <c r="M17" i="1366"/>
  <c r="P17" i="1366"/>
  <c r="AC17" i="1366" s="1"/>
  <c r="AF16" i="1366"/>
  <c r="Q16" i="1366"/>
  <c r="P16" i="1366"/>
  <c r="AC16" i="1366" s="1"/>
  <c r="AF15" i="1366"/>
  <c r="AB15" i="1366"/>
  <c r="Q15" i="1366"/>
  <c r="P15" i="1366"/>
  <c r="AC15" i="1366" s="1"/>
  <c r="O15" i="1366"/>
  <c r="M15" i="1366"/>
  <c r="K15" i="1366"/>
  <c r="AF14" i="1366"/>
  <c r="AB14" i="1366"/>
  <c r="Q14" i="1366"/>
  <c r="P14" i="1366" s="1"/>
  <c r="AC14" i="1366" s="1"/>
  <c r="O14" i="1366"/>
  <c r="M14" i="1366"/>
  <c r="AF13" i="1366"/>
  <c r="Q13" i="1366"/>
  <c r="P13" i="1366"/>
  <c r="AC13" i="1366" s="1"/>
  <c r="O13" i="1366"/>
  <c r="AF12" i="1366"/>
  <c r="Q12" i="1366"/>
  <c r="P12" i="1366"/>
  <c r="AC12" i="1366" s="1"/>
  <c r="AF11" i="1366"/>
  <c r="AB11" i="1366"/>
  <c r="Q11" i="1366"/>
  <c r="P11" i="1366"/>
  <c r="AC11" i="1366" s="1"/>
  <c r="O11" i="1366"/>
  <c r="M11" i="1366"/>
  <c r="K11" i="1366"/>
  <c r="AF10" i="1366"/>
  <c r="AC10" i="1366"/>
  <c r="Q10" i="1366"/>
  <c r="P10" i="1366"/>
  <c r="O10" i="1366"/>
  <c r="AF9" i="1366"/>
  <c r="AC9" i="1366"/>
  <c r="AD9" i="1366" s="1"/>
  <c r="AB9" i="1366"/>
  <c r="Q9" i="1366"/>
  <c r="P9" i="1366"/>
  <c r="O9" i="1366"/>
  <c r="M9" i="1366"/>
  <c r="K9" i="1366"/>
  <c r="AF8" i="1366"/>
  <c r="AB8" i="1366"/>
  <c r="Q8" i="1366"/>
  <c r="P8" i="1366"/>
  <c r="AC8" i="1366" s="1"/>
  <c r="AD8" i="1366" s="1"/>
  <c r="O8" i="1366"/>
  <c r="M8" i="1366"/>
  <c r="K8" i="1366"/>
  <c r="AF7" i="1366"/>
  <c r="AC7" i="1366"/>
  <c r="AD7" i="1366" s="1"/>
  <c r="AB7" i="1366"/>
  <c r="Q7" i="1366"/>
  <c r="P7" i="1366"/>
  <c r="O7" i="1366"/>
  <c r="M7" i="1366"/>
  <c r="K7" i="1366"/>
  <c r="AF6" i="1366"/>
  <c r="AB6" i="1366"/>
  <c r="Q6" i="1366"/>
  <c r="P6" i="1366"/>
  <c r="O6" i="1366"/>
  <c r="M6" i="1366"/>
  <c r="K6" i="1366"/>
  <c r="AE20" i="1369" l="1"/>
  <c r="AE7" i="1369"/>
  <c r="AE8" i="1369"/>
  <c r="AE12" i="1369"/>
  <c r="AE9" i="1369"/>
  <c r="AE14" i="1369"/>
  <c r="AE13" i="1369"/>
  <c r="AE10" i="1369"/>
  <c r="AE11" i="1369"/>
  <c r="AE17" i="1369"/>
  <c r="AE15" i="1369"/>
  <c r="AE16" i="1369"/>
  <c r="AE19" i="1369"/>
  <c r="AE6" i="1369"/>
  <c r="AE18" i="1368"/>
  <c r="AE9" i="1368"/>
  <c r="AE7" i="1368"/>
  <c r="AE20" i="1368"/>
  <c r="AE19" i="1368"/>
  <c r="AE17" i="1368"/>
  <c r="AE16" i="1368"/>
  <c r="AE14" i="1368"/>
  <c r="AE12" i="1368"/>
  <c r="AE10" i="1368"/>
  <c r="AE8" i="1368"/>
  <c r="AE6" i="1368"/>
  <c r="AE15" i="1368"/>
  <c r="AE13" i="1368"/>
  <c r="AE11" i="1368"/>
  <c r="AD20" i="1367"/>
  <c r="AD21" i="1367" s="1"/>
  <c r="P21" i="1367"/>
  <c r="AD18" i="1367"/>
  <c r="AB21" i="1367"/>
  <c r="M21" i="1367"/>
  <c r="AD13" i="1367"/>
  <c r="AC21" i="1367"/>
  <c r="AD6" i="1367"/>
  <c r="AD20" i="1366"/>
  <c r="AD18" i="1366"/>
  <c r="Q21" i="1366"/>
  <c r="L21" i="1366"/>
  <c r="O21" i="1366" s="1"/>
  <c r="M12" i="1366"/>
  <c r="AB12" i="1366"/>
  <c r="AD12" i="1366" s="1"/>
  <c r="AD17" i="1366"/>
  <c r="AD11" i="1366"/>
  <c r="AD15" i="1366"/>
  <c r="AD14" i="1366"/>
  <c r="P21" i="1366"/>
  <c r="M16" i="1366"/>
  <c r="AB16" i="1366"/>
  <c r="M13" i="1366"/>
  <c r="AB13" i="1366"/>
  <c r="AD13" i="1366" s="1"/>
  <c r="O16" i="1366"/>
  <c r="AC6" i="1366"/>
  <c r="M10" i="1366"/>
  <c r="AB10" i="1366"/>
  <c r="AD10" i="1366" s="1"/>
  <c r="K21" i="1366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18" i="1365"/>
  <c r="L17" i="1365"/>
  <c r="O17" i="1365" s="1"/>
  <c r="L16" i="1365"/>
  <c r="K16" i="1365"/>
  <c r="K14" i="1365"/>
  <c r="L13" i="1365"/>
  <c r="K13" i="1365"/>
  <c r="L10" i="1365"/>
  <c r="K18" i="1365"/>
  <c r="K17" i="1365"/>
  <c r="K15" i="1365"/>
  <c r="K11" i="1365"/>
  <c r="K10" i="1365"/>
  <c r="A75" i="1365"/>
  <c r="A76" i="1365" s="1"/>
  <c r="A77" i="1365" s="1"/>
  <c r="A78" i="1365" s="1"/>
  <c r="A79" i="1365" s="1"/>
  <c r="A80" i="1365" s="1"/>
  <c r="A81" i="1365" s="1"/>
  <c r="A74" i="1365"/>
  <c r="AF60" i="1365"/>
  <c r="AF59" i="1365"/>
  <c r="AF62" i="1365" s="1"/>
  <c r="AA21" i="1365"/>
  <c r="Z21" i="1365"/>
  <c r="Y21" i="1365"/>
  <c r="X21" i="1365"/>
  <c r="W21" i="1365"/>
  <c r="V21" i="1365"/>
  <c r="U21" i="1365"/>
  <c r="T21" i="1365"/>
  <c r="S21" i="1365"/>
  <c r="R21" i="1365"/>
  <c r="N21" i="1365"/>
  <c r="J21" i="1365"/>
  <c r="I21" i="1365"/>
  <c r="AF20" i="1365"/>
  <c r="AC20" i="1365"/>
  <c r="AD20" i="1365" s="1"/>
  <c r="AB20" i="1365"/>
  <c r="Q20" i="1365"/>
  <c r="P20" i="1365"/>
  <c r="O20" i="1365"/>
  <c r="M20" i="1365"/>
  <c r="K20" i="1365"/>
  <c r="AF19" i="1365"/>
  <c r="AC19" i="1365"/>
  <c r="AD19" i="1365" s="1"/>
  <c r="AB19" i="1365"/>
  <c r="Q19" i="1365"/>
  <c r="P19" i="1365"/>
  <c r="O19" i="1365"/>
  <c r="M19" i="1365"/>
  <c r="K19" i="1365"/>
  <c r="AF18" i="1365"/>
  <c r="Q18" i="1365"/>
  <c r="AB18" i="1365"/>
  <c r="AF17" i="1365"/>
  <c r="Q17" i="1365"/>
  <c r="P17" i="1365"/>
  <c r="AC17" i="1365" s="1"/>
  <c r="AF16" i="1365"/>
  <c r="Q16" i="1365"/>
  <c r="P16" i="1365"/>
  <c r="AC16" i="1365" s="1"/>
  <c r="O16" i="1365"/>
  <c r="AF15" i="1365"/>
  <c r="AC15" i="1365"/>
  <c r="AB15" i="1365"/>
  <c r="Q15" i="1365"/>
  <c r="P15" i="1365"/>
  <c r="O15" i="1365"/>
  <c r="M15" i="1365"/>
  <c r="AF14" i="1365"/>
  <c r="AB14" i="1365"/>
  <c r="Q14" i="1365"/>
  <c r="P14" i="1365"/>
  <c r="AC14" i="1365" s="1"/>
  <c r="AD14" i="1365" s="1"/>
  <c r="O14" i="1365"/>
  <c r="M14" i="1365"/>
  <c r="AF13" i="1365"/>
  <c r="AB13" i="1365"/>
  <c r="Q13" i="1365"/>
  <c r="O13" i="1365"/>
  <c r="M13" i="1365"/>
  <c r="AF12" i="1365"/>
  <c r="AB12" i="1365"/>
  <c r="Q12" i="1365"/>
  <c r="P12" i="1365"/>
  <c r="AC12" i="1365" s="1"/>
  <c r="O12" i="1365"/>
  <c r="M12" i="1365"/>
  <c r="K12" i="1365"/>
  <c r="AF11" i="1365"/>
  <c r="AB11" i="1365"/>
  <c r="Q11" i="1365"/>
  <c r="P11" i="1365"/>
  <c r="AC11" i="1365" s="1"/>
  <c r="O11" i="1365"/>
  <c r="M11" i="1365"/>
  <c r="AF10" i="1365"/>
  <c r="Q10" i="1365"/>
  <c r="P10" i="1365"/>
  <c r="AC10" i="1365" s="1"/>
  <c r="AF9" i="1365"/>
  <c r="AC9" i="1365"/>
  <c r="AD9" i="1365" s="1"/>
  <c r="AB9" i="1365"/>
  <c r="Q9" i="1365"/>
  <c r="P9" i="1365"/>
  <c r="O9" i="1365"/>
  <c r="M9" i="1365"/>
  <c r="K9" i="1365"/>
  <c r="AF8" i="1365"/>
  <c r="AC8" i="1365"/>
  <c r="AD8" i="1365" s="1"/>
  <c r="AB8" i="1365"/>
  <c r="Q8" i="1365"/>
  <c r="P8" i="1365"/>
  <c r="O8" i="1365"/>
  <c r="M8" i="1365"/>
  <c r="K8" i="1365"/>
  <c r="AF7" i="1365"/>
  <c r="AC7" i="1365"/>
  <c r="AD7" i="1365" s="1"/>
  <c r="AB7" i="1365"/>
  <c r="Q7" i="1365"/>
  <c r="P7" i="1365"/>
  <c r="O7" i="1365"/>
  <c r="M7" i="1365"/>
  <c r="K7" i="1365"/>
  <c r="AF6" i="1365"/>
  <c r="AC6" i="1365"/>
  <c r="AB6" i="1365"/>
  <c r="Q6" i="1365"/>
  <c r="P6" i="1365"/>
  <c r="O6" i="1365"/>
  <c r="M6" i="1365"/>
  <c r="K6" i="1365"/>
  <c r="M21" i="1366" l="1"/>
  <c r="AD16" i="1366"/>
  <c r="AB21" i="1366"/>
  <c r="AC21" i="1366"/>
  <c r="AD6" i="1366"/>
  <c r="Q21" i="1365"/>
  <c r="L21" i="1365"/>
  <c r="O21" i="1365" s="1"/>
  <c r="AB16" i="1365"/>
  <c r="AD16" i="1365" s="1"/>
  <c r="P13" i="1365"/>
  <c r="AC13" i="1365" s="1"/>
  <c r="AD13" i="1365" s="1"/>
  <c r="AD11" i="1365"/>
  <c r="AD15" i="1365"/>
  <c r="AD12" i="1365"/>
  <c r="M10" i="1365"/>
  <c r="AB10" i="1365"/>
  <c r="M17" i="1365"/>
  <c r="AB17" i="1365"/>
  <c r="AD17" i="1365" s="1"/>
  <c r="O18" i="1365"/>
  <c r="AD6" i="1365"/>
  <c r="O10" i="1365"/>
  <c r="M16" i="1365"/>
  <c r="K21" i="1365"/>
  <c r="P18" i="1365"/>
  <c r="AC18" i="1365" s="1"/>
  <c r="M18" i="1365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18" i="1364"/>
  <c r="L17" i="1364"/>
  <c r="O17" i="1364" s="1"/>
  <c r="L16" i="1364"/>
  <c r="L10" i="1364"/>
  <c r="K10" i="1364" s="1"/>
  <c r="K18" i="1364"/>
  <c r="K17" i="1364"/>
  <c r="K16" i="1364"/>
  <c r="K15" i="1364"/>
  <c r="K13" i="1364"/>
  <c r="K11" i="1364"/>
  <c r="A74" i="1364"/>
  <c r="A75" i="1364" s="1"/>
  <c r="A76" i="1364" s="1"/>
  <c r="A77" i="1364" s="1"/>
  <c r="A78" i="1364" s="1"/>
  <c r="A79" i="1364" s="1"/>
  <c r="A80" i="1364" s="1"/>
  <c r="A81" i="1364" s="1"/>
  <c r="AF60" i="1364"/>
  <c r="AF59" i="1364"/>
  <c r="AF62" i="1364" s="1"/>
  <c r="AA21" i="1364"/>
  <c r="Z21" i="1364"/>
  <c r="Y21" i="1364"/>
  <c r="X21" i="1364"/>
  <c r="W21" i="1364"/>
  <c r="V21" i="1364"/>
  <c r="U21" i="1364"/>
  <c r="T21" i="1364"/>
  <c r="S21" i="1364"/>
  <c r="R21" i="1364"/>
  <c r="N21" i="1364"/>
  <c r="J21" i="1364"/>
  <c r="I21" i="1364"/>
  <c r="AF20" i="1364"/>
  <c r="AB20" i="1364"/>
  <c r="Q20" i="1364"/>
  <c r="P20" i="1364"/>
  <c r="AC20" i="1364" s="1"/>
  <c r="AD20" i="1364" s="1"/>
  <c r="O20" i="1364"/>
  <c r="M20" i="1364"/>
  <c r="K20" i="1364"/>
  <c r="AF19" i="1364"/>
  <c r="AB19" i="1364"/>
  <c r="Q19" i="1364"/>
  <c r="P19" i="1364"/>
  <c r="AC19" i="1364" s="1"/>
  <c r="AD19" i="1364" s="1"/>
  <c r="O19" i="1364"/>
  <c r="M19" i="1364"/>
  <c r="K19" i="1364"/>
  <c r="AF18" i="1364"/>
  <c r="AB18" i="1364"/>
  <c r="Q18" i="1364"/>
  <c r="O18" i="1364"/>
  <c r="M18" i="1364"/>
  <c r="AF17" i="1364"/>
  <c r="Q17" i="1364"/>
  <c r="AB17" i="1364"/>
  <c r="AF16" i="1364"/>
  <c r="AB16" i="1364"/>
  <c r="Q16" i="1364"/>
  <c r="P16" i="1364"/>
  <c r="AC16" i="1364" s="1"/>
  <c r="M16" i="1364"/>
  <c r="O16" i="1364"/>
  <c r="AF15" i="1364"/>
  <c r="Q15" i="1364"/>
  <c r="P15" i="1364" s="1"/>
  <c r="AC15" i="1364" s="1"/>
  <c r="AF14" i="1364"/>
  <c r="AB14" i="1364"/>
  <c r="Q14" i="1364"/>
  <c r="P14" i="1364"/>
  <c r="AC14" i="1364" s="1"/>
  <c r="O14" i="1364"/>
  <c r="M14" i="1364"/>
  <c r="K14" i="1364"/>
  <c r="AF13" i="1364"/>
  <c r="AB13" i="1364"/>
  <c r="Q13" i="1364"/>
  <c r="P13" i="1364"/>
  <c r="AC13" i="1364" s="1"/>
  <c r="AD13" i="1364" s="1"/>
  <c r="M13" i="1364"/>
  <c r="O13" i="1364"/>
  <c r="AF12" i="1364"/>
  <c r="AC12" i="1364"/>
  <c r="AD12" i="1364" s="1"/>
  <c r="AB12" i="1364"/>
  <c r="Q12" i="1364"/>
  <c r="P12" i="1364"/>
  <c r="O12" i="1364"/>
  <c r="M12" i="1364"/>
  <c r="K12" i="1364"/>
  <c r="AF11" i="1364"/>
  <c r="Q11" i="1364"/>
  <c r="O11" i="1364"/>
  <c r="AB11" i="1364"/>
  <c r="AF10" i="1364"/>
  <c r="Q10" i="1364"/>
  <c r="P10" i="1364"/>
  <c r="AC10" i="1364" s="1"/>
  <c r="M10" i="1364"/>
  <c r="AF9" i="1364"/>
  <c r="AC9" i="1364"/>
  <c r="AD9" i="1364" s="1"/>
  <c r="AB9" i="1364"/>
  <c r="Q9" i="1364"/>
  <c r="P9" i="1364"/>
  <c r="O9" i="1364"/>
  <c r="M9" i="1364"/>
  <c r="K9" i="1364"/>
  <c r="AF8" i="1364"/>
  <c r="AC8" i="1364"/>
  <c r="AD8" i="1364" s="1"/>
  <c r="AB8" i="1364"/>
  <c r="Q8" i="1364"/>
  <c r="P8" i="1364"/>
  <c r="O8" i="1364"/>
  <c r="M8" i="1364"/>
  <c r="K8" i="1364"/>
  <c r="AF7" i="1364"/>
  <c r="AC7" i="1364"/>
  <c r="AD7" i="1364" s="1"/>
  <c r="AB7" i="1364"/>
  <c r="Q7" i="1364"/>
  <c r="P7" i="1364"/>
  <c r="O7" i="1364"/>
  <c r="M7" i="1364"/>
  <c r="K7" i="1364"/>
  <c r="AF6" i="1364"/>
  <c r="AC6" i="1364"/>
  <c r="AB6" i="1364"/>
  <c r="Q6" i="1364"/>
  <c r="P6" i="1364"/>
  <c r="O6" i="1364"/>
  <c r="M6" i="1364"/>
  <c r="K6" i="1364"/>
  <c r="AE16" i="1367" l="1"/>
  <c r="AE19" i="1367"/>
  <c r="AE20" i="1367"/>
  <c r="AE11" i="1367"/>
  <c r="AE10" i="1367"/>
  <c r="AE14" i="1367"/>
  <c r="AE12" i="1367"/>
  <c r="AE7" i="1367"/>
  <c r="AE18" i="1367"/>
  <c r="AE8" i="1367"/>
  <c r="AE13" i="1367"/>
  <c r="AE15" i="1367"/>
  <c r="AE17" i="1367"/>
  <c r="AE9" i="1367"/>
  <c r="AE6" i="1367"/>
  <c r="AD21" i="1366"/>
  <c r="AE19" i="1366" s="1"/>
  <c r="AD18" i="1365"/>
  <c r="M21" i="1365"/>
  <c r="AB21" i="1365"/>
  <c r="AD10" i="1365"/>
  <c r="AC21" i="1365"/>
  <c r="P21" i="1365"/>
  <c r="P18" i="1364"/>
  <c r="AC18" i="1364" s="1"/>
  <c r="AD16" i="1364"/>
  <c r="Q21" i="1364"/>
  <c r="O10" i="1364"/>
  <c r="AB10" i="1364"/>
  <c r="AD10" i="1364" s="1"/>
  <c r="AD14" i="1364"/>
  <c r="AD18" i="1364"/>
  <c r="K21" i="1364"/>
  <c r="AD6" i="1364"/>
  <c r="P11" i="1364"/>
  <c r="AC11" i="1364" s="1"/>
  <c r="AD11" i="1364" s="1"/>
  <c r="M15" i="1364"/>
  <c r="AB15" i="1364"/>
  <c r="P17" i="1364"/>
  <c r="AC17" i="1364" s="1"/>
  <c r="AD17" i="1364" s="1"/>
  <c r="O15" i="1364"/>
  <c r="L21" i="1364"/>
  <c r="O21" i="1364" s="1"/>
  <c r="M11" i="1364"/>
  <c r="M17" i="1364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18" i="1363"/>
  <c r="L17" i="1363"/>
  <c r="L16" i="1363"/>
  <c r="O16" i="1363" s="1"/>
  <c r="L15" i="1363"/>
  <c r="L13" i="1363"/>
  <c r="K13" i="1363" s="1"/>
  <c r="L11" i="1363"/>
  <c r="L10" i="1363"/>
  <c r="K10" i="1363" s="1"/>
  <c r="K17" i="1363"/>
  <c r="K15" i="1363"/>
  <c r="K14" i="1363"/>
  <c r="K11" i="1363"/>
  <c r="K8" i="1363"/>
  <c r="A74" i="1363"/>
  <c r="A75" i="1363" s="1"/>
  <c r="A76" i="1363" s="1"/>
  <c r="A77" i="1363" s="1"/>
  <c r="A78" i="1363" s="1"/>
  <c r="A79" i="1363" s="1"/>
  <c r="A80" i="1363" s="1"/>
  <c r="A81" i="1363" s="1"/>
  <c r="AF62" i="1363"/>
  <c r="AF60" i="1363"/>
  <c r="AF59" i="1363"/>
  <c r="AA21" i="1363"/>
  <c r="Z21" i="1363"/>
  <c r="Y21" i="1363"/>
  <c r="X21" i="1363"/>
  <c r="W21" i="1363"/>
  <c r="V21" i="1363"/>
  <c r="U21" i="1363"/>
  <c r="T21" i="1363"/>
  <c r="S21" i="1363"/>
  <c r="R21" i="1363"/>
  <c r="N21" i="1363"/>
  <c r="J21" i="1363"/>
  <c r="I21" i="1363"/>
  <c r="AF20" i="1363"/>
  <c r="AB20" i="1363"/>
  <c r="Q20" i="1363"/>
  <c r="P20" i="1363"/>
  <c r="AC20" i="1363" s="1"/>
  <c r="AD20" i="1363" s="1"/>
  <c r="O20" i="1363"/>
  <c r="M20" i="1363"/>
  <c r="K20" i="1363"/>
  <c r="AF19" i="1363"/>
  <c r="AB19" i="1363"/>
  <c r="Q19" i="1363"/>
  <c r="P19" i="1363"/>
  <c r="AC19" i="1363" s="1"/>
  <c r="AD19" i="1363" s="1"/>
  <c r="O19" i="1363"/>
  <c r="M19" i="1363"/>
  <c r="K19" i="1363"/>
  <c r="AF18" i="1363"/>
  <c r="AB18" i="1363"/>
  <c r="Q18" i="1363"/>
  <c r="P18" i="1363" s="1"/>
  <c r="AC18" i="1363" s="1"/>
  <c r="O18" i="1363"/>
  <c r="M18" i="1363"/>
  <c r="K18" i="1363"/>
  <c r="AF17" i="1363"/>
  <c r="AB17" i="1363"/>
  <c r="Q17" i="1363"/>
  <c r="M17" i="1363"/>
  <c r="P17" i="1363"/>
  <c r="AC17" i="1363" s="1"/>
  <c r="AF16" i="1363"/>
  <c r="Q16" i="1363"/>
  <c r="P16" i="1363" s="1"/>
  <c r="AC16" i="1363" s="1"/>
  <c r="M16" i="1363"/>
  <c r="AF15" i="1363"/>
  <c r="AB15" i="1363"/>
  <c r="Q15" i="1363"/>
  <c r="P15" i="1363" s="1"/>
  <c r="AC15" i="1363" s="1"/>
  <c r="O15" i="1363"/>
  <c r="M15" i="1363"/>
  <c r="AF14" i="1363"/>
  <c r="AB14" i="1363"/>
  <c r="Q14" i="1363"/>
  <c r="M14" i="1363"/>
  <c r="P14" i="1363"/>
  <c r="AC14" i="1363" s="1"/>
  <c r="AF13" i="1363"/>
  <c r="Q13" i="1363"/>
  <c r="AF12" i="1363"/>
  <c r="AC12" i="1363"/>
  <c r="AB12" i="1363"/>
  <c r="Q12" i="1363"/>
  <c r="P12" i="1363"/>
  <c r="O12" i="1363"/>
  <c r="M12" i="1363"/>
  <c r="K12" i="1363"/>
  <c r="AF11" i="1363"/>
  <c r="Q11" i="1363"/>
  <c r="P11" i="1363"/>
  <c r="AC11" i="1363" s="1"/>
  <c r="AF10" i="1363"/>
  <c r="AB10" i="1363"/>
  <c r="Q10" i="1363"/>
  <c r="P10" i="1363" s="1"/>
  <c r="AC10" i="1363" s="1"/>
  <c r="O10" i="1363"/>
  <c r="M10" i="1363"/>
  <c r="AF9" i="1363"/>
  <c r="AC9" i="1363"/>
  <c r="AD9" i="1363" s="1"/>
  <c r="AB9" i="1363"/>
  <c r="Q9" i="1363"/>
  <c r="P9" i="1363"/>
  <c r="O9" i="1363"/>
  <c r="M9" i="1363"/>
  <c r="K9" i="1363"/>
  <c r="AF8" i="1363"/>
  <c r="AB8" i="1363"/>
  <c r="Q8" i="1363"/>
  <c r="P8" i="1363" s="1"/>
  <c r="AC8" i="1363" s="1"/>
  <c r="O8" i="1363"/>
  <c r="M8" i="1363"/>
  <c r="AF7" i="1363"/>
  <c r="AB7" i="1363"/>
  <c r="Q7" i="1363"/>
  <c r="P7" i="1363"/>
  <c r="AC7" i="1363" s="1"/>
  <c r="AD7" i="1363" s="1"/>
  <c r="O7" i="1363"/>
  <c r="M7" i="1363"/>
  <c r="K7" i="1363"/>
  <c r="AF6" i="1363"/>
  <c r="AB6" i="1363"/>
  <c r="Q6" i="1363"/>
  <c r="P6" i="1363"/>
  <c r="O6" i="1363"/>
  <c r="M6" i="1363"/>
  <c r="K6" i="1363"/>
  <c r="AE10" i="1366" l="1"/>
  <c r="AE17" i="1366"/>
  <c r="AE6" i="1366"/>
  <c r="AE11" i="1366"/>
  <c r="AE18" i="1366"/>
  <c r="AE13" i="1366"/>
  <c r="AE9" i="1366"/>
  <c r="AE16" i="1366"/>
  <c r="AE15" i="1366"/>
  <c r="AE20" i="1366"/>
  <c r="AE14" i="1366"/>
  <c r="AE8" i="1366"/>
  <c r="AE12" i="1366"/>
  <c r="AE7" i="1366"/>
  <c r="AD21" i="1365"/>
  <c r="AE14" i="1365" s="1"/>
  <c r="AE12" i="1365"/>
  <c r="AE17" i="1365"/>
  <c r="AE11" i="1365"/>
  <c r="AE16" i="1365"/>
  <c r="AE10" i="1365"/>
  <c r="M21" i="1364"/>
  <c r="AB21" i="1364"/>
  <c r="AD15" i="1364"/>
  <c r="AD21" i="1364" s="1"/>
  <c r="P21" i="1364"/>
  <c r="AC21" i="1364"/>
  <c r="K16" i="1363"/>
  <c r="AB16" i="1363"/>
  <c r="AD15" i="1363"/>
  <c r="Q21" i="1363"/>
  <c r="M13" i="1363"/>
  <c r="AB13" i="1363"/>
  <c r="O13" i="1363"/>
  <c r="L21" i="1363"/>
  <c r="O21" i="1363" s="1"/>
  <c r="P13" i="1363"/>
  <c r="AC13" i="1363" s="1"/>
  <c r="AD10" i="1363"/>
  <c r="AD16" i="1363"/>
  <c r="AD12" i="1363"/>
  <c r="AD8" i="1363"/>
  <c r="AD18" i="1363"/>
  <c r="P21" i="1363"/>
  <c r="AD14" i="1363"/>
  <c r="M11" i="1363"/>
  <c r="M21" i="1363" s="1"/>
  <c r="AB11" i="1363"/>
  <c r="O14" i="1363"/>
  <c r="O17" i="1363"/>
  <c r="AD17" i="1363" s="1"/>
  <c r="AC6" i="1363"/>
  <c r="O11" i="1363"/>
  <c r="K21" i="1363"/>
  <c r="Q17" i="16"/>
  <c r="Q16" i="16"/>
  <c r="Q15" i="16"/>
  <c r="Q14" i="16"/>
  <c r="Q13" i="16"/>
  <c r="Q12" i="16"/>
  <c r="Q11" i="16"/>
  <c r="Q8" i="16"/>
  <c r="Q7" i="16"/>
  <c r="Q6" i="16"/>
  <c r="Q5" i="16"/>
  <c r="Q4" i="16"/>
  <c r="Q3" i="16"/>
  <c r="L17" i="1362"/>
  <c r="K16" i="1362"/>
  <c r="AE15" i="1365" l="1"/>
  <c r="AE7" i="1365"/>
  <c r="AE8" i="1365"/>
  <c r="AE20" i="1365"/>
  <c r="AE19" i="1365"/>
  <c r="AE18" i="1365"/>
  <c r="AE6" i="1365"/>
  <c r="AE9" i="1365"/>
  <c r="AE13" i="1365"/>
  <c r="AE19" i="1364"/>
  <c r="AE16" i="1364"/>
  <c r="AE13" i="1364"/>
  <c r="AE10" i="1364"/>
  <c r="AE17" i="1364"/>
  <c r="AE8" i="1364"/>
  <c r="AE6" i="1364"/>
  <c r="AE11" i="1364"/>
  <c r="AE7" i="1364"/>
  <c r="AE20" i="1364"/>
  <c r="AE18" i="1364"/>
  <c r="AE14" i="1364"/>
  <c r="AE15" i="1364"/>
  <c r="AE12" i="1364"/>
  <c r="AE9" i="1364"/>
  <c r="AB21" i="1363"/>
  <c r="AD13" i="1363"/>
  <c r="AD11" i="1363"/>
  <c r="AC21" i="1363"/>
  <c r="AD6" i="1363"/>
  <c r="L15" i="1362"/>
  <c r="AB15" i="1362" s="1"/>
  <c r="K15" i="1362"/>
  <c r="L14" i="1362"/>
  <c r="AB14" i="1362" s="1"/>
  <c r="K14" i="1362"/>
  <c r="L11" i="1362"/>
  <c r="K11" i="1362"/>
  <c r="L10" i="1362"/>
  <c r="AB10" i="1362" s="1"/>
  <c r="K19" i="1362"/>
  <c r="K17" i="1362"/>
  <c r="K8" i="1362"/>
  <c r="A74" i="1362"/>
  <c r="A75" i="1362" s="1"/>
  <c r="A76" i="1362" s="1"/>
  <c r="A77" i="1362" s="1"/>
  <c r="A78" i="1362" s="1"/>
  <c r="A79" i="1362" s="1"/>
  <c r="A80" i="1362" s="1"/>
  <c r="A81" i="1362" s="1"/>
  <c r="AF60" i="1362"/>
  <c r="AF59" i="1362"/>
  <c r="AA21" i="1362"/>
  <c r="Z21" i="1362"/>
  <c r="Y21" i="1362"/>
  <c r="X21" i="1362"/>
  <c r="W21" i="1362"/>
  <c r="V21" i="1362"/>
  <c r="U21" i="1362"/>
  <c r="T21" i="1362"/>
  <c r="S21" i="1362"/>
  <c r="R21" i="1362"/>
  <c r="N21" i="1362"/>
  <c r="J21" i="1362"/>
  <c r="I21" i="1362"/>
  <c r="AF20" i="1362"/>
  <c r="AB20" i="1362"/>
  <c r="Q20" i="1362"/>
  <c r="P20" i="1362"/>
  <c r="AC20" i="1362" s="1"/>
  <c r="O20" i="1362"/>
  <c r="M20" i="1362"/>
  <c r="K20" i="1362"/>
  <c r="AF19" i="1362"/>
  <c r="AB19" i="1362"/>
  <c r="Q19" i="1362"/>
  <c r="P19" i="1362"/>
  <c r="AC19" i="1362" s="1"/>
  <c r="O19" i="1362"/>
  <c r="M19" i="1362"/>
  <c r="AF18" i="1362"/>
  <c r="AB18" i="1362"/>
  <c r="Q18" i="1362"/>
  <c r="P18" i="1362"/>
  <c r="AC18" i="1362" s="1"/>
  <c r="O18" i="1362"/>
  <c r="M18" i="1362"/>
  <c r="K18" i="1362"/>
  <c r="AF17" i="1362"/>
  <c r="AB17" i="1362"/>
  <c r="Q17" i="1362"/>
  <c r="P17" i="1362"/>
  <c r="AC17" i="1362" s="1"/>
  <c r="O17" i="1362"/>
  <c r="AF16" i="1362"/>
  <c r="Q16" i="1362"/>
  <c r="P16" i="1362"/>
  <c r="AC16" i="1362" s="1"/>
  <c r="O16" i="1362"/>
  <c r="AB16" i="1362"/>
  <c r="AF15" i="1362"/>
  <c r="Q15" i="1362"/>
  <c r="P15" i="1362" s="1"/>
  <c r="AC15" i="1362" s="1"/>
  <c r="AF14" i="1362"/>
  <c r="Q14" i="1362"/>
  <c r="P14" i="1362" s="1"/>
  <c r="AC14" i="1362" s="1"/>
  <c r="O14" i="1362"/>
  <c r="AF13" i="1362"/>
  <c r="AB13" i="1362"/>
  <c r="Q13" i="1362"/>
  <c r="P13" i="1362"/>
  <c r="AC13" i="1362" s="1"/>
  <c r="O13" i="1362"/>
  <c r="M13" i="1362"/>
  <c r="K13" i="1362"/>
  <c r="AF12" i="1362"/>
  <c r="AB12" i="1362"/>
  <c r="Q12" i="1362"/>
  <c r="P12" i="1362"/>
  <c r="AC12" i="1362" s="1"/>
  <c r="O12" i="1362"/>
  <c r="M12" i="1362"/>
  <c r="K12" i="1362"/>
  <c r="AF11" i="1362"/>
  <c r="Q11" i="1362"/>
  <c r="O11" i="1362"/>
  <c r="AF10" i="1362"/>
  <c r="Q10" i="1362"/>
  <c r="AF9" i="1362"/>
  <c r="AC9" i="1362"/>
  <c r="AB9" i="1362"/>
  <c r="Q9" i="1362"/>
  <c r="P9" i="1362"/>
  <c r="O9" i="1362"/>
  <c r="M9" i="1362"/>
  <c r="K9" i="1362"/>
  <c r="AF8" i="1362"/>
  <c r="Q8" i="1362"/>
  <c r="P8" i="1362" s="1"/>
  <c r="AC8" i="1362" s="1"/>
  <c r="L21" i="1362"/>
  <c r="O21" i="1362" s="1"/>
  <c r="AF7" i="1362"/>
  <c r="AC7" i="1362"/>
  <c r="AB7" i="1362"/>
  <c r="Q7" i="1362"/>
  <c r="P7" i="1362"/>
  <c r="O7" i="1362"/>
  <c r="M7" i="1362"/>
  <c r="K7" i="1362"/>
  <c r="AF6" i="1362"/>
  <c r="AC6" i="1362"/>
  <c r="AB6" i="1362"/>
  <c r="Q6" i="1362"/>
  <c r="P6" i="1362"/>
  <c r="O6" i="1362"/>
  <c r="M6" i="1362"/>
  <c r="K6" i="1362"/>
  <c r="AD21" i="1363" l="1"/>
  <c r="AE17" i="1363" s="1"/>
  <c r="AD7" i="1362"/>
  <c r="AD13" i="1362"/>
  <c r="Q10" i="16" s="1"/>
  <c r="AD12" i="1362"/>
  <c r="Q9" i="16" s="1"/>
  <c r="O15" i="1362"/>
  <c r="AF62" i="1362"/>
  <c r="AD15" i="1362"/>
  <c r="M15" i="1362"/>
  <c r="M14" i="1362"/>
  <c r="P11" i="1362"/>
  <c r="AC11" i="1362" s="1"/>
  <c r="O10" i="1362"/>
  <c r="AD10" i="1362" s="1"/>
  <c r="P10" i="1362"/>
  <c r="AC10" i="1362" s="1"/>
  <c r="K10" i="1362"/>
  <c r="K21" i="1362" s="1"/>
  <c r="Q21" i="1362"/>
  <c r="AD9" i="1362"/>
  <c r="AD14" i="1362"/>
  <c r="AD20" i="1362"/>
  <c r="P21" i="1362"/>
  <c r="AD18" i="1362"/>
  <c r="AD19" i="1362"/>
  <c r="AD16" i="1362"/>
  <c r="AD17" i="1362"/>
  <c r="M8" i="1362"/>
  <c r="AB8" i="1362"/>
  <c r="M11" i="1362"/>
  <c r="AB11" i="1362"/>
  <c r="AD11" i="1362" s="1"/>
  <c r="M17" i="1362"/>
  <c r="AD6" i="1362"/>
  <c r="O8" i="1362"/>
  <c r="M10" i="1362"/>
  <c r="M16" i="1362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0" i="1361"/>
  <c r="P20" i="1361" s="1"/>
  <c r="AC20" i="1361" s="1"/>
  <c r="L18" i="1361"/>
  <c r="AB18" i="1361" s="1"/>
  <c r="L17" i="1361"/>
  <c r="P17" i="1361" s="1"/>
  <c r="AC17" i="1361" s="1"/>
  <c r="AF14" i="1361"/>
  <c r="AB14" i="1361"/>
  <c r="Q14" i="1361"/>
  <c r="P14" i="1361"/>
  <c r="AC14" i="1361" s="1"/>
  <c r="AD14" i="1361" s="1"/>
  <c r="O14" i="1361"/>
  <c r="M14" i="1361"/>
  <c r="K14" i="1361"/>
  <c r="K15" i="1361"/>
  <c r="L11" i="1361"/>
  <c r="L10" i="1361"/>
  <c r="K10" i="1361" s="1"/>
  <c r="L8" i="1361"/>
  <c r="K19" i="1361"/>
  <c r="K13" i="1361"/>
  <c r="K12" i="1361"/>
  <c r="K11" i="1361"/>
  <c r="A75" i="1361"/>
  <c r="A76" i="1361" s="1"/>
  <c r="A77" i="1361" s="1"/>
  <c r="A78" i="1361" s="1"/>
  <c r="A79" i="1361" s="1"/>
  <c r="A80" i="1361" s="1"/>
  <c r="A81" i="1361" s="1"/>
  <c r="A82" i="1361" s="1"/>
  <c r="AF61" i="1361"/>
  <c r="AF60" i="1361"/>
  <c r="AF63" i="1361" s="1"/>
  <c r="AA22" i="1361"/>
  <c r="Z22" i="1361"/>
  <c r="Y22" i="1361"/>
  <c r="X22" i="1361"/>
  <c r="W22" i="1361"/>
  <c r="V22" i="1361"/>
  <c r="U22" i="1361"/>
  <c r="T22" i="1361"/>
  <c r="S22" i="1361"/>
  <c r="R22" i="1361"/>
  <c r="N22" i="1361"/>
  <c r="J22" i="1361"/>
  <c r="I22" i="1361"/>
  <c r="AF21" i="1361"/>
  <c r="AB21" i="1361"/>
  <c r="Q21" i="1361"/>
  <c r="P21" i="1361"/>
  <c r="AC21" i="1361" s="1"/>
  <c r="O21" i="1361"/>
  <c r="M21" i="1361"/>
  <c r="K21" i="1361"/>
  <c r="AF20" i="1361"/>
  <c r="Q20" i="1361"/>
  <c r="O20" i="1361"/>
  <c r="AF19" i="1361"/>
  <c r="AB19" i="1361"/>
  <c r="Q19" i="1361"/>
  <c r="P19" i="1361"/>
  <c r="AC19" i="1361" s="1"/>
  <c r="O19" i="1361"/>
  <c r="M19" i="1361"/>
  <c r="AF18" i="1361"/>
  <c r="Q18" i="1361"/>
  <c r="AF17" i="1361"/>
  <c r="Q17" i="1361"/>
  <c r="AF16" i="1361"/>
  <c r="AB16" i="1361"/>
  <c r="Q16" i="1361"/>
  <c r="P16" i="1361"/>
  <c r="AC16" i="1361" s="1"/>
  <c r="O16" i="1361"/>
  <c r="M16" i="1361"/>
  <c r="K16" i="1361"/>
  <c r="AF15" i="1361"/>
  <c r="AB15" i="1361"/>
  <c r="Q15" i="1361"/>
  <c r="P15" i="1361" s="1"/>
  <c r="AC15" i="1361" s="1"/>
  <c r="O15" i="1361"/>
  <c r="M15" i="1361"/>
  <c r="AF13" i="1361"/>
  <c r="AC13" i="1361"/>
  <c r="Q13" i="1361"/>
  <c r="P13" i="1361"/>
  <c r="O13" i="1361"/>
  <c r="AB13" i="1361"/>
  <c r="AF12" i="1361"/>
  <c r="AB12" i="1361"/>
  <c r="Q12" i="1361"/>
  <c r="P12" i="1361"/>
  <c r="AC12" i="1361" s="1"/>
  <c r="O12" i="1361"/>
  <c r="M12" i="1361"/>
  <c r="AF11" i="1361"/>
  <c r="Q11" i="1361"/>
  <c r="P11" i="1361" s="1"/>
  <c r="AC11" i="1361" s="1"/>
  <c r="M11" i="1361"/>
  <c r="AF10" i="1361"/>
  <c r="Q10" i="1361"/>
  <c r="AF9" i="1361"/>
  <c r="AB9" i="1361"/>
  <c r="Q9" i="1361"/>
  <c r="P9" i="1361"/>
  <c r="AC9" i="1361" s="1"/>
  <c r="O9" i="1361"/>
  <c r="M9" i="1361"/>
  <c r="K9" i="1361"/>
  <c r="AF8" i="1361"/>
  <c r="Q8" i="1361"/>
  <c r="AF7" i="1361"/>
  <c r="AB7" i="1361"/>
  <c r="Q7" i="1361"/>
  <c r="P7" i="1361"/>
  <c r="AC7" i="1361" s="1"/>
  <c r="O7" i="1361"/>
  <c r="M7" i="1361"/>
  <c r="K7" i="1361"/>
  <c r="AF6" i="1361"/>
  <c r="AC6" i="1361"/>
  <c r="AB6" i="1361"/>
  <c r="Q6" i="1361"/>
  <c r="P6" i="1361"/>
  <c r="O6" i="1361"/>
  <c r="M6" i="1361"/>
  <c r="K6" i="1361"/>
  <c r="AE7" i="1363" l="1"/>
  <c r="AE20" i="1363"/>
  <c r="AE15" i="1363"/>
  <c r="AE10" i="1363"/>
  <c r="AE14" i="1363"/>
  <c r="AE11" i="1363"/>
  <c r="AE13" i="1363"/>
  <c r="AE8" i="1363"/>
  <c r="AE18" i="1363"/>
  <c r="AE9" i="1363"/>
  <c r="AE19" i="1363"/>
  <c r="AE16" i="1363"/>
  <c r="AE6" i="1363"/>
  <c r="AE12" i="1363"/>
  <c r="AC21" i="1362"/>
  <c r="M21" i="1362"/>
  <c r="AD8" i="1362"/>
  <c r="AD21" i="1362"/>
  <c r="Q18" i="16" s="1"/>
  <c r="AB21" i="1362"/>
  <c r="K20" i="1361"/>
  <c r="K18" i="1361"/>
  <c r="K17" i="1361"/>
  <c r="L22" i="1361"/>
  <c r="O22" i="1361" s="1"/>
  <c r="M17" i="1361"/>
  <c r="AD21" i="1361"/>
  <c r="AB8" i="1361"/>
  <c r="AD19" i="1361"/>
  <c r="AD7" i="1361"/>
  <c r="M8" i="1361"/>
  <c r="O8" i="1361"/>
  <c r="K8" i="1361"/>
  <c r="AD15" i="1361"/>
  <c r="AD12" i="1361"/>
  <c r="AD9" i="1361"/>
  <c r="Q22" i="1361"/>
  <c r="P8" i="1361"/>
  <c r="AC8" i="1361" s="1"/>
  <c r="AD16" i="1361"/>
  <c r="AD13" i="1361"/>
  <c r="M10" i="1361"/>
  <c r="O10" i="1361"/>
  <c r="AB11" i="1361"/>
  <c r="AB17" i="1361"/>
  <c r="O18" i="1361"/>
  <c r="P10" i="1361"/>
  <c r="AC10" i="1361" s="1"/>
  <c r="O11" i="1361"/>
  <c r="M13" i="1361"/>
  <c r="O17" i="1361"/>
  <c r="P18" i="1361"/>
  <c r="AC18" i="1361" s="1"/>
  <c r="M20" i="1361"/>
  <c r="AB20" i="1361"/>
  <c r="AD20" i="1361" s="1"/>
  <c r="AB10" i="1361"/>
  <c r="M18" i="1361"/>
  <c r="AD6" i="1361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L20" i="1360"/>
  <c r="L19" i="1360"/>
  <c r="L18" i="1360"/>
  <c r="O18" i="1360" s="1"/>
  <c r="L17" i="1360"/>
  <c r="K15" i="1360"/>
  <c r="L14" i="1360"/>
  <c r="L12" i="1360"/>
  <c r="AB12" i="1360"/>
  <c r="K12" i="1360"/>
  <c r="AF12" i="1360"/>
  <c r="Q12" i="1360"/>
  <c r="P12" i="1360"/>
  <c r="AC12" i="1360" s="1"/>
  <c r="O12" i="1360"/>
  <c r="L10" i="1360"/>
  <c r="K20" i="1360"/>
  <c r="K19" i="1360"/>
  <c r="K17" i="1360"/>
  <c r="K14" i="1360"/>
  <c r="K13" i="1360"/>
  <c r="K11" i="1360"/>
  <c r="K10" i="1360"/>
  <c r="K8" i="1360"/>
  <c r="A76" i="1360"/>
  <c r="A77" i="1360" s="1"/>
  <c r="A78" i="1360" s="1"/>
  <c r="A79" i="1360" s="1"/>
  <c r="A80" i="1360" s="1"/>
  <c r="A81" i="1360" s="1"/>
  <c r="A82" i="1360" s="1"/>
  <c r="A75" i="1360"/>
  <c r="AF61" i="1360"/>
  <c r="AF60" i="1360"/>
  <c r="AF63" i="1360" s="1"/>
  <c r="AA22" i="1360"/>
  <c r="Z22" i="1360"/>
  <c r="Y22" i="1360"/>
  <c r="X22" i="1360"/>
  <c r="W22" i="1360"/>
  <c r="V22" i="1360"/>
  <c r="U22" i="1360"/>
  <c r="T22" i="1360"/>
  <c r="S22" i="1360"/>
  <c r="R22" i="1360"/>
  <c r="N22" i="1360"/>
  <c r="J22" i="1360"/>
  <c r="I22" i="1360"/>
  <c r="AF21" i="1360"/>
  <c r="AB21" i="1360"/>
  <c r="Q21" i="1360"/>
  <c r="P21" i="1360"/>
  <c r="AC21" i="1360" s="1"/>
  <c r="O21" i="1360"/>
  <c r="M21" i="1360"/>
  <c r="K21" i="1360"/>
  <c r="AF20" i="1360"/>
  <c r="Q20" i="1360"/>
  <c r="O20" i="1360"/>
  <c r="P20" i="1360"/>
  <c r="AC20" i="1360" s="1"/>
  <c r="AF19" i="1360"/>
  <c r="AB19" i="1360"/>
  <c r="Q19" i="1360"/>
  <c r="P19" i="1360"/>
  <c r="AC19" i="1360" s="1"/>
  <c r="M19" i="1360"/>
  <c r="O19" i="1360"/>
  <c r="AF18" i="1360"/>
  <c r="Q18" i="1360"/>
  <c r="AF17" i="1360"/>
  <c r="AB17" i="1360"/>
  <c r="Q17" i="1360"/>
  <c r="P17" i="1360"/>
  <c r="AC17" i="1360" s="1"/>
  <c r="O17" i="1360"/>
  <c r="M17" i="1360"/>
  <c r="AF16" i="1360"/>
  <c r="AC16" i="1360"/>
  <c r="AB16" i="1360"/>
  <c r="Q16" i="1360"/>
  <c r="P16" i="1360"/>
  <c r="O16" i="1360"/>
  <c r="M16" i="1360"/>
  <c r="K16" i="1360"/>
  <c r="AF15" i="1360"/>
  <c r="AB15" i="1360"/>
  <c r="Q15" i="1360"/>
  <c r="P15" i="1360" s="1"/>
  <c r="AC15" i="1360" s="1"/>
  <c r="O15" i="1360"/>
  <c r="M15" i="1360"/>
  <c r="AF14" i="1360"/>
  <c r="Q14" i="1360"/>
  <c r="O14" i="1360"/>
  <c r="P14" i="1360"/>
  <c r="AC14" i="1360" s="1"/>
  <c r="AF13" i="1360"/>
  <c r="AB13" i="1360"/>
  <c r="Q13" i="1360"/>
  <c r="P13" i="1360"/>
  <c r="AC13" i="1360" s="1"/>
  <c r="O13" i="1360"/>
  <c r="M13" i="1360"/>
  <c r="AF11" i="1360"/>
  <c r="AB11" i="1360"/>
  <c r="Q11" i="1360"/>
  <c r="P11" i="1360"/>
  <c r="AC11" i="1360" s="1"/>
  <c r="M11" i="1360"/>
  <c r="O11" i="1360"/>
  <c r="AF10" i="1360"/>
  <c r="Q10" i="1360"/>
  <c r="P10" i="1360" s="1"/>
  <c r="AC10" i="1360" s="1"/>
  <c r="O10" i="1360"/>
  <c r="AF9" i="1360"/>
  <c r="AB9" i="1360"/>
  <c r="Q9" i="1360"/>
  <c r="P9" i="1360"/>
  <c r="AC9" i="1360" s="1"/>
  <c r="O9" i="1360"/>
  <c r="M9" i="1360"/>
  <c r="K9" i="1360"/>
  <c r="AF8" i="1360"/>
  <c r="AB8" i="1360"/>
  <c r="Q8" i="1360"/>
  <c r="P8" i="1360"/>
  <c r="AC8" i="1360" s="1"/>
  <c r="M8" i="1360"/>
  <c r="AF7" i="1360"/>
  <c r="AC7" i="1360"/>
  <c r="AD7" i="1360" s="1"/>
  <c r="AB7" i="1360"/>
  <c r="Q7" i="1360"/>
  <c r="P7" i="1360"/>
  <c r="O7" i="1360"/>
  <c r="M7" i="1360"/>
  <c r="K7" i="1360"/>
  <c r="AF6" i="1360"/>
  <c r="AC6" i="1360"/>
  <c r="AB6" i="1360"/>
  <c r="Q6" i="1360"/>
  <c r="P6" i="1360"/>
  <c r="O6" i="1360"/>
  <c r="M6" i="1360"/>
  <c r="K6" i="1360"/>
  <c r="AE19" i="1362" l="1"/>
  <c r="AE17" i="1362"/>
  <c r="AE13" i="1362"/>
  <c r="AE11" i="1362"/>
  <c r="AE8" i="1362"/>
  <c r="AE20" i="1362"/>
  <c r="AE18" i="1362"/>
  <c r="AE15" i="1362"/>
  <c r="AE14" i="1362"/>
  <c r="AE12" i="1362"/>
  <c r="AE9" i="1362"/>
  <c r="AE16" i="1362"/>
  <c r="AE10" i="1362"/>
  <c r="AE7" i="1362"/>
  <c r="AE6" i="1362"/>
  <c r="K22" i="1361"/>
  <c r="AD8" i="1361"/>
  <c r="M22" i="1361"/>
  <c r="AD11" i="1361"/>
  <c r="AB22" i="1361"/>
  <c r="AD18" i="1361"/>
  <c r="AC22" i="1361"/>
  <c r="AD10" i="1361"/>
  <c r="AD17" i="1361"/>
  <c r="P22" i="1361"/>
  <c r="K18" i="1360"/>
  <c r="L22" i="1360"/>
  <c r="O22" i="1360" s="1"/>
  <c r="AD12" i="1360"/>
  <c r="M12" i="1360"/>
  <c r="Q22" i="1360"/>
  <c r="AD17" i="1360"/>
  <c r="AD21" i="1360"/>
  <c r="AD19" i="1360"/>
  <c r="AD16" i="1360"/>
  <c r="AD11" i="1360"/>
  <c r="AD15" i="1360"/>
  <c r="AD9" i="1360"/>
  <c r="AD13" i="1360"/>
  <c r="AD6" i="1360"/>
  <c r="O8" i="1360"/>
  <c r="AD8" i="1360" s="1"/>
  <c r="M10" i="1360"/>
  <c r="AB10" i="1360"/>
  <c r="M14" i="1360"/>
  <c r="AB14" i="1360"/>
  <c r="AD14" i="1360" s="1"/>
  <c r="P18" i="1360"/>
  <c r="AC18" i="1360" s="1"/>
  <c r="M20" i="1360"/>
  <c r="AB20" i="1360"/>
  <c r="AD20" i="1360" s="1"/>
  <c r="K22" i="1360"/>
  <c r="M18" i="1360"/>
  <c r="AB18" i="1360"/>
  <c r="AD22" i="1361" l="1"/>
  <c r="M22" i="1360"/>
  <c r="AB22" i="1360"/>
  <c r="P22" i="1360"/>
  <c r="AD10" i="1360"/>
  <c r="AD18" i="1360"/>
  <c r="AC22" i="1360"/>
  <c r="AE13" i="1361" l="1"/>
  <c r="AE14" i="1361"/>
  <c r="AE16" i="1361"/>
  <c r="AE9" i="1361"/>
  <c r="AE12" i="1361"/>
  <c r="AE15" i="1361"/>
  <c r="AE11" i="1361"/>
  <c r="AE18" i="1361"/>
  <c r="AE20" i="1361"/>
  <c r="AE19" i="1361"/>
  <c r="AE17" i="1361"/>
  <c r="AE6" i="1361"/>
  <c r="AE10" i="1361"/>
  <c r="AE21" i="1361"/>
  <c r="AE8" i="1361"/>
  <c r="AE7" i="1361"/>
  <c r="AD22" i="1360"/>
  <c r="AE12" i="1360" s="1"/>
  <c r="AE17" i="1360" l="1"/>
  <c r="AE8" i="1360"/>
  <c r="AE9" i="1360"/>
  <c r="AE16" i="1360"/>
  <c r="AE15" i="1360"/>
  <c r="AE20" i="1360"/>
  <c r="AE13" i="1360"/>
  <c r="AE18" i="1360"/>
  <c r="AE10" i="1360"/>
  <c r="AE21" i="1360"/>
  <c r="AE7" i="1360"/>
  <c r="AE6" i="1360"/>
  <c r="AE19" i="1360"/>
  <c r="AE11" i="1360"/>
  <c r="AE14" i="1360"/>
  <c r="L18" i="16" l="1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L19" i="1359"/>
  <c r="L18" i="1359"/>
  <c r="K18" i="1359" s="1"/>
  <c r="L17" i="1359"/>
  <c r="L16" i="1359"/>
  <c r="K16" i="1359" s="1"/>
  <c r="L13" i="1359"/>
  <c r="K13" i="1359" s="1"/>
  <c r="L11" i="1359"/>
  <c r="L21" i="1359" s="1"/>
  <c r="O21" i="1359" s="1"/>
  <c r="K11" i="1359"/>
  <c r="L10" i="1359"/>
  <c r="L8" i="1359"/>
  <c r="K19" i="1359"/>
  <c r="K17" i="1359"/>
  <c r="K14" i="1359"/>
  <c r="K12" i="1359"/>
  <c r="K10" i="1359"/>
  <c r="K8" i="1359"/>
  <c r="A74" i="1359"/>
  <c r="A75" i="1359" s="1"/>
  <c r="A76" i="1359" s="1"/>
  <c r="A77" i="1359" s="1"/>
  <c r="A78" i="1359" s="1"/>
  <c r="A79" i="1359" s="1"/>
  <c r="A80" i="1359" s="1"/>
  <c r="A81" i="1359" s="1"/>
  <c r="AF62" i="1359"/>
  <c r="AF60" i="1359"/>
  <c r="AF59" i="1359"/>
  <c r="AA21" i="1359"/>
  <c r="Z21" i="1359"/>
  <c r="Y21" i="1359"/>
  <c r="X21" i="1359"/>
  <c r="W21" i="1359"/>
  <c r="V21" i="1359"/>
  <c r="U21" i="1359"/>
  <c r="T21" i="1359"/>
  <c r="S21" i="1359"/>
  <c r="R21" i="1359"/>
  <c r="N21" i="1359"/>
  <c r="J21" i="1359"/>
  <c r="I21" i="1359"/>
  <c r="AF20" i="1359"/>
  <c r="AB20" i="1359"/>
  <c r="Q20" i="1359"/>
  <c r="P20" i="1359"/>
  <c r="AC20" i="1359" s="1"/>
  <c r="AD20" i="1359" s="1"/>
  <c r="O20" i="1359"/>
  <c r="M20" i="1359"/>
  <c r="K20" i="1359"/>
  <c r="AF19" i="1359"/>
  <c r="Q19" i="1359"/>
  <c r="P19" i="1359" s="1"/>
  <c r="AC19" i="1359" s="1"/>
  <c r="AF18" i="1359"/>
  <c r="Q18" i="1359"/>
  <c r="P18" i="1359"/>
  <c r="AC18" i="1359" s="1"/>
  <c r="O18" i="1359"/>
  <c r="AF17" i="1359"/>
  <c r="AB17" i="1359"/>
  <c r="Q17" i="1359"/>
  <c r="P17" i="1359"/>
  <c r="AC17" i="1359" s="1"/>
  <c r="O17" i="1359"/>
  <c r="M17" i="1359"/>
  <c r="AF16" i="1359"/>
  <c r="AB16" i="1359"/>
  <c r="Q16" i="1359"/>
  <c r="P16" i="1359" s="1"/>
  <c r="AC16" i="1359" s="1"/>
  <c r="O16" i="1359"/>
  <c r="M16" i="1359"/>
  <c r="AF15" i="1359"/>
  <c r="AB15" i="1359"/>
  <c r="Q15" i="1359"/>
  <c r="P15" i="1359"/>
  <c r="AC15" i="1359" s="1"/>
  <c r="O15" i="1359"/>
  <c r="M15" i="1359"/>
  <c r="K15" i="1359"/>
  <c r="AF14" i="1359"/>
  <c r="AB14" i="1359"/>
  <c r="Q14" i="1359"/>
  <c r="P14" i="1359" s="1"/>
  <c r="AC14" i="1359" s="1"/>
  <c r="O14" i="1359"/>
  <c r="M14" i="1359"/>
  <c r="AF13" i="1359"/>
  <c r="AB13" i="1359"/>
  <c r="Q13" i="1359"/>
  <c r="P13" i="1359" s="1"/>
  <c r="AC13" i="1359" s="1"/>
  <c r="O13" i="1359"/>
  <c r="M13" i="1359"/>
  <c r="AF12" i="1359"/>
  <c r="AB12" i="1359"/>
  <c r="Q12" i="1359"/>
  <c r="P12" i="1359" s="1"/>
  <c r="AC12" i="1359" s="1"/>
  <c r="O12" i="1359"/>
  <c r="M12" i="1359"/>
  <c r="AF11" i="1359"/>
  <c r="AB11" i="1359"/>
  <c r="Q11" i="1359"/>
  <c r="M11" i="1359"/>
  <c r="AF10" i="1359"/>
  <c r="Q10" i="1359"/>
  <c r="P10" i="1359"/>
  <c r="AC10" i="1359" s="1"/>
  <c r="O10" i="1359"/>
  <c r="AB10" i="1359"/>
  <c r="AF9" i="1359"/>
  <c r="AC9" i="1359"/>
  <c r="AD9" i="1359" s="1"/>
  <c r="AB9" i="1359"/>
  <c r="Q9" i="1359"/>
  <c r="P9" i="1359"/>
  <c r="O9" i="1359"/>
  <c r="M9" i="1359"/>
  <c r="K9" i="1359"/>
  <c r="AF8" i="1359"/>
  <c r="Q8" i="1359"/>
  <c r="P8" i="1359" s="1"/>
  <c r="AC8" i="1359" s="1"/>
  <c r="O8" i="1359"/>
  <c r="AF7" i="1359"/>
  <c r="AB7" i="1359"/>
  <c r="Q7" i="1359"/>
  <c r="P7" i="1359"/>
  <c r="AC7" i="1359" s="1"/>
  <c r="AD7" i="1359" s="1"/>
  <c r="O7" i="1359"/>
  <c r="M7" i="1359"/>
  <c r="K7" i="1359"/>
  <c r="AF6" i="1359"/>
  <c r="AB6" i="1359"/>
  <c r="Q6" i="1359"/>
  <c r="P6" i="1359"/>
  <c r="O6" i="1359"/>
  <c r="M6" i="1359"/>
  <c r="K6" i="1359"/>
  <c r="AD12" i="1359" l="1"/>
  <c r="O11" i="1359"/>
  <c r="P11" i="1359"/>
  <c r="AC11" i="1359" s="1"/>
  <c r="AD11" i="1359" s="1"/>
  <c r="Q21" i="1359"/>
  <c r="AD13" i="1359"/>
  <c r="AD14" i="1359"/>
  <c r="AD17" i="1359"/>
  <c r="AD15" i="1359"/>
  <c r="AD16" i="1359"/>
  <c r="AD10" i="1359"/>
  <c r="M19" i="1359"/>
  <c r="AB19" i="1359"/>
  <c r="AC6" i="1359"/>
  <c r="M8" i="1359"/>
  <c r="AB8" i="1359"/>
  <c r="M18" i="1359"/>
  <c r="AB18" i="1359"/>
  <c r="AD18" i="1359" s="1"/>
  <c r="O19" i="1359"/>
  <c r="M10" i="1359"/>
  <c r="K21" i="1359"/>
  <c r="AD18" i="1358"/>
  <c r="AB21" i="1358"/>
  <c r="AC21" i="1358"/>
  <c r="AD21" i="1358"/>
  <c r="AD21" i="1357"/>
  <c r="AD21" i="1356"/>
  <c r="AD22" i="1355"/>
  <c r="AD22" i="1354"/>
  <c r="AD21" i="1353"/>
  <c r="AD23" i="1352"/>
  <c r="AD22" i="1351"/>
  <c r="L19" i="1358"/>
  <c r="K19" i="1358" s="1"/>
  <c r="L18" i="1358"/>
  <c r="O18" i="1358" s="1"/>
  <c r="L17" i="1358"/>
  <c r="AB17" i="1358" s="1"/>
  <c r="L16" i="1358"/>
  <c r="M16" i="1358" s="1"/>
  <c r="L10" i="1358"/>
  <c r="K10" i="1358" s="1"/>
  <c r="L8" i="1358"/>
  <c r="K18" i="1358"/>
  <c r="K17" i="1358"/>
  <c r="K16" i="1358"/>
  <c r="K14" i="1358"/>
  <c r="K12" i="1358"/>
  <c r="K9" i="1358"/>
  <c r="K8" i="1358"/>
  <c r="A74" i="1358"/>
  <c r="A75" i="1358" s="1"/>
  <c r="A76" i="1358" s="1"/>
  <c r="A77" i="1358" s="1"/>
  <c r="A78" i="1358" s="1"/>
  <c r="A79" i="1358" s="1"/>
  <c r="A80" i="1358" s="1"/>
  <c r="A81" i="1358" s="1"/>
  <c r="AF60" i="1358"/>
  <c r="AF62" i="1358" s="1"/>
  <c r="AF59" i="1358"/>
  <c r="AA21" i="1358"/>
  <c r="Z21" i="1358"/>
  <c r="Y21" i="1358"/>
  <c r="X21" i="1358"/>
  <c r="W21" i="1358"/>
  <c r="V21" i="1358"/>
  <c r="U21" i="1358"/>
  <c r="T21" i="1358"/>
  <c r="S21" i="1358"/>
  <c r="R21" i="1358"/>
  <c r="N21" i="1358"/>
  <c r="J21" i="1358"/>
  <c r="I21" i="1358"/>
  <c r="AF20" i="1358"/>
  <c r="AB20" i="1358"/>
  <c r="Q20" i="1358"/>
  <c r="P20" i="1358"/>
  <c r="AC20" i="1358" s="1"/>
  <c r="AD20" i="1358" s="1"/>
  <c r="O20" i="1358"/>
  <c r="M20" i="1358"/>
  <c r="K20" i="1358"/>
  <c r="AF19" i="1358"/>
  <c r="Q19" i="1358"/>
  <c r="P19" i="1358" s="1"/>
  <c r="AC19" i="1358" s="1"/>
  <c r="M19" i="1358"/>
  <c r="AF18" i="1358"/>
  <c r="AB18" i="1358"/>
  <c r="Q18" i="1358"/>
  <c r="P18" i="1358" s="1"/>
  <c r="AC18" i="1358" s="1"/>
  <c r="M18" i="1358"/>
  <c r="AF17" i="1358"/>
  <c r="Q17" i="1358"/>
  <c r="O17" i="1358"/>
  <c r="AF16" i="1358"/>
  <c r="AB16" i="1358"/>
  <c r="Q16" i="1358"/>
  <c r="P16" i="1358"/>
  <c r="AC16" i="1358" s="1"/>
  <c r="O16" i="1358"/>
  <c r="AF15" i="1358"/>
  <c r="AC15" i="1358"/>
  <c r="AB15" i="1358"/>
  <c r="Q15" i="1358"/>
  <c r="P15" i="1358"/>
  <c r="O15" i="1358"/>
  <c r="M15" i="1358"/>
  <c r="K15" i="1358"/>
  <c r="AF14" i="1358"/>
  <c r="AB14" i="1358"/>
  <c r="Q14" i="1358"/>
  <c r="P14" i="1358" s="1"/>
  <c r="AC14" i="1358" s="1"/>
  <c r="O14" i="1358"/>
  <c r="M14" i="1358"/>
  <c r="AF13" i="1358"/>
  <c r="AB13" i="1358"/>
  <c r="Q13" i="1358"/>
  <c r="P13" i="1358"/>
  <c r="AC13" i="1358" s="1"/>
  <c r="AD13" i="1358" s="1"/>
  <c r="O13" i="1358"/>
  <c r="M13" i="1358"/>
  <c r="K13" i="1358"/>
  <c r="AF12" i="1358"/>
  <c r="Q12" i="1358"/>
  <c r="AB12" i="1358"/>
  <c r="AF11" i="1358"/>
  <c r="AB11" i="1358"/>
  <c r="Q11" i="1358"/>
  <c r="P11" i="1358"/>
  <c r="AC11" i="1358" s="1"/>
  <c r="O11" i="1358"/>
  <c r="M11" i="1358"/>
  <c r="K11" i="1358"/>
  <c r="AF10" i="1358"/>
  <c r="Q10" i="1358"/>
  <c r="P10" i="1358"/>
  <c r="AC10" i="1358" s="1"/>
  <c r="O10" i="1358"/>
  <c r="AF9" i="1358"/>
  <c r="Q9" i="1358"/>
  <c r="O9" i="1358"/>
  <c r="AB9" i="1358"/>
  <c r="AF8" i="1358"/>
  <c r="AB8" i="1358"/>
  <c r="Q8" i="1358"/>
  <c r="P8" i="1358" s="1"/>
  <c r="AC8" i="1358" s="1"/>
  <c r="M8" i="1358"/>
  <c r="AF7" i="1358"/>
  <c r="AC7" i="1358"/>
  <c r="AD7" i="1358" s="1"/>
  <c r="AB7" i="1358"/>
  <c r="Q7" i="1358"/>
  <c r="P7" i="1358"/>
  <c r="O7" i="1358"/>
  <c r="M7" i="1358"/>
  <c r="K7" i="1358"/>
  <c r="AF6" i="1358"/>
  <c r="AC6" i="1358"/>
  <c r="AB6" i="1358"/>
  <c r="Q6" i="1358"/>
  <c r="P6" i="1358"/>
  <c r="O6" i="1358"/>
  <c r="M6" i="1358"/>
  <c r="K6" i="1358"/>
  <c r="P21" i="1359" l="1"/>
  <c r="AD19" i="1359"/>
  <c r="AB21" i="1359"/>
  <c r="M21" i="1359"/>
  <c r="AD6" i="1359"/>
  <c r="AC21" i="1359"/>
  <c r="AD8" i="1359"/>
  <c r="AB19" i="1358"/>
  <c r="AD19" i="1358" s="1"/>
  <c r="O19" i="1358"/>
  <c r="L21" i="1358"/>
  <c r="O21" i="1358" s="1"/>
  <c r="AD16" i="1358"/>
  <c r="M10" i="1358"/>
  <c r="AB10" i="1358"/>
  <c r="AD10" i="1358" s="1"/>
  <c r="Q21" i="1358"/>
  <c r="AD15" i="1358"/>
  <c r="AD11" i="1358"/>
  <c r="AD14" i="1358"/>
  <c r="AD8" i="1358"/>
  <c r="K21" i="1358"/>
  <c r="O12" i="1358"/>
  <c r="AD6" i="1358"/>
  <c r="O8" i="1358"/>
  <c r="P9" i="1358"/>
  <c r="AC9" i="1358" s="1"/>
  <c r="AD9" i="1358" s="1"/>
  <c r="P12" i="1358"/>
  <c r="AC12" i="1358" s="1"/>
  <c r="P17" i="1358"/>
  <c r="AC17" i="1358" s="1"/>
  <c r="AD17" i="1358" s="1"/>
  <c r="M9" i="1358"/>
  <c r="M12" i="1358"/>
  <c r="M17" i="1358"/>
  <c r="AD20" i="1357"/>
  <c r="AD19" i="1357"/>
  <c r="AD18" i="1357"/>
  <c r="AD17" i="1357"/>
  <c r="AD16" i="1357"/>
  <c r="AD15" i="1357"/>
  <c r="AD14" i="1357"/>
  <c r="AD13" i="1357"/>
  <c r="AD12" i="1357"/>
  <c r="AD11" i="1357"/>
  <c r="AD10" i="1357"/>
  <c r="AD9" i="1357"/>
  <c r="AD8" i="1357"/>
  <c r="AD7" i="1357"/>
  <c r="J3" i="16"/>
  <c r="L18" i="1357"/>
  <c r="K18" i="1357" s="1"/>
  <c r="L17" i="1357"/>
  <c r="O17" i="1357" s="1"/>
  <c r="L16" i="1357"/>
  <c r="K16" i="1357" s="1"/>
  <c r="K14" i="1357"/>
  <c r="L12" i="1357"/>
  <c r="K12" i="1357"/>
  <c r="L10" i="1357"/>
  <c r="K10" i="1357" s="1"/>
  <c r="L9" i="1357"/>
  <c r="K9" i="1357" s="1"/>
  <c r="L8" i="1357"/>
  <c r="K8" i="1357"/>
  <c r="A74" i="1357"/>
  <c r="A75" i="1357" s="1"/>
  <c r="A76" i="1357" s="1"/>
  <c r="A77" i="1357" s="1"/>
  <c r="A78" i="1357" s="1"/>
  <c r="A79" i="1357" s="1"/>
  <c r="A80" i="1357" s="1"/>
  <c r="A81" i="1357" s="1"/>
  <c r="AF62" i="1357"/>
  <c r="AF60" i="1357"/>
  <c r="AF59" i="1357"/>
  <c r="AA21" i="1357"/>
  <c r="Z21" i="1357"/>
  <c r="Y21" i="1357"/>
  <c r="X21" i="1357"/>
  <c r="W21" i="1357"/>
  <c r="V21" i="1357"/>
  <c r="U21" i="1357"/>
  <c r="T21" i="1357"/>
  <c r="S21" i="1357"/>
  <c r="R21" i="1357"/>
  <c r="N21" i="1357"/>
  <c r="J21" i="1357"/>
  <c r="I21" i="1357"/>
  <c r="AF20" i="1357"/>
  <c r="AB20" i="1357"/>
  <c r="Q20" i="1357"/>
  <c r="P20" i="1357"/>
  <c r="AC20" i="1357" s="1"/>
  <c r="O20" i="1357"/>
  <c r="M20" i="1357"/>
  <c r="K20" i="1357"/>
  <c r="AF19" i="1357"/>
  <c r="AB19" i="1357"/>
  <c r="Q19" i="1357"/>
  <c r="P19" i="1357"/>
  <c r="AC19" i="1357" s="1"/>
  <c r="O19" i="1357"/>
  <c r="M19" i="1357"/>
  <c r="K19" i="1357"/>
  <c r="AF18" i="1357"/>
  <c r="AB18" i="1357"/>
  <c r="Q18" i="1357"/>
  <c r="P18" i="1357"/>
  <c r="AC18" i="1357" s="1"/>
  <c r="M18" i="1357"/>
  <c r="O18" i="1357"/>
  <c r="AF17" i="1357"/>
  <c r="Q17" i="1357"/>
  <c r="AF16" i="1357"/>
  <c r="AB16" i="1357"/>
  <c r="Q16" i="1357"/>
  <c r="P16" i="1357" s="1"/>
  <c r="AC16" i="1357" s="1"/>
  <c r="O16" i="1357"/>
  <c r="M16" i="1357"/>
  <c r="AF15" i="1357"/>
  <c r="AC15" i="1357"/>
  <c r="AB15" i="1357"/>
  <c r="Q15" i="1357"/>
  <c r="P15" i="1357"/>
  <c r="O15" i="1357"/>
  <c r="M15" i="1357"/>
  <c r="K15" i="1357"/>
  <c r="AF14" i="1357"/>
  <c r="AB14" i="1357"/>
  <c r="Q14" i="1357"/>
  <c r="P14" i="1357" s="1"/>
  <c r="AC14" i="1357" s="1"/>
  <c r="O14" i="1357"/>
  <c r="M14" i="1357"/>
  <c r="AF13" i="1357"/>
  <c r="AB13" i="1357"/>
  <c r="Q13" i="1357"/>
  <c r="P13" i="1357"/>
  <c r="AC13" i="1357" s="1"/>
  <c r="O13" i="1357"/>
  <c r="M13" i="1357"/>
  <c r="K13" i="1357"/>
  <c r="AF12" i="1357"/>
  <c r="Q12" i="1357"/>
  <c r="O12" i="1357"/>
  <c r="AB12" i="1357"/>
  <c r="AF11" i="1357"/>
  <c r="AB11" i="1357"/>
  <c r="Q11" i="1357"/>
  <c r="P11" i="1357"/>
  <c r="AC11" i="1357" s="1"/>
  <c r="O11" i="1357"/>
  <c r="M11" i="1357"/>
  <c r="K11" i="1357"/>
  <c r="AF10" i="1357"/>
  <c r="Q10" i="1357"/>
  <c r="AF9" i="1357"/>
  <c r="AB9" i="1357"/>
  <c r="Q9" i="1357"/>
  <c r="P9" i="1357" s="1"/>
  <c r="AC9" i="1357" s="1"/>
  <c r="O9" i="1357"/>
  <c r="M9" i="1357"/>
  <c r="AF8" i="1357"/>
  <c r="Q8" i="1357"/>
  <c r="P8" i="1357" s="1"/>
  <c r="AC8" i="1357" s="1"/>
  <c r="AF7" i="1357"/>
  <c r="AB7" i="1357"/>
  <c r="Q7" i="1357"/>
  <c r="P7" i="1357"/>
  <c r="AC7" i="1357" s="1"/>
  <c r="O7" i="1357"/>
  <c r="M7" i="1357"/>
  <c r="K7" i="1357"/>
  <c r="AF6" i="1357"/>
  <c r="AB6" i="1357"/>
  <c r="Q6" i="1357"/>
  <c r="P6" i="1357"/>
  <c r="O6" i="1357"/>
  <c r="M6" i="1357"/>
  <c r="K6" i="1357"/>
  <c r="AD21" i="1359" l="1"/>
  <c r="M21" i="1358"/>
  <c r="P21" i="1358"/>
  <c r="AD12" i="1358"/>
  <c r="AB17" i="1357"/>
  <c r="K17" i="1357"/>
  <c r="P10" i="1357"/>
  <c r="AC10" i="1357" s="1"/>
  <c r="M10" i="1357"/>
  <c r="O10" i="1357"/>
  <c r="AB10" i="1357"/>
  <c r="Q21" i="1357"/>
  <c r="AC6" i="1357"/>
  <c r="M8" i="1357"/>
  <c r="AB8" i="1357"/>
  <c r="P12" i="1357"/>
  <c r="AC12" i="1357" s="1"/>
  <c r="P17" i="1357"/>
  <c r="AC17" i="1357" s="1"/>
  <c r="O8" i="1357"/>
  <c r="L21" i="1357"/>
  <c r="O21" i="1357" s="1"/>
  <c r="K21" i="1357"/>
  <c r="M12" i="1357"/>
  <c r="M17" i="1357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18" i="1356"/>
  <c r="O18" i="1356" s="1"/>
  <c r="L17" i="1356"/>
  <c r="L16" i="1356"/>
  <c r="O16" i="1356" s="1"/>
  <c r="L12" i="1356"/>
  <c r="L10" i="1356"/>
  <c r="K10" i="1356" s="1"/>
  <c r="L8" i="1356"/>
  <c r="K8" i="1356" s="1"/>
  <c r="K19" i="1356"/>
  <c r="K18" i="1356"/>
  <c r="K17" i="1356"/>
  <c r="K16" i="1356"/>
  <c r="K15" i="1356"/>
  <c r="K13" i="1356"/>
  <c r="K9" i="1356"/>
  <c r="A74" i="1356"/>
  <c r="A75" i="1356" s="1"/>
  <c r="A76" i="1356" s="1"/>
  <c r="A77" i="1356" s="1"/>
  <c r="A78" i="1356" s="1"/>
  <c r="A79" i="1356" s="1"/>
  <c r="A80" i="1356" s="1"/>
  <c r="A81" i="1356" s="1"/>
  <c r="AF60" i="1356"/>
  <c r="AF59" i="1356"/>
  <c r="AF62" i="1356" s="1"/>
  <c r="AA21" i="1356"/>
  <c r="Z21" i="1356"/>
  <c r="Y21" i="1356"/>
  <c r="X21" i="1356"/>
  <c r="W21" i="1356"/>
  <c r="V21" i="1356"/>
  <c r="U21" i="1356"/>
  <c r="T21" i="1356"/>
  <c r="S21" i="1356"/>
  <c r="R21" i="1356"/>
  <c r="N21" i="1356"/>
  <c r="J21" i="1356"/>
  <c r="I21" i="1356"/>
  <c r="AF20" i="1356"/>
  <c r="AB20" i="1356"/>
  <c r="Q20" i="1356"/>
  <c r="P20" i="1356"/>
  <c r="AC20" i="1356" s="1"/>
  <c r="AD20" i="1356" s="1"/>
  <c r="O20" i="1356"/>
  <c r="M20" i="1356"/>
  <c r="K20" i="1356"/>
  <c r="AF19" i="1356"/>
  <c r="AB19" i="1356"/>
  <c r="Q19" i="1356"/>
  <c r="P19" i="1356" s="1"/>
  <c r="AC19" i="1356" s="1"/>
  <c r="O19" i="1356"/>
  <c r="M19" i="1356"/>
  <c r="AF18" i="1356"/>
  <c r="AB18" i="1356"/>
  <c r="Q18" i="1356"/>
  <c r="P18" i="1356" s="1"/>
  <c r="AC18" i="1356" s="1"/>
  <c r="M18" i="1356"/>
  <c r="AF17" i="1356"/>
  <c r="Q17" i="1356"/>
  <c r="P17" i="1356"/>
  <c r="AC17" i="1356" s="1"/>
  <c r="AF16" i="1356"/>
  <c r="Q16" i="1356"/>
  <c r="P16" i="1356"/>
  <c r="AC16" i="1356" s="1"/>
  <c r="AF15" i="1356"/>
  <c r="AB15" i="1356"/>
  <c r="Q15" i="1356"/>
  <c r="P15" i="1356"/>
  <c r="AC15" i="1356" s="1"/>
  <c r="O15" i="1356"/>
  <c r="M15" i="1356"/>
  <c r="AF14" i="1356"/>
  <c r="AB14" i="1356"/>
  <c r="Q14" i="1356"/>
  <c r="P14" i="1356" s="1"/>
  <c r="AC14" i="1356" s="1"/>
  <c r="O14" i="1356"/>
  <c r="M14" i="1356"/>
  <c r="K14" i="1356"/>
  <c r="AF13" i="1356"/>
  <c r="Q13" i="1356"/>
  <c r="P13" i="1356"/>
  <c r="AC13" i="1356" s="1"/>
  <c r="O13" i="1356"/>
  <c r="AF12" i="1356"/>
  <c r="Q12" i="1356"/>
  <c r="AF11" i="1356"/>
  <c r="AB11" i="1356"/>
  <c r="Q11" i="1356"/>
  <c r="P11" i="1356"/>
  <c r="AC11" i="1356" s="1"/>
  <c r="O11" i="1356"/>
  <c r="M11" i="1356"/>
  <c r="K11" i="1356"/>
  <c r="AF10" i="1356"/>
  <c r="Q10" i="1356"/>
  <c r="P10" i="1356"/>
  <c r="AC10" i="1356" s="1"/>
  <c r="AF9" i="1356"/>
  <c r="AB9" i="1356"/>
  <c r="Q9" i="1356"/>
  <c r="P9" i="1356"/>
  <c r="AC9" i="1356" s="1"/>
  <c r="O9" i="1356"/>
  <c r="M9" i="1356"/>
  <c r="AF8" i="1356"/>
  <c r="AB8" i="1356"/>
  <c r="Q8" i="1356"/>
  <c r="O8" i="1356"/>
  <c r="M8" i="1356"/>
  <c r="AF7" i="1356"/>
  <c r="AB7" i="1356"/>
  <c r="Q7" i="1356"/>
  <c r="P7" i="1356"/>
  <c r="AC7" i="1356" s="1"/>
  <c r="O7" i="1356"/>
  <c r="M7" i="1356"/>
  <c r="K7" i="1356"/>
  <c r="AF6" i="1356"/>
  <c r="AC6" i="1356"/>
  <c r="AB6" i="1356"/>
  <c r="Q6" i="1356"/>
  <c r="P6" i="1356"/>
  <c r="O6" i="1356"/>
  <c r="M6" i="1356"/>
  <c r="K6" i="1356"/>
  <c r="AE16" i="1359" l="1"/>
  <c r="AE9" i="1359"/>
  <c r="AE15" i="1359"/>
  <c r="AE13" i="1359"/>
  <c r="AE20" i="1359"/>
  <c r="AE17" i="1359"/>
  <c r="AE14" i="1359"/>
  <c r="AE12" i="1359"/>
  <c r="AE10" i="1359"/>
  <c r="AE7" i="1359"/>
  <c r="AE18" i="1359"/>
  <c r="AE8" i="1359"/>
  <c r="AE19" i="1359"/>
  <c r="AE11" i="1359"/>
  <c r="AE6" i="1359"/>
  <c r="AE19" i="1358"/>
  <c r="AE16" i="1358"/>
  <c r="AE11" i="1358"/>
  <c r="AE8" i="1358"/>
  <c r="AE14" i="1358"/>
  <c r="AE6" i="1358"/>
  <c r="AE7" i="1358"/>
  <c r="AE17" i="1358"/>
  <c r="AE12" i="1358"/>
  <c r="AE9" i="1358"/>
  <c r="AE20" i="1358"/>
  <c r="AE18" i="1358"/>
  <c r="AE10" i="1358"/>
  <c r="AE15" i="1358"/>
  <c r="AE13" i="1358"/>
  <c r="M21" i="1357"/>
  <c r="AB21" i="1357"/>
  <c r="P21" i="1357"/>
  <c r="AC21" i="1357"/>
  <c r="AD6" i="1357"/>
  <c r="AD9" i="1356"/>
  <c r="AD15" i="1356"/>
  <c r="AD19" i="1356"/>
  <c r="AD7" i="1356"/>
  <c r="AD11" i="1356"/>
  <c r="AD18" i="1356"/>
  <c r="AD14" i="1356"/>
  <c r="P12" i="1356"/>
  <c r="AC12" i="1356" s="1"/>
  <c r="M12" i="1356"/>
  <c r="AB12" i="1356"/>
  <c r="K12" i="1356"/>
  <c r="O12" i="1356"/>
  <c r="Q21" i="1356"/>
  <c r="L21" i="1356"/>
  <c r="O21" i="1356" s="1"/>
  <c r="O10" i="1356"/>
  <c r="AD6" i="1356"/>
  <c r="AB17" i="1356"/>
  <c r="K21" i="1356"/>
  <c r="P8" i="1356"/>
  <c r="AC8" i="1356" s="1"/>
  <c r="AD8" i="1356" s="1"/>
  <c r="M10" i="1356"/>
  <c r="AB10" i="1356"/>
  <c r="M13" i="1356"/>
  <c r="AB13" i="1356"/>
  <c r="M16" i="1356"/>
  <c r="AB16" i="1356"/>
  <c r="AD16" i="1356" s="1"/>
  <c r="O17" i="1356"/>
  <c r="AD17" i="1356" s="1"/>
  <c r="M17" i="135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AF19" i="1355"/>
  <c r="AB19" i="1355"/>
  <c r="Q19" i="1355"/>
  <c r="P19" i="1355" s="1"/>
  <c r="AC19" i="1355" s="1"/>
  <c r="AD19" i="1355" s="1"/>
  <c r="O19" i="1355"/>
  <c r="M19" i="1355"/>
  <c r="K19" i="1355"/>
  <c r="K20" i="1355"/>
  <c r="L18" i="1355"/>
  <c r="K18" i="1355" s="1"/>
  <c r="L17" i="1355"/>
  <c r="O17" i="1355" s="1"/>
  <c r="L16" i="1355"/>
  <c r="K16" i="1355" s="1"/>
  <c r="L15" i="1355"/>
  <c r="K14" i="1355"/>
  <c r="L13" i="1355"/>
  <c r="K13" i="1355" s="1"/>
  <c r="L12" i="1355"/>
  <c r="K12" i="1355" s="1"/>
  <c r="L10" i="1355"/>
  <c r="AB10" i="1355" s="1"/>
  <c r="L9" i="1355"/>
  <c r="K9" i="1355" s="1"/>
  <c r="L8" i="1355"/>
  <c r="AB8" i="1355" s="1"/>
  <c r="K15" i="1355"/>
  <c r="A75" i="1355"/>
  <c r="A76" i="1355" s="1"/>
  <c r="A77" i="1355" s="1"/>
  <c r="A78" i="1355" s="1"/>
  <c r="A79" i="1355" s="1"/>
  <c r="A80" i="1355" s="1"/>
  <c r="A81" i="1355" s="1"/>
  <c r="A82" i="1355" s="1"/>
  <c r="AF61" i="1355"/>
  <c r="AF63" i="1355" s="1"/>
  <c r="AF60" i="1355"/>
  <c r="AA22" i="1355"/>
  <c r="Z22" i="1355"/>
  <c r="Y22" i="1355"/>
  <c r="X22" i="1355"/>
  <c r="W22" i="1355"/>
  <c r="V22" i="1355"/>
  <c r="U22" i="1355"/>
  <c r="T22" i="1355"/>
  <c r="S22" i="1355"/>
  <c r="R22" i="1355"/>
  <c r="N22" i="1355"/>
  <c r="J22" i="1355"/>
  <c r="I22" i="1355"/>
  <c r="AF21" i="1355"/>
  <c r="AB21" i="1355"/>
  <c r="Q21" i="1355"/>
  <c r="P21" i="1355"/>
  <c r="AC21" i="1355" s="1"/>
  <c r="O21" i="1355"/>
  <c r="M21" i="1355"/>
  <c r="K21" i="1355"/>
  <c r="AF20" i="1355"/>
  <c r="AB20" i="1355"/>
  <c r="Q20" i="1355"/>
  <c r="P20" i="1355" s="1"/>
  <c r="AC20" i="1355" s="1"/>
  <c r="M20" i="1355"/>
  <c r="O20" i="1355"/>
  <c r="AF18" i="1355"/>
  <c r="Q18" i="1355"/>
  <c r="P18" i="1355" s="1"/>
  <c r="AC18" i="1355" s="1"/>
  <c r="AF17" i="1355"/>
  <c r="Q17" i="1355"/>
  <c r="AF16" i="1355"/>
  <c r="Q16" i="1355"/>
  <c r="AF15" i="1355"/>
  <c r="AB15" i="1355"/>
  <c r="Q15" i="1355"/>
  <c r="P15" i="1355" s="1"/>
  <c r="AC15" i="1355" s="1"/>
  <c r="M15" i="1355"/>
  <c r="O15" i="1355"/>
  <c r="AF14" i="1355"/>
  <c r="AB14" i="1355"/>
  <c r="Q14" i="1355"/>
  <c r="P14" i="1355"/>
  <c r="AC14" i="1355" s="1"/>
  <c r="O14" i="1355"/>
  <c r="M14" i="1355"/>
  <c r="AF13" i="1355"/>
  <c r="Q13" i="1355"/>
  <c r="O13" i="1355"/>
  <c r="AB13" i="1355"/>
  <c r="AF12" i="1355"/>
  <c r="AB12" i="1355"/>
  <c r="Q12" i="1355"/>
  <c r="P12" i="1355"/>
  <c r="AC12" i="1355" s="1"/>
  <c r="O12" i="1355"/>
  <c r="M12" i="1355"/>
  <c r="AF11" i="1355"/>
  <c r="AB11" i="1355"/>
  <c r="Q11" i="1355"/>
  <c r="P11" i="1355"/>
  <c r="AC11" i="1355" s="1"/>
  <c r="O11" i="1355"/>
  <c r="M11" i="1355"/>
  <c r="K11" i="1355"/>
  <c r="AF10" i="1355"/>
  <c r="Q10" i="1355"/>
  <c r="AF9" i="1355"/>
  <c r="Q9" i="1355"/>
  <c r="AF8" i="1355"/>
  <c r="Q8" i="1355"/>
  <c r="P8" i="1355"/>
  <c r="AC8" i="1355" s="1"/>
  <c r="M8" i="1355"/>
  <c r="AF7" i="1355"/>
  <c r="AB7" i="1355"/>
  <c r="Q7" i="1355"/>
  <c r="P7" i="1355"/>
  <c r="AC7" i="1355" s="1"/>
  <c r="O7" i="1355"/>
  <c r="M7" i="1355"/>
  <c r="K7" i="1355"/>
  <c r="AF6" i="1355"/>
  <c r="AB6" i="1355"/>
  <c r="Q6" i="1355"/>
  <c r="P6" i="1355"/>
  <c r="AC6" i="1355" s="1"/>
  <c r="O6" i="1355"/>
  <c r="M6" i="1355"/>
  <c r="K6" i="1355"/>
  <c r="AE16" i="1357" l="1"/>
  <c r="AD10" i="1356"/>
  <c r="AD12" i="1356"/>
  <c r="AB21" i="1356"/>
  <c r="P21" i="1356"/>
  <c r="M21" i="1356"/>
  <c r="AD13" i="1356"/>
  <c r="AC21" i="1356"/>
  <c r="AD7" i="1355"/>
  <c r="AD21" i="1355"/>
  <c r="P17" i="1355"/>
  <c r="AC17" i="1355" s="1"/>
  <c r="AD17" i="1355" s="1"/>
  <c r="K17" i="1355"/>
  <c r="M17" i="1355"/>
  <c r="AB17" i="1355"/>
  <c r="AB16" i="1355"/>
  <c r="O16" i="1355"/>
  <c r="K8" i="1355"/>
  <c r="AD15" i="1355"/>
  <c r="Q22" i="1355"/>
  <c r="P10" i="1355"/>
  <c r="AC10" i="1355" s="1"/>
  <c r="O10" i="1355"/>
  <c r="K10" i="1355"/>
  <c r="M10" i="1355"/>
  <c r="O9" i="1355"/>
  <c r="AB9" i="1355"/>
  <c r="L22" i="1355"/>
  <c r="O22" i="1355" s="1"/>
  <c r="AD12" i="1355"/>
  <c r="AD14" i="1355"/>
  <c r="AD11" i="1355"/>
  <c r="AD20" i="1355"/>
  <c r="AD6" i="1355"/>
  <c r="O8" i="1355"/>
  <c r="AD8" i="1355" s="1"/>
  <c r="K22" i="1355"/>
  <c r="P9" i="1355"/>
  <c r="AC9" i="1355" s="1"/>
  <c r="P13" i="1355"/>
  <c r="AC13" i="1355" s="1"/>
  <c r="AD13" i="1355" s="1"/>
  <c r="P16" i="1355"/>
  <c r="AC16" i="1355" s="1"/>
  <c r="M18" i="1355"/>
  <c r="AB18" i="1355"/>
  <c r="O18" i="1355"/>
  <c r="M9" i="1355"/>
  <c r="M13" i="1355"/>
  <c r="M16" i="1355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0" i="1354"/>
  <c r="L19" i="1354"/>
  <c r="L18" i="1354"/>
  <c r="L17" i="1354"/>
  <c r="K17" i="1354"/>
  <c r="AE8" i="1357" l="1"/>
  <c r="AE19" i="1357"/>
  <c r="AE9" i="1357"/>
  <c r="AE7" i="1357"/>
  <c r="AE14" i="1357"/>
  <c r="AE10" i="1357"/>
  <c r="AE6" i="1357"/>
  <c r="AE13" i="1357"/>
  <c r="AE18" i="1357"/>
  <c r="AE12" i="1357"/>
  <c r="AE11" i="1357"/>
  <c r="AE15" i="1357"/>
  <c r="AE20" i="1357"/>
  <c r="AE17" i="1357"/>
  <c r="AE19" i="1356"/>
  <c r="AE18" i="1356"/>
  <c r="AE14" i="1356"/>
  <c r="AE11" i="1356"/>
  <c r="AE8" i="1356"/>
  <c r="AE20" i="1356"/>
  <c r="AE13" i="1356"/>
  <c r="AE17" i="1356"/>
  <c r="AE7" i="1356"/>
  <c r="AE15" i="1356"/>
  <c r="AE12" i="1356"/>
  <c r="AE9" i="1356"/>
  <c r="AE6" i="1356"/>
  <c r="AE16" i="1356"/>
  <c r="AE10" i="1356"/>
  <c r="AD10" i="1355"/>
  <c r="AD16" i="1355"/>
  <c r="AB22" i="1355"/>
  <c r="AD9" i="1355"/>
  <c r="M22" i="1355"/>
  <c r="AD18" i="1355"/>
  <c r="P22" i="1355"/>
  <c r="AC22" i="1355"/>
  <c r="L16" i="1354"/>
  <c r="L14" i="1354"/>
  <c r="K14" i="1354"/>
  <c r="AF17" i="1354"/>
  <c r="AB17" i="1354"/>
  <c r="Q17" i="1354"/>
  <c r="P17" i="1354" s="1"/>
  <c r="AC17" i="1354" s="1"/>
  <c r="O17" i="1354"/>
  <c r="M17" i="1354"/>
  <c r="K13" i="1354"/>
  <c r="AF13" i="1354"/>
  <c r="AB13" i="1354"/>
  <c r="Q13" i="1354"/>
  <c r="P13" i="1354" s="1"/>
  <c r="AC13" i="1354" s="1"/>
  <c r="O13" i="1354"/>
  <c r="M13" i="1354"/>
  <c r="L10" i="1354"/>
  <c r="L9" i="1354"/>
  <c r="K9" i="1354"/>
  <c r="L8" i="1354"/>
  <c r="K8" i="1354" s="1"/>
  <c r="K20" i="1354"/>
  <c r="K19" i="1354"/>
  <c r="K18" i="1354"/>
  <c r="K16" i="1354"/>
  <c r="K12" i="1354"/>
  <c r="K11" i="1354"/>
  <c r="K10" i="1354"/>
  <c r="A76" i="1354"/>
  <c r="A77" i="1354" s="1"/>
  <c r="A78" i="1354" s="1"/>
  <c r="A79" i="1354" s="1"/>
  <c r="A80" i="1354" s="1"/>
  <c r="A81" i="1354" s="1"/>
  <c r="A82" i="1354" s="1"/>
  <c r="A75" i="1354"/>
  <c r="AF61" i="1354"/>
  <c r="AF60" i="1354"/>
  <c r="AF63" i="1354" s="1"/>
  <c r="AA22" i="1354"/>
  <c r="Z22" i="1354"/>
  <c r="Y22" i="1354"/>
  <c r="X22" i="1354"/>
  <c r="W22" i="1354"/>
  <c r="V22" i="1354"/>
  <c r="U22" i="1354"/>
  <c r="T22" i="1354"/>
  <c r="S22" i="1354"/>
  <c r="R22" i="1354"/>
  <c r="N22" i="1354"/>
  <c r="J22" i="1354"/>
  <c r="I22" i="1354"/>
  <c r="AF21" i="1354"/>
  <c r="AB21" i="1354"/>
  <c r="Q21" i="1354"/>
  <c r="P21" i="1354"/>
  <c r="AC21" i="1354" s="1"/>
  <c r="O21" i="1354"/>
  <c r="M21" i="1354"/>
  <c r="K21" i="1354"/>
  <c r="AF20" i="1354"/>
  <c r="AB20" i="1354"/>
  <c r="Q20" i="1354"/>
  <c r="P20" i="1354" s="1"/>
  <c r="AC20" i="1354" s="1"/>
  <c r="O20" i="1354"/>
  <c r="M20" i="1354"/>
  <c r="AF19" i="1354"/>
  <c r="Q19" i="1354"/>
  <c r="O19" i="1354"/>
  <c r="AF18" i="1354"/>
  <c r="AB18" i="1354"/>
  <c r="Q18" i="1354"/>
  <c r="P18" i="1354"/>
  <c r="AC18" i="1354" s="1"/>
  <c r="O18" i="1354"/>
  <c r="M18" i="1354"/>
  <c r="AF16" i="1354"/>
  <c r="Q16" i="1354"/>
  <c r="O16" i="1354"/>
  <c r="AF15" i="1354"/>
  <c r="AB15" i="1354"/>
  <c r="Q15" i="1354"/>
  <c r="P15" i="1354"/>
  <c r="AC15" i="1354" s="1"/>
  <c r="O15" i="1354"/>
  <c r="M15" i="1354"/>
  <c r="K15" i="1354"/>
  <c r="AF14" i="1354"/>
  <c r="AB14" i="1354"/>
  <c r="Q14" i="1354"/>
  <c r="P14" i="1354"/>
  <c r="AC14" i="1354" s="1"/>
  <c r="O14" i="1354"/>
  <c r="M14" i="1354"/>
  <c r="AF12" i="1354"/>
  <c r="Q12" i="1354"/>
  <c r="P12" i="1354" s="1"/>
  <c r="AC12" i="1354" s="1"/>
  <c r="AB12" i="1354"/>
  <c r="AF11" i="1354"/>
  <c r="AB11" i="1354"/>
  <c r="Q11" i="1354"/>
  <c r="P11" i="1354"/>
  <c r="AC11" i="1354" s="1"/>
  <c r="O11" i="1354"/>
  <c r="M11" i="1354"/>
  <c r="AF10" i="1354"/>
  <c r="Q10" i="1354"/>
  <c r="O10" i="1354"/>
  <c r="AF9" i="1354"/>
  <c r="Q9" i="1354"/>
  <c r="P9" i="1354" s="1"/>
  <c r="AC9" i="1354" s="1"/>
  <c r="AB9" i="1354"/>
  <c r="AF8" i="1354"/>
  <c r="Q8" i="1354"/>
  <c r="P8" i="1354" s="1"/>
  <c r="AC8" i="1354" s="1"/>
  <c r="O8" i="1354"/>
  <c r="L22" i="1354"/>
  <c r="O22" i="1354" s="1"/>
  <c r="AF7" i="1354"/>
  <c r="AB7" i="1354"/>
  <c r="Q7" i="1354"/>
  <c r="P7" i="1354"/>
  <c r="AC7" i="1354" s="1"/>
  <c r="AD7" i="1354" s="1"/>
  <c r="O7" i="1354"/>
  <c r="M7" i="1354"/>
  <c r="K7" i="1354"/>
  <c r="AF6" i="1354"/>
  <c r="AB6" i="1354"/>
  <c r="Q6" i="1354"/>
  <c r="P6" i="1354"/>
  <c r="O6" i="1354"/>
  <c r="M6" i="1354"/>
  <c r="K6" i="1354"/>
  <c r="AD17" i="1354" l="1"/>
  <c r="AD13" i="1354"/>
  <c r="AD11" i="1354"/>
  <c r="AD14" i="1354"/>
  <c r="AD20" i="1354"/>
  <c r="AD21" i="1354"/>
  <c r="AD15" i="1354"/>
  <c r="Q22" i="1354"/>
  <c r="AD18" i="1354"/>
  <c r="M10" i="1354"/>
  <c r="AC6" i="1354"/>
  <c r="M8" i="1354"/>
  <c r="AB8" i="1354"/>
  <c r="O9" i="1354"/>
  <c r="AD9" i="1354" s="1"/>
  <c r="K22" i="1354"/>
  <c r="P10" i="1354"/>
  <c r="AC10" i="1354" s="1"/>
  <c r="O12" i="1354"/>
  <c r="AD12" i="1354" s="1"/>
  <c r="P16" i="1354"/>
  <c r="AC16" i="1354" s="1"/>
  <c r="P19" i="1354"/>
  <c r="AC19" i="1354" s="1"/>
  <c r="M16" i="1354"/>
  <c r="AB16" i="1354"/>
  <c r="M19" i="1354"/>
  <c r="AB19" i="1354"/>
  <c r="AB10" i="1354"/>
  <c r="M9" i="1354"/>
  <c r="M12" i="1354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K19" i="1353"/>
  <c r="L18" i="1353"/>
  <c r="L17" i="1353"/>
  <c r="L15" i="1353"/>
  <c r="K15" i="1353" s="1"/>
  <c r="L12" i="1353"/>
  <c r="L10" i="1353"/>
  <c r="L9" i="1353"/>
  <c r="L8" i="1353"/>
  <c r="AE15" i="1355" l="1"/>
  <c r="AE19" i="1355"/>
  <c r="AE6" i="1355"/>
  <c r="AE20" i="1355"/>
  <c r="AE21" i="1355"/>
  <c r="AE16" i="1355"/>
  <c r="AE18" i="1355"/>
  <c r="AE8" i="1355"/>
  <c r="AE10" i="1355"/>
  <c r="AE11" i="1355"/>
  <c r="AE7" i="1355"/>
  <c r="AE12" i="1355"/>
  <c r="AE9" i="1355"/>
  <c r="AE14" i="1355"/>
  <c r="AE17" i="1355"/>
  <c r="AE13" i="1355"/>
  <c r="M22" i="1354"/>
  <c r="AB22" i="1354"/>
  <c r="AD16" i="1354"/>
  <c r="AD8" i="1354"/>
  <c r="P22" i="1354"/>
  <c r="AD19" i="1354"/>
  <c r="AD10" i="1354"/>
  <c r="AC22" i="1354"/>
  <c r="AD6" i="1354"/>
  <c r="K18" i="1353"/>
  <c r="K17" i="1353"/>
  <c r="K12" i="1353"/>
  <c r="K11" i="1353"/>
  <c r="K10" i="1353"/>
  <c r="K9" i="1353"/>
  <c r="A74" i="1353"/>
  <c r="A75" i="1353" s="1"/>
  <c r="A76" i="1353" s="1"/>
  <c r="A77" i="1353" s="1"/>
  <c r="A78" i="1353" s="1"/>
  <c r="A79" i="1353" s="1"/>
  <c r="A80" i="1353" s="1"/>
  <c r="A81" i="1353" s="1"/>
  <c r="AF60" i="1353"/>
  <c r="AF59" i="1353"/>
  <c r="AA21" i="1353"/>
  <c r="Z21" i="1353"/>
  <c r="Y21" i="1353"/>
  <c r="X21" i="1353"/>
  <c r="W21" i="1353"/>
  <c r="V21" i="1353"/>
  <c r="U21" i="1353"/>
  <c r="T21" i="1353"/>
  <c r="S21" i="1353"/>
  <c r="R21" i="1353"/>
  <c r="N21" i="1353"/>
  <c r="J21" i="1353"/>
  <c r="I21" i="1353"/>
  <c r="AF20" i="1353"/>
  <c r="AB20" i="1353"/>
  <c r="Q20" i="1353"/>
  <c r="P20" i="1353"/>
  <c r="AC20" i="1353" s="1"/>
  <c r="O20" i="1353"/>
  <c r="M20" i="1353"/>
  <c r="K20" i="1353"/>
  <c r="AF19" i="1353"/>
  <c r="AB19" i="1353"/>
  <c r="Q19" i="1353"/>
  <c r="P19" i="1353" s="1"/>
  <c r="AC19" i="1353" s="1"/>
  <c r="O19" i="1353"/>
  <c r="M19" i="1353"/>
  <c r="AF18" i="1353"/>
  <c r="AB18" i="1353"/>
  <c r="Q18" i="1353"/>
  <c r="P18" i="1353"/>
  <c r="AC18" i="1353" s="1"/>
  <c r="O18" i="1353"/>
  <c r="M18" i="1353"/>
  <c r="AF17" i="1353"/>
  <c r="Q17" i="1353"/>
  <c r="O17" i="1353"/>
  <c r="P17" i="1353"/>
  <c r="AC17" i="1353" s="1"/>
  <c r="AF16" i="1353"/>
  <c r="AB16" i="1353"/>
  <c r="Q16" i="1353"/>
  <c r="P16" i="1353"/>
  <c r="AC16" i="1353" s="1"/>
  <c r="AD16" i="1353" s="1"/>
  <c r="O16" i="1353"/>
  <c r="M16" i="1353"/>
  <c r="K16" i="1353"/>
  <c r="AF15" i="1353"/>
  <c r="AB15" i="1353"/>
  <c r="Q15" i="1353"/>
  <c r="P15" i="1353" s="1"/>
  <c r="AC15" i="1353" s="1"/>
  <c r="O15" i="1353"/>
  <c r="M15" i="1353"/>
  <c r="AF14" i="1353"/>
  <c r="AB14" i="1353"/>
  <c r="Q14" i="1353"/>
  <c r="P14" i="1353"/>
  <c r="AC14" i="1353" s="1"/>
  <c r="O14" i="1353"/>
  <c r="M14" i="1353"/>
  <c r="K14" i="1353"/>
  <c r="AF13" i="1353"/>
  <c r="AB13" i="1353"/>
  <c r="Q13" i="1353"/>
  <c r="P13" i="1353"/>
  <c r="AC13" i="1353" s="1"/>
  <c r="O13" i="1353"/>
  <c r="M13" i="1353"/>
  <c r="K13" i="1353"/>
  <c r="AF12" i="1353"/>
  <c r="AB12" i="1353"/>
  <c r="Q12" i="1353"/>
  <c r="P12" i="1353"/>
  <c r="AC12" i="1353" s="1"/>
  <c r="M12" i="1353"/>
  <c r="O12" i="1353"/>
  <c r="AF11" i="1353"/>
  <c r="Q11" i="1353"/>
  <c r="O11" i="1353"/>
  <c r="AF10" i="1353"/>
  <c r="AB10" i="1353"/>
  <c r="Q10" i="1353"/>
  <c r="P10" i="1353" s="1"/>
  <c r="AC10" i="1353" s="1"/>
  <c r="M10" i="1353"/>
  <c r="L21" i="1353"/>
  <c r="O21" i="1353" s="1"/>
  <c r="AF9" i="1353"/>
  <c r="AB9" i="1353"/>
  <c r="Q9" i="1353"/>
  <c r="P9" i="1353" s="1"/>
  <c r="AC9" i="1353" s="1"/>
  <c r="O9" i="1353"/>
  <c r="M9" i="1353"/>
  <c r="AF8" i="1353"/>
  <c r="AB8" i="1353"/>
  <c r="Q8" i="1353"/>
  <c r="P8" i="1353" s="1"/>
  <c r="AC8" i="1353" s="1"/>
  <c r="O8" i="1353"/>
  <c r="M8" i="1353"/>
  <c r="K8" i="1353"/>
  <c r="AF7" i="1353"/>
  <c r="AB7" i="1353"/>
  <c r="Q7" i="1353"/>
  <c r="P7" i="1353"/>
  <c r="AC7" i="1353" s="1"/>
  <c r="O7" i="1353"/>
  <c r="M7" i="1353"/>
  <c r="K7" i="1353"/>
  <c r="AF6" i="1353"/>
  <c r="AB6" i="1353"/>
  <c r="Q6" i="1353"/>
  <c r="P6" i="1353"/>
  <c r="AC6" i="1353" s="1"/>
  <c r="O6" i="1353"/>
  <c r="M6" i="1353"/>
  <c r="K6" i="1353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20" i="1352"/>
  <c r="L19" i="1352"/>
  <c r="K19" i="1352" s="1"/>
  <c r="L18" i="1352"/>
  <c r="L12" i="1352"/>
  <c r="L13" i="1352"/>
  <c r="K13" i="1352" s="1"/>
  <c r="L11" i="1352"/>
  <c r="K10" i="1352"/>
  <c r="K9" i="1352"/>
  <c r="AF13" i="1352"/>
  <c r="AB13" i="1352"/>
  <c r="Q13" i="1352"/>
  <c r="P13" i="1352" s="1"/>
  <c r="AC13" i="1352" s="1"/>
  <c r="O13" i="1352"/>
  <c r="M13" i="1352"/>
  <c r="AF10" i="1352"/>
  <c r="AB10" i="1352"/>
  <c r="Q10" i="1352"/>
  <c r="P10" i="1352"/>
  <c r="AC10" i="1352" s="1"/>
  <c r="O10" i="1352"/>
  <c r="M10" i="1352"/>
  <c r="K21" i="1352"/>
  <c r="K20" i="1352"/>
  <c r="K18" i="1352"/>
  <c r="K12" i="1352"/>
  <c r="K11" i="1352"/>
  <c r="K8" i="1352"/>
  <c r="A77" i="1352"/>
  <c r="A78" i="1352" s="1"/>
  <c r="A79" i="1352" s="1"/>
  <c r="A80" i="1352" s="1"/>
  <c r="A81" i="1352" s="1"/>
  <c r="A82" i="1352" s="1"/>
  <c r="A83" i="1352" s="1"/>
  <c r="A76" i="1352"/>
  <c r="AF62" i="1352"/>
  <c r="AF61" i="1352"/>
  <c r="AF64" i="1352" s="1"/>
  <c r="AA23" i="1352"/>
  <c r="Z23" i="1352"/>
  <c r="Y23" i="1352"/>
  <c r="X23" i="1352"/>
  <c r="W23" i="1352"/>
  <c r="V23" i="1352"/>
  <c r="U23" i="1352"/>
  <c r="T23" i="1352"/>
  <c r="S23" i="1352"/>
  <c r="R23" i="1352"/>
  <c r="N23" i="1352"/>
  <c r="J23" i="1352"/>
  <c r="I23" i="1352"/>
  <c r="AF22" i="1352"/>
  <c r="AC22" i="1352"/>
  <c r="AB22" i="1352"/>
  <c r="Q22" i="1352"/>
  <c r="P22" i="1352"/>
  <c r="O22" i="1352"/>
  <c r="M22" i="1352"/>
  <c r="K22" i="1352"/>
  <c r="AF21" i="1352"/>
  <c r="AB21" i="1352"/>
  <c r="Q21" i="1352"/>
  <c r="P21" i="1352" s="1"/>
  <c r="AC21" i="1352" s="1"/>
  <c r="O21" i="1352"/>
  <c r="M21" i="1352"/>
  <c r="AF20" i="1352"/>
  <c r="Q20" i="1352"/>
  <c r="AB20" i="1352"/>
  <c r="AF19" i="1352"/>
  <c r="Q19" i="1352"/>
  <c r="AF18" i="1352"/>
  <c r="Q18" i="1352"/>
  <c r="O18" i="1352"/>
  <c r="P18" i="1352"/>
  <c r="AC18" i="1352" s="1"/>
  <c r="AF17" i="1352"/>
  <c r="AB17" i="1352"/>
  <c r="Q17" i="1352"/>
  <c r="P17" i="1352"/>
  <c r="AC17" i="1352" s="1"/>
  <c r="O17" i="1352"/>
  <c r="M17" i="1352"/>
  <c r="K17" i="1352"/>
  <c r="AF16" i="1352"/>
  <c r="AB16" i="1352"/>
  <c r="Q16" i="1352"/>
  <c r="P16" i="1352"/>
  <c r="AC16" i="1352" s="1"/>
  <c r="O16" i="1352"/>
  <c r="M16" i="1352"/>
  <c r="K16" i="1352"/>
  <c r="AF15" i="1352"/>
  <c r="AB15" i="1352"/>
  <c r="Q15" i="1352"/>
  <c r="P15" i="1352"/>
  <c r="AC15" i="1352" s="1"/>
  <c r="O15" i="1352"/>
  <c r="M15" i="1352"/>
  <c r="K15" i="1352"/>
  <c r="AF14" i="1352"/>
  <c r="AB14" i="1352"/>
  <c r="Q14" i="1352"/>
  <c r="P14" i="1352"/>
  <c r="AC14" i="1352" s="1"/>
  <c r="O14" i="1352"/>
  <c r="M14" i="1352"/>
  <c r="K14" i="1352"/>
  <c r="AF12" i="1352"/>
  <c r="Q12" i="1352"/>
  <c r="O12" i="1352"/>
  <c r="AF11" i="1352"/>
  <c r="AB11" i="1352"/>
  <c r="Q11" i="1352"/>
  <c r="P11" i="1352"/>
  <c r="AC11" i="1352" s="1"/>
  <c r="M11" i="1352"/>
  <c r="O11" i="1352"/>
  <c r="AF9" i="1352"/>
  <c r="Q9" i="1352"/>
  <c r="P9" i="1352" s="1"/>
  <c r="AC9" i="1352" s="1"/>
  <c r="O9" i="1352"/>
  <c r="AF8" i="1352"/>
  <c r="AB8" i="1352"/>
  <c r="Q8" i="1352"/>
  <c r="P8" i="1352"/>
  <c r="AC8" i="1352" s="1"/>
  <c r="O8" i="1352"/>
  <c r="M8" i="1352"/>
  <c r="AF7" i="1352"/>
  <c r="AC7" i="1352"/>
  <c r="AB7" i="1352"/>
  <c r="Q7" i="1352"/>
  <c r="P7" i="1352"/>
  <c r="O7" i="1352"/>
  <c r="M7" i="1352"/>
  <c r="K7" i="1352"/>
  <c r="AF6" i="1352"/>
  <c r="AC6" i="1352"/>
  <c r="AB6" i="1352"/>
  <c r="Q6" i="1352"/>
  <c r="P6" i="1352"/>
  <c r="O6" i="1352"/>
  <c r="M6" i="1352"/>
  <c r="K6" i="1352"/>
  <c r="AF62" i="1353" l="1"/>
  <c r="AD13" i="1353"/>
  <c r="AD7" i="1353"/>
  <c r="AD20" i="1353"/>
  <c r="Q21" i="1353"/>
  <c r="AD8" i="1353"/>
  <c r="AD19" i="1353"/>
  <c r="AD15" i="1353"/>
  <c r="AD9" i="1353"/>
  <c r="AD14" i="1353"/>
  <c r="AD18" i="1353"/>
  <c r="AD12" i="1353"/>
  <c r="O10" i="1353"/>
  <c r="AD10" i="1353" s="1"/>
  <c r="K21" i="1353"/>
  <c r="P11" i="1353"/>
  <c r="AC11" i="1353" s="1"/>
  <c r="M17" i="1353"/>
  <c r="AB17" i="1353"/>
  <c r="AD17" i="1353" s="1"/>
  <c r="AD6" i="1353"/>
  <c r="M11" i="1353"/>
  <c r="AB11" i="1353"/>
  <c r="M19" i="1352"/>
  <c r="AB19" i="1352"/>
  <c r="L23" i="1352"/>
  <c r="O23" i="1352" s="1"/>
  <c r="O19" i="1352"/>
  <c r="P19" i="1352"/>
  <c r="AC19" i="1352" s="1"/>
  <c r="AD13" i="1352"/>
  <c r="AD10" i="1352"/>
  <c r="Q23" i="1352"/>
  <c r="AD22" i="1352"/>
  <c r="AD7" i="1352"/>
  <c r="AD8" i="1352"/>
  <c r="AD16" i="1352"/>
  <c r="AD14" i="1352"/>
  <c r="AD17" i="1352"/>
  <c r="AD15" i="1352"/>
  <c r="AD11" i="1352"/>
  <c r="AD21" i="1352"/>
  <c r="AD18" i="1352"/>
  <c r="O20" i="1352"/>
  <c r="M9" i="1352"/>
  <c r="AB9" i="1352"/>
  <c r="AD9" i="1352" s="1"/>
  <c r="K23" i="1352"/>
  <c r="P12" i="1352"/>
  <c r="AC12" i="1352" s="1"/>
  <c r="M18" i="1352"/>
  <c r="AB18" i="1352"/>
  <c r="P20" i="1352"/>
  <c r="AC20" i="1352" s="1"/>
  <c r="AD6" i="1352"/>
  <c r="M12" i="1352"/>
  <c r="AB12" i="1352"/>
  <c r="M20" i="1352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L19" i="1351"/>
  <c r="L18" i="1351"/>
  <c r="L17" i="1351"/>
  <c r="L12" i="1351"/>
  <c r="L11" i="1351"/>
  <c r="L10" i="1351"/>
  <c r="L9" i="1351"/>
  <c r="L8" i="1351"/>
  <c r="AE13" i="1354" l="1"/>
  <c r="AE17" i="1354"/>
  <c r="AE20" i="1354"/>
  <c r="AE11" i="1354"/>
  <c r="AE8" i="1354"/>
  <c r="AE12" i="1354"/>
  <c r="AE18" i="1354"/>
  <c r="AE15" i="1354"/>
  <c r="AE19" i="1354"/>
  <c r="AE14" i="1354"/>
  <c r="AE7" i="1354"/>
  <c r="AE9" i="1354"/>
  <c r="AE6" i="1354"/>
  <c r="AE21" i="1354"/>
  <c r="AE16" i="1354"/>
  <c r="AE10" i="1354"/>
  <c r="AD11" i="1353"/>
  <c r="AB21" i="1353"/>
  <c r="M21" i="1353"/>
  <c r="AC21" i="1353"/>
  <c r="P21" i="1353"/>
  <c r="AD19" i="1352"/>
  <c r="AD20" i="1352"/>
  <c r="AB23" i="1352"/>
  <c r="M23" i="1352"/>
  <c r="P23" i="1352"/>
  <c r="AD12" i="1352"/>
  <c r="AC23" i="1352"/>
  <c r="K20" i="1351"/>
  <c r="K19" i="1351"/>
  <c r="K18" i="1351"/>
  <c r="K17" i="1351"/>
  <c r="K16" i="1351"/>
  <c r="K14" i="1351"/>
  <c r="K12" i="1351"/>
  <c r="K11" i="1351"/>
  <c r="K10" i="1351"/>
  <c r="K9" i="1351"/>
  <c r="K8" i="1351"/>
  <c r="AE19" i="1353" l="1"/>
  <c r="AE17" i="1353"/>
  <c r="AE9" i="1353"/>
  <c r="AE8" i="1353"/>
  <c r="AE6" i="1353"/>
  <c r="AE20" i="1353"/>
  <c r="AE11" i="1353"/>
  <c r="AE7" i="1353"/>
  <c r="AE18" i="1353"/>
  <c r="AE15" i="1353"/>
  <c r="AE13" i="1353"/>
  <c r="AE10" i="1353"/>
  <c r="AE16" i="1353"/>
  <c r="AE14" i="1353"/>
  <c r="AE12" i="1353"/>
  <c r="AE10" i="1352"/>
  <c r="AE13" i="1352"/>
  <c r="AE21" i="1352"/>
  <c r="AE18" i="1352"/>
  <c r="AE9" i="1352"/>
  <c r="AE19" i="1352"/>
  <c r="AE16" i="1352"/>
  <c r="AE14" i="1352"/>
  <c r="AE11" i="1352"/>
  <c r="AE22" i="1352"/>
  <c r="AE20" i="1352"/>
  <c r="AE17" i="1352"/>
  <c r="AE15" i="1352"/>
  <c r="AE8" i="1352"/>
  <c r="AE6" i="1352"/>
  <c r="AE12" i="1352"/>
  <c r="AE7" i="1352"/>
  <c r="O17" i="1351"/>
  <c r="L22" i="1351"/>
  <c r="O22" i="1351" s="1"/>
  <c r="A76" i="1351"/>
  <c r="A77" i="1351" s="1"/>
  <c r="A78" i="1351" s="1"/>
  <c r="A79" i="1351" s="1"/>
  <c r="A80" i="1351" s="1"/>
  <c r="A81" i="1351" s="1"/>
  <c r="A82" i="1351" s="1"/>
  <c r="A75" i="1351"/>
  <c r="AF61" i="1351"/>
  <c r="AF60" i="1351"/>
  <c r="AF63" i="1351" s="1"/>
  <c r="AA22" i="1351"/>
  <c r="Z22" i="1351"/>
  <c r="Y22" i="1351"/>
  <c r="X22" i="1351"/>
  <c r="W22" i="1351"/>
  <c r="V22" i="1351"/>
  <c r="U22" i="1351"/>
  <c r="T22" i="1351"/>
  <c r="S22" i="1351"/>
  <c r="R22" i="1351"/>
  <c r="N22" i="1351"/>
  <c r="J22" i="1351"/>
  <c r="I22" i="1351"/>
  <c r="AF21" i="1351"/>
  <c r="AB21" i="1351"/>
  <c r="Q21" i="1351"/>
  <c r="P21" i="1351"/>
  <c r="AC21" i="1351" s="1"/>
  <c r="AD21" i="1351" s="1"/>
  <c r="O21" i="1351"/>
  <c r="M21" i="1351"/>
  <c r="K21" i="1351"/>
  <c r="AF20" i="1351"/>
  <c r="AB20" i="1351"/>
  <c r="Q20" i="1351"/>
  <c r="P20" i="1351"/>
  <c r="AC20" i="1351" s="1"/>
  <c r="O20" i="1351"/>
  <c r="M20" i="1351"/>
  <c r="AF19" i="1351"/>
  <c r="AB19" i="1351"/>
  <c r="Q19" i="1351"/>
  <c r="P19" i="1351"/>
  <c r="AC19" i="1351" s="1"/>
  <c r="O19" i="1351"/>
  <c r="M19" i="1351"/>
  <c r="AF18" i="1351"/>
  <c r="AB18" i="1351"/>
  <c r="Q18" i="1351"/>
  <c r="P18" i="1351" s="1"/>
  <c r="AC18" i="1351" s="1"/>
  <c r="O18" i="1351"/>
  <c r="M18" i="1351"/>
  <c r="AF17" i="1351"/>
  <c r="AB17" i="1351"/>
  <c r="Q17" i="1351"/>
  <c r="P17" i="1351"/>
  <c r="AC17" i="1351" s="1"/>
  <c r="M17" i="1351"/>
  <c r="AF16" i="1351"/>
  <c r="AB16" i="1351"/>
  <c r="Q16" i="1351"/>
  <c r="P16" i="1351"/>
  <c r="AC16" i="1351" s="1"/>
  <c r="O16" i="1351"/>
  <c r="M16" i="1351"/>
  <c r="AF15" i="1351"/>
  <c r="AB15" i="1351"/>
  <c r="Q15" i="1351"/>
  <c r="P15" i="1351"/>
  <c r="AC15" i="1351" s="1"/>
  <c r="AD15" i="1351" s="1"/>
  <c r="O15" i="1351"/>
  <c r="M15" i="1351"/>
  <c r="K15" i="1351"/>
  <c r="AF14" i="1351"/>
  <c r="AB14" i="1351"/>
  <c r="Q14" i="1351"/>
  <c r="P14" i="1351"/>
  <c r="AC14" i="1351" s="1"/>
  <c r="O14" i="1351"/>
  <c r="M14" i="1351"/>
  <c r="AF13" i="1351"/>
  <c r="AC13" i="1351"/>
  <c r="AB13" i="1351"/>
  <c r="Q13" i="1351"/>
  <c r="P13" i="1351"/>
  <c r="O13" i="1351"/>
  <c r="M13" i="1351"/>
  <c r="K13" i="1351"/>
  <c r="AF12" i="1351"/>
  <c r="AB12" i="1351"/>
  <c r="Q12" i="1351"/>
  <c r="P12" i="1351"/>
  <c r="AC12" i="1351" s="1"/>
  <c r="O12" i="1351"/>
  <c r="M12" i="1351"/>
  <c r="AF11" i="1351"/>
  <c r="AB11" i="1351"/>
  <c r="Q11" i="1351"/>
  <c r="P11" i="1351"/>
  <c r="AC11" i="1351" s="1"/>
  <c r="M11" i="1351"/>
  <c r="AF10" i="1351"/>
  <c r="AB10" i="1351"/>
  <c r="Q10" i="1351"/>
  <c r="P10" i="1351" s="1"/>
  <c r="AC10" i="1351" s="1"/>
  <c r="O10" i="1351"/>
  <c r="M10" i="1351"/>
  <c r="AF9" i="1351"/>
  <c r="AB9" i="1351"/>
  <c r="Q9" i="1351"/>
  <c r="P9" i="1351" s="1"/>
  <c r="AC9" i="1351" s="1"/>
  <c r="O9" i="1351"/>
  <c r="M9" i="1351"/>
  <c r="AF8" i="1351"/>
  <c r="AB8" i="1351"/>
  <c r="Q8" i="1351"/>
  <c r="P8" i="1351"/>
  <c r="AC8" i="1351" s="1"/>
  <c r="O8" i="1351"/>
  <c r="M8" i="1351"/>
  <c r="AF7" i="1351"/>
  <c r="AC7" i="1351"/>
  <c r="AD7" i="1351" s="1"/>
  <c r="AB7" i="1351"/>
  <c r="Q7" i="1351"/>
  <c r="P7" i="1351"/>
  <c r="O7" i="1351"/>
  <c r="M7" i="1351"/>
  <c r="K7" i="1351"/>
  <c r="AF6" i="1351"/>
  <c r="AC6" i="1351"/>
  <c r="AB6" i="1351"/>
  <c r="Q6" i="1351"/>
  <c r="P6" i="1351"/>
  <c r="O6" i="1351"/>
  <c r="M6" i="1351"/>
  <c r="K6" i="1351"/>
  <c r="AD9" i="1351" l="1"/>
  <c r="AD13" i="1351"/>
  <c r="AD16" i="1351"/>
  <c r="AD20" i="1351"/>
  <c r="AD19" i="1351"/>
  <c r="AD18" i="1351"/>
  <c r="AD17" i="1351"/>
  <c r="Q22" i="1351"/>
  <c r="AD14" i="1351"/>
  <c r="M22" i="1351"/>
  <c r="AD12" i="1351"/>
  <c r="K22" i="1351"/>
  <c r="O11" i="1351"/>
  <c r="AD11" i="1351" s="1"/>
  <c r="AD10" i="1351"/>
  <c r="P22" i="1351"/>
  <c r="AB22" i="1351"/>
  <c r="AD8" i="1351"/>
  <c r="AC22" i="1351"/>
  <c r="AD6" i="1351"/>
  <c r="AE16" i="1351" l="1"/>
  <c r="AE13" i="1351"/>
  <c r="AE19" i="1351"/>
  <c r="AE20" i="1351"/>
  <c r="AE7" i="1351"/>
  <c r="AE9" i="1351"/>
  <c r="AE8" i="1351"/>
  <c r="AE18" i="1351"/>
  <c r="AE12" i="1351"/>
  <c r="AE10" i="1351"/>
  <c r="AE6" i="1351"/>
  <c r="AE15" i="1351"/>
  <c r="AE14" i="1351"/>
  <c r="AE17" i="1351"/>
  <c r="AE11" i="1351"/>
  <c r="AE21" i="1351"/>
  <c r="AG15" i="16" l="1"/>
  <c r="AG11" i="16"/>
  <c r="AG10" i="16"/>
  <c r="AG8" i="16"/>
  <c r="AG7" i="16"/>
  <c r="AG6" i="16"/>
  <c r="AG3" i="16"/>
  <c r="AG14" i="16"/>
  <c r="AG13" i="16"/>
  <c r="AG12" i="16"/>
  <c r="AG9" i="16"/>
  <c r="AG5" i="16"/>
  <c r="AG4" i="16"/>
  <c r="AG17" i="16" l="1"/>
  <c r="AG16" i="16"/>
  <c r="AG18" i="16" l="1"/>
</calcChain>
</file>

<file path=xl/sharedStrings.xml><?xml version="1.0" encoding="utf-8"?>
<sst xmlns="http://schemas.openxmlformats.org/spreadsheetml/2006/main" count="4519" uniqueCount="528">
  <si>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</si>
  <si>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</si>
  <si>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</si>
  <si>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</si>
  <si>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</si>
  <si>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</si>
  <si>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</si>
  <si>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</si>
  <si>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</si>
  <si>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</si>
  <si>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</si>
  <si>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</si>
  <si>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</si>
  <si>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</si>
  <si>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</si>
  <si>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</si>
  <si>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</si>
  <si>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</si>
  <si>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</si>
  <si>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</si>
  <si>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</si>
  <si>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</si>
  <si>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</si>
  <si>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</si>
  <si>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</si>
  <si>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</si>
  <si>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</si>
  <si>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</si>
  <si>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</si>
  <si>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</si>
  <si>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</si>
  <si>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</si>
  <si>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</si>
  <si>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</si>
  <si>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</si>
  <si>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</si>
  <si>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</si>
  <si>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</si>
  <si>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</si>
  <si>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</si>
  <si>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</si>
  <si>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</si>
  <si>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</si>
  <si>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</si>
  <si>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</si>
  <si>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</si>
  <si>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</si>
  <si>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</si>
  <si>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</si>
  <si>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</si>
  <si>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</si>
  <si>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</si>
  <si>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</si>
  <si>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</si>
  <si>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</si>
  <si>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</si>
  <si>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</si>
  <si>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</si>
  <si>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</si>
  <si>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</si>
  <si>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</si>
  <si>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</si>
  <si>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</si>
  <si>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</si>
  <si>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</si>
  <si>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</si>
  <si>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</si>
  <si>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</si>
  <si>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</si>
  <si>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</si>
  <si>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</si>
  <si>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</si>
  <si>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</si>
  <si>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</si>
  <si>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</si>
  <si>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</si>
  <si>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</si>
  <si>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</si>
  <si>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</si>
  <si>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</si>
  <si>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</si>
  <si>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</si>
  <si>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</si>
  <si>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</si>
  <si>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</si>
  <si>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</si>
  <si>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</si>
  <si>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</si>
  <si>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</si>
  <si>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</si>
  <si>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</si>
  <si>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</si>
  <si>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</si>
  <si>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</si>
  <si>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</si>
  <si>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</si>
  <si>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</si>
  <si>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</si>
  <si>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</si>
  <si>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</si>
  <si>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</si>
  <si>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</si>
  <si>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</si>
  <si>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</si>
  <si>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</si>
  <si>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</si>
  <si>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</si>
  <si>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</si>
  <si>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</si>
  <si>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</si>
  <si>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</si>
  <si>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</si>
  <si>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</si>
  <si>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</si>
  <si>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</si>
  <si>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</si>
  <si>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</si>
  <si>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</si>
  <si>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SST</t>
    <phoneticPr fontId="2" type="noConversion"/>
  </si>
  <si>
    <t>STOPPER</t>
    <phoneticPr fontId="2" type="noConversion"/>
  </si>
  <si>
    <t>SLIDER</t>
    <phoneticPr fontId="2" type="noConversion"/>
  </si>
  <si>
    <t>SGF2030</t>
    <phoneticPr fontId="2" type="noConversion"/>
  </si>
  <si>
    <t>5</t>
    <phoneticPr fontId="2" type="noConversion"/>
  </si>
  <si>
    <t>HICON</t>
    <phoneticPr fontId="2" type="noConversion"/>
  </si>
  <si>
    <t>COVER</t>
    <phoneticPr fontId="2" type="noConversion"/>
  </si>
  <si>
    <t>LEAD GUIDE</t>
    <phoneticPr fontId="2" type="noConversion"/>
  </si>
  <si>
    <t>AMB0114H-JAA-R1</t>
    <phoneticPr fontId="2" type="noConversion"/>
  </si>
  <si>
    <t>BODY</t>
    <phoneticPr fontId="2" type="noConversion"/>
  </si>
  <si>
    <t>미성형</t>
    <phoneticPr fontId="2" type="noConversion"/>
  </si>
  <si>
    <t>SGF2041</t>
    <phoneticPr fontId="2" type="noConversion"/>
  </si>
  <si>
    <t>세척후양산</t>
    <phoneticPr fontId="2" type="noConversion"/>
  </si>
  <si>
    <t>SGF2030 N/P</t>
    <phoneticPr fontId="2" type="noConversion"/>
  </si>
  <si>
    <t>BURR수리후양산</t>
    <phoneticPr fontId="2" type="noConversion"/>
  </si>
  <si>
    <t>72P</t>
    <phoneticPr fontId="2" type="noConversion"/>
  </si>
  <si>
    <t>ACTUATOR</t>
    <phoneticPr fontId="2" type="noConversion"/>
  </si>
  <si>
    <t>신작</t>
    <phoneticPr fontId="2" type="noConversion"/>
  </si>
  <si>
    <t>LID-0089</t>
    <phoneticPr fontId="2" type="noConversion"/>
  </si>
  <si>
    <t>RJR</t>
    <phoneticPr fontId="2" type="noConversion"/>
  </si>
  <si>
    <t>LID</t>
    <phoneticPr fontId="2" type="noConversion"/>
  </si>
  <si>
    <t>S475 N/P</t>
    <phoneticPr fontId="2" type="noConversion"/>
  </si>
  <si>
    <t>7301</t>
    <phoneticPr fontId="2" type="noConversion"/>
  </si>
  <si>
    <t>BP22-127A1</t>
    <phoneticPr fontId="2" type="noConversion"/>
  </si>
  <si>
    <t>HEARD</t>
    <phoneticPr fontId="2" type="noConversion"/>
  </si>
  <si>
    <t>E130i</t>
    <phoneticPr fontId="2" type="noConversion"/>
  </si>
  <si>
    <t>6</t>
    <phoneticPr fontId="2" type="noConversion"/>
  </si>
  <si>
    <t>HSB05-M004B1(증)</t>
    <phoneticPr fontId="2" type="noConversion"/>
  </si>
  <si>
    <t>HSCB65-M05A1(4C)</t>
    <phoneticPr fontId="2" type="noConversion"/>
  </si>
  <si>
    <t>HSCB65-M04A1(4C)</t>
    <phoneticPr fontId="2" type="noConversion"/>
  </si>
  <si>
    <t>HSC65-M053A1(4C)</t>
    <phoneticPr fontId="2" type="noConversion"/>
  </si>
  <si>
    <t>HSB05-M001B1(증)</t>
    <phoneticPr fontId="2" type="noConversion"/>
  </si>
  <si>
    <t>HSB05-M002B1-15BI</t>
    <phoneticPr fontId="2" type="noConversion"/>
  </si>
  <si>
    <t>SGF2041 N/P</t>
    <phoneticPr fontId="2" type="noConversion"/>
  </si>
  <si>
    <t>AMB1917D-KAA-R1</t>
    <phoneticPr fontId="2" type="noConversion"/>
  </si>
  <si>
    <t>HSCB65-M01A1(4C)</t>
    <phoneticPr fontId="2" type="noConversion"/>
  </si>
  <si>
    <t>3</t>
    <phoneticPr fontId="2" type="noConversion"/>
  </si>
  <si>
    <t>HOLDER</t>
    <phoneticPr fontId="2" type="noConversion"/>
  </si>
  <si>
    <t>SGP2020R</t>
    <phoneticPr fontId="2" type="noConversion"/>
  </si>
  <si>
    <t>K-JR01860-H01AZB</t>
    <phoneticPr fontId="2" type="noConversion"/>
  </si>
  <si>
    <t>K-JR01860-D01AZB</t>
    <phoneticPr fontId="2" type="noConversion"/>
  </si>
  <si>
    <t>AMM0850A-KAA-R2</t>
    <phoneticPr fontId="2" type="noConversion"/>
  </si>
  <si>
    <t>PA9T</t>
    <phoneticPr fontId="2" type="noConversion"/>
  </si>
  <si>
    <t>HSB05-M002B1-15B1</t>
    <phoneticPr fontId="2" type="noConversion"/>
  </si>
  <si>
    <r>
      <t>2019년 01월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</si>
  <si>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01월 호기별 가동현황</t>
    <phoneticPr fontId="2" type="noConversion"/>
  </si>
  <si>
    <t>전일 ISSUE 사항(01일)</t>
    <phoneticPr fontId="2" type="noConversion"/>
  </si>
  <si>
    <t>HSCB65-M01A1(4C)</t>
    <phoneticPr fontId="2" type="noConversion"/>
  </si>
  <si>
    <t>13</t>
    <phoneticPr fontId="2" type="noConversion"/>
  </si>
  <si>
    <t>BASE</t>
    <phoneticPr fontId="2" type="noConversion"/>
  </si>
  <si>
    <t>세척후양산</t>
    <phoneticPr fontId="2" type="noConversion"/>
  </si>
  <si>
    <t>당일 진행 사항(02일)</t>
    <phoneticPr fontId="2" type="noConversion"/>
  </si>
  <si>
    <t>001-744-20</t>
    <phoneticPr fontId="2" type="noConversion"/>
  </si>
  <si>
    <t>발주분양산</t>
    <phoneticPr fontId="2" type="noConversion"/>
  </si>
  <si>
    <t>SST</t>
    <phoneticPr fontId="2" type="noConversion"/>
  </si>
  <si>
    <t>4</t>
    <phoneticPr fontId="2" type="noConversion"/>
  </si>
  <si>
    <t>SLIDER</t>
    <phoneticPr fontId="2" type="noConversion"/>
  </si>
  <si>
    <t>KR6197-A221YA</t>
    <phoneticPr fontId="2" type="noConversion"/>
  </si>
  <si>
    <t>AMB1917D-KAA-R1</t>
    <phoneticPr fontId="2" type="noConversion"/>
  </si>
  <si>
    <t>MCS</t>
    <phoneticPr fontId="2" type="noConversion"/>
  </si>
  <si>
    <t>7</t>
    <phoneticPr fontId="2" type="noConversion"/>
  </si>
  <si>
    <t>ACTUATOR</t>
    <phoneticPr fontId="2" type="noConversion"/>
  </si>
  <si>
    <t>AMM0885A-KAA-R1</t>
    <phoneticPr fontId="2" type="noConversion"/>
  </si>
  <si>
    <t>G1300H</t>
    <phoneticPr fontId="2" type="noConversion"/>
  </si>
  <si>
    <t>하측박힘</t>
    <phoneticPr fontId="2" type="noConversion"/>
  </si>
  <si>
    <t>SAMPLE 진행 사항(01일)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</si>
  <si>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</si>
  <si>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</si>
  <si>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2019년 01월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</si>
  <si>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SGF2050</t>
    <phoneticPr fontId="2" type="noConversion"/>
  </si>
  <si>
    <t>전일 ISSUE 사항(02일)</t>
    <phoneticPr fontId="2" type="noConversion"/>
  </si>
  <si>
    <t>세척후양산-&gt;게이트수리</t>
    <phoneticPr fontId="2" type="noConversion"/>
  </si>
  <si>
    <t>당일 진행 사항(03일)</t>
    <phoneticPr fontId="2" type="noConversion"/>
  </si>
  <si>
    <t>SW-003071</t>
    <phoneticPr fontId="2" type="noConversion"/>
  </si>
  <si>
    <t>ODT</t>
    <phoneticPr fontId="2" type="noConversion"/>
  </si>
  <si>
    <t>10</t>
    <phoneticPr fontId="2" type="noConversion"/>
  </si>
  <si>
    <t>LED A</t>
    <phoneticPr fontId="2" type="noConversion"/>
  </si>
  <si>
    <t>SAMPLE 진행 사항(02일)</t>
    <phoneticPr fontId="2" type="noConversion"/>
  </si>
  <si>
    <t>AMB1926A-KAA-R1</t>
    <phoneticPr fontId="2" type="noConversion"/>
  </si>
  <si>
    <t>수정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</si>
  <si>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</si>
  <si>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</si>
  <si>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2019년 01월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</si>
  <si>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LEN2211 W/T</t>
    <phoneticPr fontId="2" type="noConversion"/>
  </si>
  <si>
    <t>LATCH</t>
    <phoneticPr fontId="2" type="noConversion"/>
  </si>
  <si>
    <t>016-125-313</t>
    <phoneticPr fontId="2" type="noConversion"/>
  </si>
  <si>
    <t>전일 ISSUE 사항(03일)</t>
    <phoneticPr fontId="2" type="noConversion"/>
  </si>
  <si>
    <t>발주분양산-&gt;설비이상정지</t>
    <phoneticPr fontId="2" type="noConversion"/>
  </si>
  <si>
    <t>당일 진행 사항(04일)</t>
    <phoneticPr fontId="2" type="noConversion"/>
  </si>
  <si>
    <t>수리후양산</t>
    <phoneticPr fontId="2" type="noConversion"/>
  </si>
  <si>
    <t>HSCB65-M05A1(4C)</t>
    <phoneticPr fontId="2" type="noConversion"/>
  </si>
  <si>
    <t>HICON</t>
    <phoneticPr fontId="2" type="noConversion"/>
  </si>
  <si>
    <t>3</t>
    <phoneticPr fontId="2" type="noConversion"/>
  </si>
  <si>
    <t>LEAD GUIDE</t>
    <phoneticPr fontId="2" type="noConversion"/>
  </si>
  <si>
    <t>세척후양산-&gt;설비이상정지</t>
    <phoneticPr fontId="2" type="noConversion"/>
  </si>
  <si>
    <t>HSCB65-M04A1(4C)</t>
    <phoneticPr fontId="2" type="noConversion"/>
  </si>
  <si>
    <t>5</t>
    <phoneticPr fontId="2" type="noConversion"/>
  </si>
  <si>
    <t>STOPPER</t>
    <phoneticPr fontId="2" type="noConversion"/>
  </si>
  <si>
    <t>미성형수리후양산</t>
    <phoneticPr fontId="2" type="noConversion"/>
  </si>
  <si>
    <t>016-125-313</t>
    <phoneticPr fontId="2" type="noConversion"/>
  </si>
  <si>
    <t>SST</t>
    <phoneticPr fontId="2" type="noConversion"/>
  </si>
  <si>
    <t>14</t>
    <phoneticPr fontId="2" type="noConversion"/>
  </si>
  <si>
    <t>LATCH</t>
    <phoneticPr fontId="2" type="noConversion"/>
  </si>
  <si>
    <t>HL072-10M3/4</t>
    <phoneticPr fontId="2" type="noConversion"/>
  </si>
  <si>
    <t>발주분양산</t>
    <phoneticPr fontId="2" type="noConversion"/>
  </si>
  <si>
    <t>4</t>
    <phoneticPr fontId="2" type="noConversion"/>
  </si>
  <si>
    <t>HL072-10M1/2</t>
    <phoneticPr fontId="2" type="noConversion"/>
  </si>
  <si>
    <t>8</t>
    <phoneticPr fontId="2" type="noConversion"/>
  </si>
  <si>
    <t>SAMPLE 진행 사항(03일)</t>
    <phoneticPr fontId="2" type="noConversion"/>
  </si>
  <si>
    <t>22P</t>
    <phoneticPr fontId="2" type="noConversion"/>
  </si>
  <si>
    <t>BP22-127A1</t>
    <phoneticPr fontId="2" type="noConversion"/>
  </si>
  <si>
    <t>E130i</t>
    <phoneticPr fontId="2" type="noConversion"/>
  </si>
  <si>
    <t>수정</t>
    <phoneticPr fontId="2" type="noConversion"/>
  </si>
  <si>
    <t>288BASE</t>
    <phoneticPr fontId="2" type="noConversion"/>
  </si>
  <si>
    <t>AMM0885A-KAA-R1</t>
    <phoneticPr fontId="2" type="noConversion"/>
  </si>
  <si>
    <t>G1300H</t>
    <phoneticPr fontId="2" type="noConversion"/>
  </si>
  <si>
    <t>신작</t>
    <phoneticPr fontId="2" type="noConversion"/>
  </si>
  <si>
    <t>AMM0885B-KAA-R1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</si>
  <si>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</si>
  <si>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</si>
  <si>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2019년 01월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</si>
  <si>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BODY/LID</t>
    <phoneticPr fontId="2" type="noConversion"/>
  </si>
  <si>
    <t>2*1</t>
    <phoneticPr fontId="2" type="noConversion"/>
  </si>
  <si>
    <t>AMB1901B-JAA-R1</t>
    <phoneticPr fontId="2" type="noConversion"/>
  </si>
  <si>
    <t>SGF2033</t>
    <phoneticPr fontId="2" type="noConversion"/>
  </si>
  <si>
    <t>BASE/BOTTOM</t>
    <phoneticPr fontId="2" type="noConversion"/>
  </si>
  <si>
    <t>전일 ISSUE 사항(04일)</t>
    <phoneticPr fontId="2" type="noConversion"/>
  </si>
  <si>
    <t>설비수리후양산</t>
    <phoneticPr fontId="2" type="noConversion"/>
  </si>
  <si>
    <t>설비수리후양산-&gt;가스정지</t>
    <phoneticPr fontId="2" type="noConversion"/>
  </si>
  <si>
    <t>11</t>
    <phoneticPr fontId="2" type="noConversion"/>
  </si>
  <si>
    <t>수리후양산-&gt;2C양산-&gt;하측박힘정지</t>
    <phoneticPr fontId="2" type="noConversion"/>
  </si>
  <si>
    <t>12</t>
    <phoneticPr fontId="2" type="noConversion"/>
  </si>
  <si>
    <t>당일 진행 사항(05일)</t>
    <phoneticPr fontId="2" type="noConversion"/>
  </si>
  <si>
    <t>SAMPLE 진행 사항(04일)</t>
    <phoneticPr fontId="2" type="noConversion"/>
  </si>
  <si>
    <t>JD4901</t>
    <phoneticPr fontId="2" type="noConversion"/>
  </si>
  <si>
    <t>원재료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</si>
  <si>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</si>
  <si>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</si>
  <si>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2019년 01월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</si>
  <si>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201T</t>
    <phoneticPr fontId="2" type="noConversion"/>
  </si>
  <si>
    <t>SW-003066</t>
    <phoneticPr fontId="2" type="noConversion"/>
  </si>
  <si>
    <t>PC B/K</t>
    <phoneticPr fontId="2" type="noConversion"/>
  </si>
  <si>
    <t>AYE</t>
    <phoneticPr fontId="2" type="noConversion"/>
  </si>
  <si>
    <t>NP628-1056-001#IN-A</t>
    <phoneticPr fontId="2" type="noConversion"/>
  </si>
  <si>
    <t>30P</t>
    <phoneticPr fontId="2" type="noConversion"/>
  </si>
  <si>
    <t>PUSHER</t>
    <phoneticPr fontId="2" type="noConversion"/>
  </si>
  <si>
    <t>HL072-10M5</t>
    <phoneticPr fontId="2" type="noConversion"/>
  </si>
  <si>
    <t>NP628-1056-001#IN-B</t>
    <phoneticPr fontId="2" type="noConversion"/>
  </si>
  <si>
    <t>LG35</t>
    <phoneticPr fontId="2" type="noConversion"/>
  </si>
  <si>
    <t>전일 ISSUE 사항(07일)</t>
    <phoneticPr fontId="2" type="noConversion"/>
  </si>
  <si>
    <t>BASE/FLANGE</t>
    <phoneticPr fontId="2" type="noConversion"/>
  </si>
  <si>
    <t>NHS2-HTB11/12</t>
    <phoneticPr fontId="2" type="noConversion"/>
  </si>
  <si>
    <t>노즐막힘정지</t>
    <phoneticPr fontId="2" type="noConversion"/>
  </si>
  <si>
    <t>당일 진행 사항(08일)</t>
    <phoneticPr fontId="2" type="noConversion"/>
  </si>
  <si>
    <t>발주분양산-&gt;원재료변경양산-&gt;금형안닫힘정지</t>
    <phoneticPr fontId="2" type="noConversion"/>
  </si>
  <si>
    <t>AMB0153A-KAA-R1</t>
    <phoneticPr fontId="2" type="noConversion"/>
  </si>
  <si>
    <t>수정후양산</t>
    <phoneticPr fontId="2" type="noConversion"/>
  </si>
  <si>
    <t>9</t>
    <phoneticPr fontId="2" type="noConversion"/>
  </si>
  <si>
    <t>발주분양산-&gt;BURR정지</t>
    <phoneticPr fontId="2" type="noConversion"/>
  </si>
  <si>
    <t>SAMPLE 진행 사항(07일)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</si>
  <si>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</si>
  <si>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</si>
  <si>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2019년 01월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</si>
  <si>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전일 ISSUE 사항(08일)</t>
    <phoneticPr fontId="2" type="noConversion"/>
  </si>
  <si>
    <t>수리후양산-&gt;에젝타이상정지</t>
    <phoneticPr fontId="2" type="noConversion"/>
  </si>
  <si>
    <t>당일 진행 사항(09일)</t>
    <phoneticPr fontId="2" type="noConversion"/>
  </si>
  <si>
    <t>AAM0818C-KAB-R3</t>
    <phoneticPr fontId="2" type="noConversion"/>
  </si>
  <si>
    <t>SAMPLE 진행 사항(08일)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</si>
  <si>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</si>
  <si>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</si>
  <si>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2019년 01월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</si>
  <si>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203T</t>
    <phoneticPr fontId="2" type="noConversion"/>
  </si>
  <si>
    <t>SW-003068-1</t>
    <phoneticPr fontId="2" type="noConversion"/>
  </si>
  <si>
    <t>PC 30%B/K</t>
    <phoneticPr fontId="2" type="noConversion"/>
  </si>
  <si>
    <t>Receptacle(GUIDE없음)</t>
    <phoneticPr fontId="2" type="noConversion"/>
  </si>
  <si>
    <t>BR88-127A1-1</t>
    <phoneticPr fontId="2" type="noConversion"/>
  </si>
  <si>
    <t>전일 ISSUE 사항(09일)</t>
    <phoneticPr fontId="2" type="noConversion"/>
  </si>
  <si>
    <t>런너 눌림 수리후양산</t>
    <phoneticPr fontId="2" type="noConversion"/>
  </si>
  <si>
    <t>당일 진행 사항(10일)</t>
    <phoneticPr fontId="2" type="noConversion"/>
  </si>
  <si>
    <t>SAMPLE 진행 사항(09일)</t>
    <phoneticPr fontId="2" type="noConversion"/>
  </si>
  <si>
    <t>288BASE(STD)</t>
    <phoneticPr fontId="2" type="noConversion"/>
  </si>
  <si>
    <t>AMM0890A-KAA-R1</t>
    <phoneticPr fontId="2" type="noConversion"/>
  </si>
  <si>
    <t>OKINS</t>
    <phoneticPr fontId="2" type="noConversion"/>
  </si>
  <si>
    <t>288F84M-B121XX</t>
    <phoneticPr fontId="2" type="noConversion"/>
  </si>
  <si>
    <t>288F84M-B122XX</t>
    <phoneticPr fontId="2" type="noConversion"/>
  </si>
  <si>
    <t>G1300H B/K</t>
    <phoneticPr fontId="2" type="noConversion"/>
  </si>
  <si>
    <t>신적</t>
    <phoneticPr fontId="2" type="noConversion"/>
  </si>
  <si>
    <t>288BASE(RVS)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</si>
  <si>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</si>
  <si>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</si>
  <si>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2019년 01월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</si>
  <si>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KR6182-D624PA</t>
    <phoneticPr fontId="2" type="noConversion"/>
  </si>
  <si>
    <t>SF2255 B/K</t>
    <phoneticPr fontId="2" type="noConversion"/>
  </si>
  <si>
    <t>전일 ISSUE 사항(10일)</t>
    <phoneticPr fontId="2" type="noConversion"/>
  </si>
  <si>
    <t>KR6182-B624CB</t>
    <phoneticPr fontId="2" type="noConversion"/>
  </si>
  <si>
    <t>KR6182-C624TB</t>
    <phoneticPr fontId="2" type="noConversion"/>
  </si>
  <si>
    <t>당일 진행 사항(11일)</t>
    <phoneticPr fontId="2" type="noConversion"/>
  </si>
  <si>
    <t>SAMPLE 진행 사항(10일)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</si>
  <si>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</si>
  <si>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</si>
  <si>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t>F/ADAPTER</t>
    <phoneticPr fontId="2" type="noConversion"/>
  </si>
  <si>
    <t>AMB20D5A-KAA-R1</t>
    <phoneticPr fontId="2" type="noConversion"/>
  </si>
  <si>
    <t>SF2255 I/V,SGF2030 N/P</t>
    <phoneticPr fontId="2" type="noConversion"/>
  </si>
  <si>
    <r>
      <t>2019년 01월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</si>
  <si>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HR03A-04A1</t>
    <phoneticPr fontId="2" type="noConversion"/>
  </si>
  <si>
    <t>전일 ISSUE 사항(11일)</t>
    <phoneticPr fontId="2" type="noConversion"/>
  </si>
  <si>
    <t>발주분양산-&gt;하측박힘수리</t>
    <phoneticPr fontId="2" type="noConversion"/>
  </si>
  <si>
    <t>당일 진행 사항(14일)</t>
    <phoneticPr fontId="2" type="noConversion"/>
  </si>
  <si>
    <t>SAMPLE 진행 사항(11일)</t>
    <phoneticPr fontId="2" type="noConversion"/>
  </si>
  <si>
    <t>K-JR01933-E01AWA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</si>
  <si>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</si>
  <si>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</si>
  <si>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2019년 01월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</si>
  <si>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HR03A-05A1</t>
    <phoneticPr fontId="2" type="noConversion"/>
  </si>
  <si>
    <t>당일 진행 사항(15일)</t>
    <phoneticPr fontId="2" type="noConversion"/>
  </si>
  <si>
    <t>전일 ISSUE 사항(14일)</t>
    <phoneticPr fontId="2" type="noConversion"/>
  </si>
  <si>
    <t>HR03A-06A1</t>
    <phoneticPr fontId="2" type="noConversion"/>
  </si>
  <si>
    <t>BOTTOM</t>
    <phoneticPr fontId="2" type="noConversion"/>
  </si>
  <si>
    <t>SAMPLE 진행 사항(14일)</t>
    <phoneticPr fontId="2" type="noConversion"/>
  </si>
  <si>
    <t>RV1.0-1.2HD-1.15A1</t>
    <phoneticPr fontId="2" type="noConversion"/>
  </si>
  <si>
    <t>RIVET</t>
    <phoneticPr fontId="2" type="noConversion"/>
  </si>
  <si>
    <t>RTP</t>
    <phoneticPr fontId="2" type="noConversion"/>
  </si>
  <si>
    <t>KR6422-GB496QA</t>
    <phoneticPr fontId="2" type="noConversion"/>
  </si>
  <si>
    <t>ADAPTER</t>
    <phoneticPr fontId="2" type="noConversion"/>
  </si>
  <si>
    <t>SF2255 I/V</t>
    <phoneticPr fontId="2" type="noConversion"/>
  </si>
  <si>
    <t>AMM0892A-KAA-R1</t>
    <phoneticPr fontId="2" type="noConversion"/>
  </si>
  <si>
    <t>칼퀴수리3회진행</t>
    <phoneticPr fontId="2" type="noConversion"/>
  </si>
  <si>
    <t>7301(미국산)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</si>
  <si>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</si>
  <si>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</si>
  <si>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2019년 01월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</si>
  <si>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TOP/BOTTOM</t>
    <phoneticPr fontId="2" type="noConversion"/>
  </si>
  <si>
    <t>HRCS-00C11/12A</t>
    <phoneticPr fontId="2" type="noConversion"/>
  </si>
  <si>
    <t>AMM0849A-KAA-R2</t>
    <phoneticPr fontId="2" type="noConversion"/>
  </si>
  <si>
    <t>GN2330</t>
    <phoneticPr fontId="2" type="noConversion"/>
  </si>
  <si>
    <t>전일 ISSUE 사항(15일)</t>
    <phoneticPr fontId="2" type="noConversion"/>
  </si>
  <si>
    <t>당일 진행 사항(16일)</t>
    <phoneticPr fontId="2" type="noConversion"/>
  </si>
  <si>
    <t>AMB1904D-KAA-R2</t>
    <phoneticPr fontId="2" type="noConversion"/>
  </si>
  <si>
    <t>HRCS-00C11A/12A</t>
    <phoneticPr fontId="2" type="noConversion"/>
  </si>
  <si>
    <t>SAMPLE 진행 사항(15일)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</si>
  <si>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</si>
  <si>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</si>
  <si>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2019년 01월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</si>
  <si>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SGF2050 N/P</t>
    <phoneticPr fontId="2" type="noConversion"/>
  </si>
  <si>
    <t>PLATE</t>
    <phoneticPr fontId="2" type="noConversion"/>
  </si>
  <si>
    <t>전일 ISSUE 사항(16일)</t>
    <phoneticPr fontId="2" type="noConversion"/>
  </si>
  <si>
    <t>발주분양산-&gt;코아파손2회정지</t>
    <phoneticPr fontId="2" type="noConversion"/>
  </si>
  <si>
    <t>발주분양산-&gt;오조립-&gt;코아파손</t>
    <phoneticPr fontId="2" type="noConversion"/>
  </si>
  <si>
    <t>HSCB65-M01A1</t>
    <phoneticPr fontId="2" type="noConversion"/>
  </si>
  <si>
    <t>세척후양산-&gt;BURR2회정지</t>
    <phoneticPr fontId="2" type="noConversion"/>
  </si>
  <si>
    <t>당일 진행 사항(17일)</t>
    <phoneticPr fontId="2" type="noConversion"/>
  </si>
  <si>
    <t>G3-M01A1</t>
    <phoneticPr fontId="2" type="noConversion"/>
  </si>
  <si>
    <t>1C코아파손-&gt;1C만 양산</t>
    <phoneticPr fontId="2" type="noConversion"/>
  </si>
  <si>
    <t>SAMPLE 진행 사항(16일)</t>
    <phoneticPr fontId="2" type="noConversion"/>
  </si>
  <si>
    <t>AMM0855A-KAA-R1</t>
    <phoneticPr fontId="2" type="noConversion"/>
  </si>
  <si>
    <t>AMM0855B-KAA-R1</t>
    <phoneticPr fontId="2" type="noConversion"/>
  </si>
  <si>
    <t>밀핀파손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</si>
  <si>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</si>
  <si>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</si>
  <si>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2019년 01월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</si>
  <si>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전일 ISSUE 사항(17일)</t>
    <phoneticPr fontId="2" type="noConversion"/>
  </si>
  <si>
    <t>코아파손2회수리후양산</t>
    <phoneticPr fontId="2" type="noConversion"/>
  </si>
  <si>
    <t>BURR2회수리후양산</t>
    <phoneticPr fontId="2" type="noConversion"/>
  </si>
  <si>
    <t>당일 진행 사항(18일)</t>
    <phoneticPr fontId="2" type="noConversion"/>
  </si>
  <si>
    <t>SAMPLE 진행 사항(17일)</t>
    <phoneticPr fontId="2" type="noConversion"/>
  </si>
  <si>
    <t>KR6182-A308WA</t>
    <phoneticPr fontId="2" type="noConversion"/>
  </si>
  <si>
    <t>원재료변경</t>
    <phoneticPr fontId="2" type="noConversion"/>
  </si>
  <si>
    <t>AMB0351A-KAA-R1</t>
    <phoneticPr fontId="2" type="noConversion"/>
  </si>
  <si>
    <t>AMB07T7A-KAA-R1</t>
    <phoneticPr fontId="2" type="noConversion"/>
  </si>
  <si>
    <t>AMB0171A-KAA-R1</t>
    <phoneticPr fontId="2" type="noConversion"/>
  </si>
  <si>
    <t>AMB1929A-KAA-R1</t>
    <phoneticPr fontId="2" type="noConversion"/>
  </si>
  <si>
    <t>AMB0237A-KAA-R1</t>
    <phoneticPr fontId="2" type="noConversion"/>
  </si>
  <si>
    <t>SGP2030R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</si>
  <si>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</si>
  <si>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</si>
  <si>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2019년 01월 18일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</si>
  <si>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전일 ISSUE 사항(18일)</t>
    <phoneticPr fontId="2" type="noConversion"/>
  </si>
  <si>
    <t>코아파손정지</t>
    <phoneticPr fontId="2" type="noConversion"/>
  </si>
  <si>
    <t>당일 진행 사항(21일)</t>
    <phoneticPr fontId="2" type="noConversion"/>
  </si>
  <si>
    <t>KR6182-A308YA</t>
    <phoneticPr fontId="2" type="noConversion"/>
  </si>
  <si>
    <t>수정 승인후양산</t>
    <phoneticPr fontId="2" type="noConversion"/>
  </si>
  <si>
    <t>SAMPLE 진행 사항(18일)</t>
    <phoneticPr fontId="2" type="noConversion"/>
  </si>
  <si>
    <t>KR6422-GA556QA</t>
    <phoneticPr fontId="2" type="noConversion"/>
  </si>
  <si>
    <t>KR6170-GL496QA</t>
    <phoneticPr fontId="2" type="noConversion"/>
  </si>
  <si>
    <t>KR6422AB589CA</t>
    <phoneticPr fontId="2" type="noConversion"/>
  </si>
  <si>
    <t>KR6170BD740UB</t>
    <phoneticPr fontId="2" type="noConversion"/>
  </si>
  <si>
    <t>요청</t>
  </si>
  <si>
    <t>요청</t>
    <phoneticPr fontId="2" type="noConversion"/>
  </si>
  <si>
    <t>코아파손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</si>
  <si>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</si>
  <si>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</si>
  <si>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2019년 01월 21일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</si>
  <si>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전일 ISSUE 사항(21일)</t>
    <phoneticPr fontId="2" type="noConversion"/>
  </si>
  <si>
    <t>에젝타이상정지</t>
    <phoneticPr fontId="2" type="noConversion"/>
  </si>
  <si>
    <t>당일 진행 사항(22일)</t>
    <phoneticPr fontId="2" type="noConversion"/>
  </si>
  <si>
    <t>24P(4POST)</t>
    <phoneticPr fontId="2" type="noConversion"/>
  </si>
  <si>
    <t>15</t>
    <phoneticPr fontId="2" type="noConversion"/>
  </si>
  <si>
    <t>SAMPLE 진행 사항(21일)</t>
    <phoneticPr fontId="2" type="noConversion"/>
  </si>
  <si>
    <t>KR6422-B589CA</t>
    <phoneticPr fontId="2" type="noConversion"/>
  </si>
  <si>
    <t>KR6422AA496YA</t>
    <phoneticPr fontId="2" type="noConversion"/>
  </si>
  <si>
    <t>KR6422-A556YA</t>
    <phoneticPr fontId="2" type="noConversion"/>
  </si>
  <si>
    <t>오조립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</si>
  <si>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</si>
  <si>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</si>
  <si>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2019년 01월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</si>
  <si>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24P</t>
    <phoneticPr fontId="2" type="noConversion"/>
  </si>
  <si>
    <t>전일 ISSUE 사항(22일)</t>
    <phoneticPr fontId="2" type="noConversion"/>
  </si>
  <si>
    <t>수정후양산-&gt;NG정지</t>
    <phoneticPr fontId="2" type="noConversion"/>
  </si>
  <si>
    <t>당일 진행 사항(23일)</t>
    <phoneticPr fontId="2" type="noConversion"/>
  </si>
  <si>
    <t>수리후양산-&gt;에젝타봉 파손정지</t>
    <phoneticPr fontId="2" type="noConversion"/>
  </si>
  <si>
    <t>SAMPLE 진행 사항(22일)</t>
    <phoneticPr fontId="2" type="noConversion"/>
  </si>
  <si>
    <t>K-JR01933-B01ANB</t>
    <phoneticPr fontId="2" type="noConversion"/>
  </si>
  <si>
    <t>SGP2038R</t>
    <phoneticPr fontId="2" type="noConversion"/>
  </si>
  <si>
    <t>G3-M-04A</t>
    <phoneticPr fontId="2" type="noConversion"/>
  </si>
  <si>
    <t>NG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</si>
  <si>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</si>
  <si>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</si>
  <si>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t>AMB0160A-KAA-R1</t>
    <phoneticPr fontId="2" type="noConversion"/>
  </si>
  <si>
    <t>INNER</t>
    <phoneticPr fontId="2" type="noConversion"/>
  </si>
  <si>
    <t>SW-003353</t>
    <phoneticPr fontId="2" type="noConversion"/>
  </si>
  <si>
    <t>PC투명</t>
    <phoneticPr fontId="2" type="noConversion"/>
  </si>
  <si>
    <t>AMB1922A-KAA-R1</t>
    <phoneticPr fontId="2" type="noConversion"/>
  </si>
  <si>
    <t>전일 ISSUE 사항(23일)</t>
    <phoneticPr fontId="2" type="noConversion"/>
  </si>
  <si>
    <t>수리후양산-&gt;설비이동 14호기</t>
    <phoneticPr fontId="2" type="noConversion"/>
  </si>
  <si>
    <t>당일 진행 사항(24일)</t>
    <phoneticPr fontId="2" type="noConversion"/>
  </si>
  <si>
    <t>SHAFT</t>
    <phoneticPr fontId="2" type="noConversion"/>
  </si>
  <si>
    <t>KR6408-01PA</t>
    <phoneticPr fontId="2" type="noConversion"/>
  </si>
  <si>
    <t>승인후양산</t>
    <phoneticPr fontId="2" type="noConversion"/>
  </si>
  <si>
    <t>LOCKER</t>
    <phoneticPr fontId="2" type="noConversion"/>
  </si>
  <si>
    <t>G3-M-03A</t>
    <phoneticPr fontId="2" type="noConversion"/>
  </si>
  <si>
    <t>SAMPLE 진행 사항(23일)</t>
    <phoneticPr fontId="2" type="noConversion"/>
  </si>
  <si>
    <t>KR6156HA841YA</t>
    <phoneticPr fontId="2" type="noConversion"/>
  </si>
  <si>
    <t>슬라이드파손</t>
    <phoneticPr fontId="2" type="noConversion"/>
  </si>
  <si>
    <t>HR03A-01A1</t>
    <phoneticPr fontId="2" type="noConversion"/>
  </si>
  <si>
    <t>내부검토용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</si>
  <si>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</si>
  <si>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</si>
  <si>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2019년 01월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</si>
  <si>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r>
      <t>2019년 01월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</si>
  <si>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AMB07P8A-KAA-R1</t>
    <phoneticPr fontId="2" type="noConversion"/>
  </si>
  <si>
    <t>전일 ISSUE 사항(24일)</t>
    <phoneticPr fontId="2" type="noConversion"/>
  </si>
  <si>
    <t>1C파손 양산</t>
    <phoneticPr fontId="2" type="noConversion"/>
  </si>
  <si>
    <t>당일 진행 사항(25일)</t>
    <phoneticPr fontId="2" type="noConversion"/>
  </si>
  <si>
    <t>NP571-178-025#LB</t>
    <phoneticPr fontId="2" type="noConversion"/>
  </si>
  <si>
    <t>SAMPLE 진행 사항(24일)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</si>
  <si>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</si>
  <si>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</si>
  <si>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2019년 01월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</si>
  <si>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SGP2030R N/P</t>
    <phoneticPr fontId="2" type="noConversion"/>
  </si>
  <si>
    <t>G3-M-02A/03A</t>
    <phoneticPr fontId="2" type="noConversion"/>
  </si>
  <si>
    <t>전일 ISSUE 사항(25일)</t>
    <phoneticPr fontId="2" type="noConversion"/>
  </si>
  <si>
    <t>당일 진행 사항(28일)</t>
    <phoneticPr fontId="2" type="noConversion"/>
  </si>
  <si>
    <t>AMB2026A-KAA-R3</t>
    <phoneticPr fontId="2" type="noConversion"/>
  </si>
  <si>
    <t>AMM0822A-KAB-R1</t>
    <phoneticPr fontId="2" type="noConversion"/>
  </si>
  <si>
    <t>SAMPLE 진행 사항(25일)</t>
    <phoneticPr fontId="2" type="noConversion"/>
  </si>
  <si>
    <t>FLOAT</t>
    <phoneticPr fontId="2" type="noConversion"/>
  </si>
  <si>
    <t>HR03B-352A1</t>
    <phoneticPr fontId="2" type="noConversion"/>
  </si>
  <si>
    <t>HR03B-352A3</t>
    <phoneticPr fontId="2" type="noConversion"/>
  </si>
  <si>
    <t>HR03B-352A2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</si>
  <si>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</si>
  <si>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</si>
  <si>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2019년 01월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</si>
  <si>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SF2255</t>
    <phoneticPr fontId="2" type="noConversion"/>
  </si>
  <si>
    <t>전일 ISSUE 사항(28일)</t>
    <phoneticPr fontId="2" type="noConversion"/>
  </si>
  <si>
    <t>당일 진행 사항(29일)</t>
    <phoneticPr fontId="2" type="noConversion"/>
  </si>
  <si>
    <t>SAMPLE 진행 사항(28일)</t>
    <phoneticPr fontId="2" type="noConversion"/>
  </si>
  <si>
    <t>AMB0167A-KAA-R1</t>
    <phoneticPr fontId="2" type="noConversion"/>
  </si>
  <si>
    <t>K-JR01933-G01AWA</t>
    <phoneticPr fontId="2" type="noConversion"/>
  </si>
  <si>
    <t>K-JR01933-C01ALA</t>
    <phoneticPr fontId="2" type="noConversion"/>
  </si>
  <si>
    <t>SGF2051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</si>
  <si>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</si>
  <si>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</si>
  <si>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2019년 01월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</si>
  <si>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메카텍</t>
    <phoneticPr fontId="2" type="noConversion"/>
  </si>
  <si>
    <t>COVER HINGE</t>
    <phoneticPr fontId="2" type="noConversion"/>
  </si>
  <si>
    <t>FLOATING</t>
    <phoneticPr fontId="2" type="noConversion"/>
  </si>
  <si>
    <t>전일 ISSUE 사항(29일)</t>
    <phoneticPr fontId="2" type="noConversion"/>
  </si>
  <si>
    <t>치수확인후양산</t>
    <phoneticPr fontId="2" type="noConversion"/>
  </si>
  <si>
    <t>치수확인후양산-&gt;뜯김정지</t>
    <phoneticPr fontId="2" type="noConversion"/>
  </si>
  <si>
    <t>당일 진행 사항(30일)</t>
    <phoneticPr fontId="2" type="noConversion"/>
  </si>
  <si>
    <t>HL072-10M4</t>
    <phoneticPr fontId="2" type="noConversion"/>
  </si>
  <si>
    <t>BASE HINGE</t>
    <phoneticPr fontId="2" type="noConversion"/>
  </si>
  <si>
    <t>SAMPLE 진행 사항(29일)</t>
    <phoneticPr fontId="2" type="noConversion"/>
  </si>
  <si>
    <t>AMB0349A-KAA-R1</t>
    <phoneticPr fontId="2" type="noConversion"/>
  </si>
  <si>
    <t>AMB0463A-KAA-R1</t>
    <phoneticPr fontId="2" type="noConversion"/>
  </si>
  <si>
    <t>AMB0236A-KAA-R1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</si>
  <si>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</si>
  <si>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</si>
  <si>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2019년 01월 30일 일일생산현황</t>
    </r>
    <r>
      <rPr>
        <b/>
        <sz val="14"/>
        <color indexed="8"/>
        <rFont val="굴림체"/>
        <family val="3"/>
        <charset val="129"/>
      </rPr>
      <t>(31일 09시 현재)</t>
    </r>
    <phoneticPr fontId="2" type="noConversion"/>
  </si>
  <si>
    <t>END PLATE</t>
    <phoneticPr fontId="2" type="noConversion"/>
  </si>
  <si>
    <t>BF1-EP530A</t>
    <phoneticPr fontId="2" type="noConversion"/>
  </si>
  <si>
    <t>28P</t>
    <phoneticPr fontId="2" type="noConversion"/>
  </si>
  <si>
    <t>전일 ISSUE 사항(30일)</t>
    <phoneticPr fontId="2" type="noConversion"/>
  </si>
  <si>
    <t>당일 진행 사항(31일)</t>
    <phoneticPr fontId="2" type="noConversion"/>
  </si>
  <si>
    <t>LEVER HINGE</t>
    <phoneticPr fontId="2" type="noConversion"/>
  </si>
  <si>
    <t>시스템</t>
    <phoneticPr fontId="2" type="noConversion"/>
  </si>
  <si>
    <t>SAMPLE 진행 사항(30일)</t>
    <phoneticPr fontId="2" type="noConversion"/>
  </si>
  <si>
    <t>금형 수리 내역(30일)</t>
    <phoneticPr fontId="2" type="noConversion"/>
  </si>
  <si>
    <t>설비 점검 내역(30일)</t>
    <phoneticPr fontId="2" type="noConversion"/>
  </si>
  <si>
    <r>
      <t>2019년 01월 31일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</si>
  <si>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LENS HOLDER</t>
    <phoneticPr fontId="2" type="noConversion"/>
  </si>
  <si>
    <t>ABS</t>
    <phoneticPr fontId="2" type="noConversion"/>
  </si>
  <si>
    <t>전일 ISSUE 사항(31일)</t>
    <phoneticPr fontId="2" type="noConversion"/>
  </si>
  <si>
    <t>88P</t>
    <phoneticPr fontId="2" type="noConversion"/>
  </si>
  <si>
    <t>SAMPLE 진행 사항(31일)</t>
    <phoneticPr fontId="2" type="noConversion"/>
  </si>
  <si>
    <t>3종</t>
    <phoneticPr fontId="2" type="noConversion"/>
  </si>
  <si>
    <t>HRCS-00C11/12/14C</t>
    <phoneticPr fontId="2" type="noConversion"/>
  </si>
  <si>
    <t>상측박힘 3회진행</t>
    <phoneticPr fontId="2" type="noConversion"/>
  </si>
  <si>
    <t>금형 수리 내역(31일)</t>
    <phoneticPr fontId="2" type="noConversion"/>
  </si>
  <si>
    <t>설비 점검 내역(31일)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</si>
</sst>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9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/>
    </xf>
    <xf numFmtId="41" fontId="8" fillId="0" borderId="6" xfId="4" applyFont="1" applyFill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Fill="1" applyBorder="1" applyAlignment="1">
      <alignment horizontal="center" vertical="center"/>
    </xf>
    <xf numFmtId="9" fontId="9" fillId="0" borderId="7" xfId="3" applyFont="1" applyFill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 wrapText="1"/>
    </xf>
    <xf numFmtId="178" fontId="8" fillId="0" borderId="10" xfId="4" applyNumberFormat="1" applyFont="1" applyFill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9" xfId="4" applyFont="1" applyFill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 wrapText="1"/>
    </xf>
    <xf numFmtId="41" fontId="4" fillId="0" borderId="7" xfId="4" applyFont="1" applyFill="1" applyBorder="1" applyAlignment="1">
      <alignment horizontal="center" vertical="center" wrapText="1"/>
    </xf>
    <xf numFmtId="41" fontId="8" fillId="0" borderId="4" xfId="4" applyFont="1" applyFill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 wrapText="1"/>
    </xf>
    <xf numFmtId="41" fontId="8" fillId="0" borderId="8" xfId="4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Fill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Fill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shrinkToFit="1"/>
    </xf>
    <xf numFmtId="0" fontId="8" fillId="0" borderId="9" xfId="2" applyFont="1" applyFill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1" fillId="0" borderId="0" xfId="2" applyFont="1" applyBorder="1">
      <alignment vertical="center"/>
    </xf>
    <xf numFmtId="178" fontId="11" fillId="0" borderId="0" xfId="4" applyNumberFormat="1" applyFont="1" applyBorder="1">
      <alignment vertical="center"/>
    </xf>
    <xf numFmtId="0" fontId="13" fillId="0" borderId="0" xfId="2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shrinkToFit="1"/>
    </xf>
    <xf numFmtId="41" fontId="13" fillId="0" borderId="0" xfId="4" applyFont="1" applyBorder="1" applyAlignment="1">
      <alignment vertical="center"/>
    </xf>
    <xf numFmtId="49" fontId="13" fillId="0" borderId="0" xfId="2" applyNumberFormat="1" applyFont="1" applyBorder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8" fillId="30" borderId="8" xfId="2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8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8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7" fillId="0" borderId="0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left" vertical="center" shrinkToFit="1"/>
    </xf>
    <xf numFmtId="49" fontId="13" fillId="0" borderId="30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1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1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01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871441689623512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01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0.26747311827956988</c:v>
                </c:pt>
                <c:pt idx="3">
                  <c:v>0.19623655913978494</c:v>
                </c:pt>
                <c:pt idx="4">
                  <c:v>0.53763440860215062</c:v>
                </c:pt>
                <c:pt idx="5">
                  <c:v>0.27688172043010756</c:v>
                </c:pt>
                <c:pt idx="6">
                  <c:v>0.33062475430685623</c:v>
                </c:pt>
                <c:pt idx="7">
                  <c:v>0.20696157495256168</c:v>
                </c:pt>
                <c:pt idx="8">
                  <c:v>7.9301075268817203E-2</c:v>
                </c:pt>
                <c:pt idx="9">
                  <c:v>0.16397849462365593</c:v>
                </c:pt>
                <c:pt idx="10">
                  <c:v>0.39112903225806445</c:v>
                </c:pt>
                <c:pt idx="11">
                  <c:v>0.62634408602150526</c:v>
                </c:pt>
                <c:pt idx="12">
                  <c:v>0.52822580645161288</c:v>
                </c:pt>
                <c:pt idx="13">
                  <c:v>0.46370967741935476</c:v>
                </c:pt>
                <c:pt idx="14">
                  <c:v>0.16801075268817206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'01'!$L$6:$L$21</c:f>
              <c:numCache>
                <c:formatCode>_(* #,##0_);_(* \(#,##0\);_(* "-"_);_(@_)</c:formatCode>
                <c:ptCount val="16"/>
                <c:pt idx="2">
                  <c:v>18068</c:v>
                </c:pt>
                <c:pt idx="3">
                  <c:v>4632</c:v>
                </c:pt>
                <c:pt idx="4">
                  <c:v>18432</c:v>
                </c:pt>
                <c:pt idx="5">
                  <c:v>4692</c:v>
                </c:pt>
                <c:pt idx="6">
                  <c:v>4989</c:v>
                </c:pt>
                <c:pt idx="11">
                  <c:v>24768</c:v>
                </c:pt>
                <c:pt idx="12">
                  <c:v>13888</c:v>
                </c:pt>
                <c:pt idx="13">
                  <c:v>4963</c:v>
                </c:pt>
                <c:pt idx="14">
                  <c:v>4963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8-4119-B3A7-FA99E9FE22C7}"/>
            </c:ext>
          </c:extLst>
        </c:ser>
        <c:ser>
          <c:idx val="1"/>
          <c:order val="1"/>
          <c:tx>
            <c:v>계획</c:v>
          </c:tx>
          <c:cat>
            <c:strRef>
              <c:f>'01'!$D$6:$D$21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'01'!$J$6:$J$21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18068</c:v>
                </c:pt>
                <c:pt idx="3">
                  <c:v>4632</c:v>
                </c:pt>
                <c:pt idx="4">
                  <c:v>18432</c:v>
                </c:pt>
                <c:pt idx="5">
                  <c:v>4692</c:v>
                </c:pt>
                <c:pt idx="6">
                  <c:v>4989</c:v>
                </c:pt>
                <c:pt idx="7">
                  <c:v>10540</c:v>
                </c:pt>
                <c:pt idx="8">
                  <c:v>613</c:v>
                </c:pt>
                <c:pt idx="9">
                  <c:v>27965</c:v>
                </c:pt>
                <c:pt idx="10">
                  <c:v>4375</c:v>
                </c:pt>
                <c:pt idx="11">
                  <c:v>24768</c:v>
                </c:pt>
                <c:pt idx="12">
                  <c:v>13888</c:v>
                </c:pt>
                <c:pt idx="13">
                  <c:v>4963</c:v>
                </c:pt>
                <c:pt idx="14">
                  <c:v>4963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C8-4119-B3A7-FA99E9FE2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88%</c:v>
                </c:pt>
                <c:pt idx="5">
                  <c:v>83%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83%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'01'!$AD$6:$AD$21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0.875</c:v>
                </c:pt>
                <c:pt idx="5">
                  <c:v>0.83333333333333337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0.83333333333333337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1E-4DA3-9B40-39BFF266356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1E-4DA3-9B40-39BFF266356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'01'!$AE$6:$AE$21</c:f>
              <c:numCache>
                <c:formatCode>0%</c:formatCode>
                <c:ptCount val="16"/>
                <c:pt idx="0">
                  <c:v>0.56944444444444453</c:v>
                </c:pt>
                <c:pt idx="1">
                  <c:v>0.56944444444444453</c:v>
                </c:pt>
                <c:pt idx="2">
                  <c:v>0.56944444444444453</c:v>
                </c:pt>
                <c:pt idx="3">
                  <c:v>0.56944444444444453</c:v>
                </c:pt>
                <c:pt idx="4">
                  <c:v>0.56944444444444453</c:v>
                </c:pt>
                <c:pt idx="5">
                  <c:v>0.56944444444444453</c:v>
                </c:pt>
                <c:pt idx="6">
                  <c:v>0.56944444444444453</c:v>
                </c:pt>
                <c:pt idx="7">
                  <c:v>0.56944444444444453</c:v>
                </c:pt>
                <c:pt idx="8">
                  <c:v>0.56944444444444453</c:v>
                </c:pt>
                <c:pt idx="9">
                  <c:v>0.56944444444444453</c:v>
                </c:pt>
                <c:pt idx="10">
                  <c:v>0.56944444444444453</c:v>
                </c:pt>
                <c:pt idx="11">
                  <c:v>0.56944444444444453</c:v>
                </c:pt>
                <c:pt idx="12">
                  <c:v>0.56944444444444453</c:v>
                </c:pt>
                <c:pt idx="13">
                  <c:v>0.56944444444444453</c:v>
                </c:pt>
                <c:pt idx="14">
                  <c:v>0.56944444444444453</c:v>
                </c:pt>
                <c:pt idx="15">
                  <c:v>0.56944444444444453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1E-4DA3-9B40-39BFF2663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'01'!$L$6:$L$21</c:f>
              <c:numCache>
                <c:formatCode>_(* #,##0_);_(* \(#,##0\);_(* "-"_);_(@_)</c:formatCode>
                <c:ptCount val="16"/>
                <c:pt idx="2">
                  <c:v>18068</c:v>
                </c:pt>
                <c:pt idx="3">
                  <c:v>4632</c:v>
                </c:pt>
                <c:pt idx="4">
                  <c:v>18432</c:v>
                </c:pt>
                <c:pt idx="5">
                  <c:v>4692</c:v>
                </c:pt>
                <c:pt idx="6">
                  <c:v>4989</c:v>
                </c:pt>
                <c:pt idx="11">
                  <c:v>24768</c:v>
                </c:pt>
                <c:pt idx="12">
                  <c:v>13888</c:v>
                </c:pt>
                <c:pt idx="13">
                  <c:v>4963</c:v>
                </c:pt>
                <c:pt idx="14">
                  <c:v>4963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47-4373-BBFB-EF976E42D78A}"/>
            </c:ext>
          </c:extLst>
        </c:ser>
        <c:ser>
          <c:idx val="1"/>
          <c:order val="1"/>
          <c:tx>
            <c:v>계획</c:v>
          </c:tx>
          <c:cat>
            <c:strRef>
              <c:f>'01'!$D$6:$D$21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'01'!$J$6:$J$21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18068</c:v>
                </c:pt>
                <c:pt idx="3">
                  <c:v>4632</c:v>
                </c:pt>
                <c:pt idx="4">
                  <c:v>18432</c:v>
                </c:pt>
                <c:pt idx="5">
                  <c:v>4692</c:v>
                </c:pt>
                <c:pt idx="6">
                  <c:v>4989</c:v>
                </c:pt>
                <c:pt idx="7">
                  <c:v>10540</c:v>
                </c:pt>
                <c:pt idx="8">
                  <c:v>613</c:v>
                </c:pt>
                <c:pt idx="9">
                  <c:v>27965</c:v>
                </c:pt>
                <c:pt idx="10">
                  <c:v>4375</c:v>
                </c:pt>
                <c:pt idx="11">
                  <c:v>24768</c:v>
                </c:pt>
                <c:pt idx="12">
                  <c:v>13888</c:v>
                </c:pt>
                <c:pt idx="13">
                  <c:v>4963</c:v>
                </c:pt>
                <c:pt idx="14">
                  <c:v>4963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47-4373-BBFB-EF976E42D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88%</c:v>
                </c:pt>
                <c:pt idx="5">
                  <c:v>83%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83%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'01'!$AD$6:$AD$21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0.875</c:v>
                </c:pt>
                <c:pt idx="5">
                  <c:v>0.83333333333333337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0.83333333333333337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25-45AC-BE51-8EB873E346C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425-45AC-BE51-8EB873E346C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'01'!$AE$6:$AE$21</c:f>
              <c:numCache>
                <c:formatCode>0%</c:formatCode>
                <c:ptCount val="16"/>
                <c:pt idx="0">
                  <c:v>0.56944444444444453</c:v>
                </c:pt>
                <c:pt idx="1">
                  <c:v>0.56944444444444453</c:v>
                </c:pt>
                <c:pt idx="2">
                  <c:v>0.56944444444444453</c:v>
                </c:pt>
                <c:pt idx="3">
                  <c:v>0.56944444444444453</c:v>
                </c:pt>
                <c:pt idx="4">
                  <c:v>0.56944444444444453</c:v>
                </c:pt>
                <c:pt idx="5">
                  <c:v>0.56944444444444453</c:v>
                </c:pt>
                <c:pt idx="6">
                  <c:v>0.56944444444444453</c:v>
                </c:pt>
                <c:pt idx="7">
                  <c:v>0.56944444444444453</c:v>
                </c:pt>
                <c:pt idx="8">
                  <c:v>0.56944444444444453</c:v>
                </c:pt>
                <c:pt idx="9">
                  <c:v>0.56944444444444453</c:v>
                </c:pt>
                <c:pt idx="10">
                  <c:v>0.56944444444444453</c:v>
                </c:pt>
                <c:pt idx="11">
                  <c:v>0.56944444444444453</c:v>
                </c:pt>
                <c:pt idx="12">
                  <c:v>0.56944444444444453</c:v>
                </c:pt>
                <c:pt idx="13">
                  <c:v>0.56944444444444453</c:v>
                </c:pt>
                <c:pt idx="14">
                  <c:v>0.56944444444444453</c:v>
                </c:pt>
                <c:pt idx="15">
                  <c:v>0.56944444444444453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25-45AC-BE51-8EB873E34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695-4409-B776-A2127853D8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95-4409-B776-A2127853D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95-4409-B776-A2127853D85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95-4409-B776-A2127853D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'02'!$D$6:$D$22</c:f>
              <c:strCache>
                <c:ptCount val="16"/>
                <c:pt idx="2">
                  <c:v>LEAD GUIDE</c:v>
                </c:pt>
                <c:pt idx="3">
                  <c:v>BASE</c:v>
                </c:pt>
                <c:pt idx="4">
                  <c:v>SLIDER</c:v>
                </c:pt>
                <c:pt idx="5">
                  <c:v>STOPPER</c:v>
                </c:pt>
                <c:pt idx="6">
                  <c:v>SLIDER</c:v>
                </c:pt>
                <c:pt idx="7">
                  <c:v>ACTUATOR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  <c:pt idx="15">
                  <c:v>HOLDER</c:v>
                </c:pt>
              </c:strCache>
            </c:strRef>
          </c:cat>
          <c:val>
            <c:numRef>
              <c:f>'02'!$L$6:$L$22</c:f>
              <c:numCache>
                <c:formatCode>_(* #,##0_);_(* \(#,##0\);_(* "-"_);_(@_)</c:formatCode>
                <c:ptCount val="17"/>
                <c:pt idx="3">
                  <c:v>150</c:v>
                </c:pt>
                <c:pt idx="4">
                  <c:v>2992</c:v>
                </c:pt>
                <c:pt idx="5">
                  <c:v>17196</c:v>
                </c:pt>
                <c:pt idx="6">
                  <c:v>5992</c:v>
                </c:pt>
                <c:pt idx="7">
                  <c:v>2676</c:v>
                </c:pt>
                <c:pt idx="12">
                  <c:v>24688</c:v>
                </c:pt>
                <c:pt idx="13">
                  <c:v>20848</c:v>
                </c:pt>
                <c:pt idx="14">
                  <c:v>5751</c:v>
                </c:pt>
                <c:pt idx="15">
                  <c:v>5751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8-4B59-9E73-B4AC4D201E8F}"/>
            </c:ext>
          </c:extLst>
        </c:ser>
        <c:ser>
          <c:idx val="1"/>
          <c:order val="1"/>
          <c:tx>
            <c:v>계획</c:v>
          </c:tx>
          <c:cat>
            <c:strRef>
              <c:f>'02'!$D$6:$D$22</c:f>
              <c:strCache>
                <c:ptCount val="16"/>
                <c:pt idx="2">
                  <c:v>LEAD GUIDE</c:v>
                </c:pt>
                <c:pt idx="3">
                  <c:v>BASE</c:v>
                </c:pt>
                <c:pt idx="4">
                  <c:v>SLIDER</c:v>
                </c:pt>
                <c:pt idx="5">
                  <c:v>STOPPER</c:v>
                </c:pt>
                <c:pt idx="6">
                  <c:v>SLIDER</c:v>
                </c:pt>
                <c:pt idx="7">
                  <c:v>ACTUATOR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  <c:pt idx="15">
                  <c:v>HOLDER</c:v>
                </c:pt>
              </c:strCache>
            </c:strRef>
          </c:cat>
          <c:val>
            <c:numRef>
              <c:f>'02'!$J$6:$J$22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18068</c:v>
                </c:pt>
                <c:pt idx="3">
                  <c:v>150</c:v>
                </c:pt>
                <c:pt idx="4">
                  <c:v>2992</c:v>
                </c:pt>
                <c:pt idx="5">
                  <c:v>17196</c:v>
                </c:pt>
                <c:pt idx="6">
                  <c:v>5992</c:v>
                </c:pt>
                <c:pt idx="7">
                  <c:v>2676</c:v>
                </c:pt>
                <c:pt idx="8">
                  <c:v>10540</c:v>
                </c:pt>
                <c:pt idx="9">
                  <c:v>613</c:v>
                </c:pt>
                <c:pt idx="10">
                  <c:v>27965</c:v>
                </c:pt>
                <c:pt idx="11">
                  <c:v>4375</c:v>
                </c:pt>
                <c:pt idx="12">
                  <c:v>24688</c:v>
                </c:pt>
                <c:pt idx="13">
                  <c:v>20848</c:v>
                </c:pt>
                <c:pt idx="14">
                  <c:v>5751</c:v>
                </c:pt>
                <c:pt idx="15">
                  <c:v>5751</c:v>
                </c:pt>
                <c:pt idx="16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8-4B59-9E73-B4AC4D201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17%</c:v>
                </c:pt>
                <c:pt idx="4">
                  <c:v>58%</c:v>
                </c:pt>
                <c:pt idx="5">
                  <c:v>83%</c:v>
                </c:pt>
                <c:pt idx="6">
                  <c:v>100%</c:v>
                </c:pt>
                <c:pt idx="7">
                  <c:v>54%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2">
                  <c:v>LEAD GUIDE</c:v>
                </c:pt>
                <c:pt idx="3">
                  <c:v>BASE</c:v>
                </c:pt>
                <c:pt idx="4">
                  <c:v>SLIDER</c:v>
                </c:pt>
                <c:pt idx="5">
                  <c:v>STOPPER</c:v>
                </c:pt>
                <c:pt idx="6">
                  <c:v>SLIDER</c:v>
                </c:pt>
                <c:pt idx="7">
                  <c:v>ACTUATOR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  <c:pt idx="15">
                  <c:v>HOLDER</c:v>
                </c:pt>
              </c:strCache>
            </c:strRef>
          </c:cat>
          <c:val>
            <c:numRef>
              <c:f>'02'!$AD$6:$AD$22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0.58333333333333337</c:v>
                </c:pt>
                <c:pt idx="5">
                  <c:v>0.83333333333333337</c:v>
                </c:pt>
                <c:pt idx="6">
                  <c:v>1</c:v>
                </c:pt>
                <c:pt idx="7">
                  <c:v>0.54166666666666663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7A-47B6-92F2-3DF5D898AD1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97A-47B6-92F2-3DF5D898AD1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2">
                  <c:v>LEAD GUIDE</c:v>
                </c:pt>
                <c:pt idx="3">
                  <c:v>BASE</c:v>
                </c:pt>
                <c:pt idx="4">
                  <c:v>SLIDER</c:v>
                </c:pt>
                <c:pt idx="5">
                  <c:v>STOPPER</c:v>
                </c:pt>
                <c:pt idx="6">
                  <c:v>SLIDER</c:v>
                </c:pt>
                <c:pt idx="7">
                  <c:v>ACTUATOR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  <c:pt idx="15">
                  <c:v>HOLDER</c:v>
                </c:pt>
              </c:strCache>
            </c:strRef>
          </c:cat>
          <c:val>
            <c:numRef>
              <c:f>'02'!$AE$6:$AE$22</c:f>
              <c:numCache>
                <c:formatCode>0%</c:formatCode>
                <c:ptCount val="17"/>
                <c:pt idx="0">
                  <c:v>0.47499999999999998</c:v>
                </c:pt>
                <c:pt idx="1">
                  <c:v>0.47499999999999998</c:v>
                </c:pt>
                <c:pt idx="2">
                  <c:v>0.47499999999999998</c:v>
                </c:pt>
                <c:pt idx="3">
                  <c:v>0.47499999999999998</c:v>
                </c:pt>
                <c:pt idx="4">
                  <c:v>0.47499999999999998</c:v>
                </c:pt>
                <c:pt idx="5">
                  <c:v>0.47499999999999998</c:v>
                </c:pt>
                <c:pt idx="6">
                  <c:v>0.47499999999999998</c:v>
                </c:pt>
                <c:pt idx="7">
                  <c:v>0.47499999999999998</c:v>
                </c:pt>
                <c:pt idx="8">
                  <c:v>0.47499999999999998</c:v>
                </c:pt>
                <c:pt idx="9">
                  <c:v>0.47499999999999998</c:v>
                </c:pt>
                <c:pt idx="10">
                  <c:v>0.47499999999999998</c:v>
                </c:pt>
                <c:pt idx="11">
                  <c:v>0.47499999999999998</c:v>
                </c:pt>
                <c:pt idx="12">
                  <c:v>0.47499999999999998</c:v>
                </c:pt>
                <c:pt idx="13">
                  <c:v>0.47499999999999998</c:v>
                </c:pt>
                <c:pt idx="14">
                  <c:v>0.47499999999999998</c:v>
                </c:pt>
                <c:pt idx="15">
                  <c:v>0.47499999999999998</c:v>
                </c:pt>
                <c:pt idx="16">
                  <c:v>0.47499999999999998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7A-47B6-92F2-3DF5D898A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'02'!$D$6:$D$22</c:f>
              <c:strCache>
                <c:ptCount val="16"/>
                <c:pt idx="2">
                  <c:v>LEAD GUIDE</c:v>
                </c:pt>
                <c:pt idx="3">
                  <c:v>BASE</c:v>
                </c:pt>
                <c:pt idx="4">
                  <c:v>SLIDER</c:v>
                </c:pt>
                <c:pt idx="5">
                  <c:v>STOPPER</c:v>
                </c:pt>
                <c:pt idx="6">
                  <c:v>SLIDER</c:v>
                </c:pt>
                <c:pt idx="7">
                  <c:v>ACTUATOR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  <c:pt idx="15">
                  <c:v>HOLDER</c:v>
                </c:pt>
              </c:strCache>
            </c:strRef>
          </c:cat>
          <c:val>
            <c:numRef>
              <c:f>'02'!$L$6:$L$22</c:f>
              <c:numCache>
                <c:formatCode>_(* #,##0_);_(* \(#,##0\);_(* "-"_);_(@_)</c:formatCode>
                <c:ptCount val="17"/>
                <c:pt idx="3">
                  <c:v>150</c:v>
                </c:pt>
                <c:pt idx="4">
                  <c:v>2992</c:v>
                </c:pt>
                <c:pt idx="5">
                  <c:v>17196</c:v>
                </c:pt>
                <c:pt idx="6">
                  <c:v>5992</c:v>
                </c:pt>
                <c:pt idx="7">
                  <c:v>2676</c:v>
                </c:pt>
                <c:pt idx="12">
                  <c:v>24688</c:v>
                </c:pt>
                <c:pt idx="13">
                  <c:v>20848</c:v>
                </c:pt>
                <c:pt idx="14">
                  <c:v>5751</c:v>
                </c:pt>
                <c:pt idx="15">
                  <c:v>5751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64-4E0B-96F2-6311E39DA6FA}"/>
            </c:ext>
          </c:extLst>
        </c:ser>
        <c:ser>
          <c:idx val="1"/>
          <c:order val="1"/>
          <c:tx>
            <c:v>계획</c:v>
          </c:tx>
          <c:cat>
            <c:strRef>
              <c:f>'02'!$D$6:$D$22</c:f>
              <c:strCache>
                <c:ptCount val="16"/>
                <c:pt idx="2">
                  <c:v>LEAD GUIDE</c:v>
                </c:pt>
                <c:pt idx="3">
                  <c:v>BASE</c:v>
                </c:pt>
                <c:pt idx="4">
                  <c:v>SLIDER</c:v>
                </c:pt>
                <c:pt idx="5">
                  <c:v>STOPPER</c:v>
                </c:pt>
                <c:pt idx="6">
                  <c:v>SLIDER</c:v>
                </c:pt>
                <c:pt idx="7">
                  <c:v>ACTUATOR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  <c:pt idx="15">
                  <c:v>HOLDER</c:v>
                </c:pt>
              </c:strCache>
            </c:strRef>
          </c:cat>
          <c:val>
            <c:numRef>
              <c:f>'02'!$J$6:$J$22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18068</c:v>
                </c:pt>
                <c:pt idx="3">
                  <c:v>150</c:v>
                </c:pt>
                <c:pt idx="4">
                  <c:v>2992</c:v>
                </c:pt>
                <c:pt idx="5">
                  <c:v>17196</c:v>
                </c:pt>
                <c:pt idx="6">
                  <c:v>5992</c:v>
                </c:pt>
                <c:pt idx="7">
                  <c:v>2676</c:v>
                </c:pt>
                <c:pt idx="8">
                  <c:v>10540</c:v>
                </c:pt>
                <c:pt idx="9">
                  <c:v>613</c:v>
                </c:pt>
                <c:pt idx="10">
                  <c:v>27965</c:v>
                </c:pt>
                <c:pt idx="11">
                  <c:v>4375</c:v>
                </c:pt>
                <c:pt idx="12">
                  <c:v>24688</c:v>
                </c:pt>
                <c:pt idx="13">
                  <c:v>20848</c:v>
                </c:pt>
                <c:pt idx="14">
                  <c:v>5751</c:v>
                </c:pt>
                <c:pt idx="15">
                  <c:v>5751</c:v>
                </c:pt>
                <c:pt idx="16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64-4E0B-96F2-6311E39DA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17%</c:v>
                </c:pt>
                <c:pt idx="4">
                  <c:v>58%</c:v>
                </c:pt>
                <c:pt idx="5">
                  <c:v>83%</c:v>
                </c:pt>
                <c:pt idx="6">
                  <c:v>100%</c:v>
                </c:pt>
                <c:pt idx="7">
                  <c:v>54%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2">
                  <c:v>LEAD GUIDE</c:v>
                </c:pt>
                <c:pt idx="3">
                  <c:v>BASE</c:v>
                </c:pt>
                <c:pt idx="4">
                  <c:v>SLIDER</c:v>
                </c:pt>
                <c:pt idx="5">
                  <c:v>STOPPER</c:v>
                </c:pt>
                <c:pt idx="6">
                  <c:v>SLIDER</c:v>
                </c:pt>
                <c:pt idx="7">
                  <c:v>ACTUATOR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  <c:pt idx="15">
                  <c:v>HOLDER</c:v>
                </c:pt>
              </c:strCache>
            </c:strRef>
          </c:cat>
          <c:val>
            <c:numRef>
              <c:f>'02'!$AD$6:$AD$22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0.58333333333333337</c:v>
                </c:pt>
                <c:pt idx="5">
                  <c:v>0.83333333333333337</c:v>
                </c:pt>
                <c:pt idx="6">
                  <c:v>1</c:v>
                </c:pt>
                <c:pt idx="7">
                  <c:v>0.54166666666666663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39-4630-92A2-0AEA86E05B1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639-4630-92A2-0AEA86E05B1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2">
                  <c:v>LEAD GUIDE</c:v>
                </c:pt>
                <c:pt idx="3">
                  <c:v>BASE</c:v>
                </c:pt>
                <c:pt idx="4">
                  <c:v>SLIDER</c:v>
                </c:pt>
                <c:pt idx="5">
                  <c:v>STOPPER</c:v>
                </c:pt>
                <c:pt idx="6">
                  <c:v>SLIDER</c:v>
                </c:pt>
                <c:pt idx="7">
                  <c:v>ACTUATOR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  <c:pt idx="15">
                  <c:v>HOLDER</c:v>
                </c:pt>
              </c:strCache>
            </c:strRef>
          </c:cat>
          <c:val>
            <c:numRef>
              <c:f>'02'!$AE$6:$AE$22</c:f>
              <c:numCache>
                <c:formatCode>0%</c:formatCode>
                <c:ptCount val="17"/>
                <c:pt idx="0">
                  <c:v>0.47499999999999998</c:v>
                </c:pt>
                <c:pt idx="1">
                  <c:v>0.47499999999999998</c:v>
                </c:pt>
                <c:pt idx="2">
                  <c:v>0.47499999999999998</c:v>
                </c:pt>
                <c:pt idx="3">
                  <c:v>0.47499999999999998</c:v>
                </c:pt>
                <c:pt idx="4">
                  <c:v>0.47499999999999998</c:v>
                </c:pt>
                <c:pt idx="5">
                  <c:v>0.47499999999999998</c:v>
                </c:pt>
                <c:pt idx="6">
                  <c:v>0.47499999999999998</c:v>
                </c:pt>
                <c:pt idx="7">
                  <c:v>0.47499999999999998</c:v>
                </c:pt>
                <c:pt idx="8">
                  <c:v>0.47499999999999998</c:v>
                </c:pt>
                <c:pt idx="9">
                  <c:v>0.47499999999999998</c:v>
                </c:pt>
                <c:pt idx="10">
                  <c:v>0.47499999999999998</c:v>
                </c:pt>
                <c:pt idx="11">
                  <c:v>0.47499999999999998</c:v>
                </c:pt>
                <c:pt idx="12">
                  <c:v>0.47499999999999998</c:v>
                </c:pt>
                <c:pt idx="13">
                  <c:v>0.47499999999999998</c:v>
                </c:pt>
                <c:pt idx="14">
                  <c:v>0.47499999999999998</c:v>
                </c:pt>
                <c:pt idx="15">
                  <c:v>0.47499999999999998</c:v>
                </c:pt>
                <c:pt idx="16">
                  <c:v>0.47499999999999998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39-4630-92A2-0AEA86E05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4C3-44A7-84B6-6B47B1DCCA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C3-44A7-84B6-6B47B1DCC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4C3-44A7-84B6-6B47B1DCCAA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C3-44A7-84B6-6B47B1DCC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ACTUATOR</c:v>
                </c:pt>
                <c:pt idx="7">
                  <c:v>HEARD</c:v>
                </c:pt>
                <c:pt idx="8">
                  <c:v>BASE</c:v>
                </c:pt>
                <c:pt idx="9">
                  <c:v>LED A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LATCH</c:v>
                </c:pt>
              </c:strCache>
            </c:strRef>
          </c:cat>
          <c:val>
            <c:numRef>
              <c:f>'03'!$L$6:$L$20</c:f>
              <c:numCache>
                <c:formatCode>_(* #,##0_);_(* \(#,##0\);_(* "-"_);_(@_)</c:formatCode>
                <c:ptCount val="15"/>
                <c:pt idx="2">
                  <c:v>11976</c:v>
                </c:pt>
                <c:pt idx="3">
                  <c:v>3336</c:v>
                </c:pt>
                <c:pt idx="4">
                  <c:v>18752</c:v>
                </c:pt>
                <c:pt idx="5">
                  <c:v>1202</c:v>
                </c:pt>
                <c:pt idx="6">
                  <c:v>5460</c:v>
                </c:pt>
                <c:pt idx="9">
                  <c:v>15852</c:v>
                </c:pt>
                <c:pt idx="11">
                  <c:v>11104</c:v>
                </c:pt>
                <c:pt idx="12">
                  <c:v>20972</c:v>
                </c:pt>
                <c:pt idx="13">
                  <c:v>2387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9-425D-9EAB-209C408AA4B9}"/>
            </c:ext>
          </c:extLst>
        </c:ser>
        <c:ser>
          <c:idx val="1"/>
          <c:order val="1"/>
          <c:tx>
            <c:v>계획</c:v>
          </c:tx>
          <c:cat>
            <c:strRef>
              <c:f>'03'!$D$6:$D$20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ACTUATOR</c:v>
                </c:pt>
                <c:pt idx="7">
                  <c:v>HEARD</c:v>
                </c:pt>
                <c:pt idx="8">
                  <c:v>BASE</c:v>
                </c:pt>
                <c:pt idx="9">
                  <c:v>LED A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LATCH</c:v>
                </c:pt>
              </c:strCache>
            </c:strRef>
          </c:cat>
          <c:val>
            <c:numRef>
              <c:f>'03'!$J$6:$J$20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11976</c:v>
                </c:pt>
                <c:pt idx="3">
                  <c:v>3336</c:v>
                </c:pt>
                <c:pt idx="4">
                  <c:v>18752</c:v>
                </c:pt>
                <c:pt idx="5">
                  <c:v>1202</c:v>
                </c:pt>
                <c:pt idx="6">
                  <c:v>5460</c:v>
                </c:pt>
                <c:pt idx="7">
                  <c:v>10540</c:v>
                </c:pt>
                <c:pt idx="8">
                  <c:v>613</c:v>
                </c:pt>
                <c:pt idx="9">
                  <c:v>15852</c:v>
                </c:pt>
                <c:pt idx="10">
                  <c:v>4375</c:v>
                </c:pt>
                <c:pt idx="11">
                  <c:v>11104</c:v>
                </c:pt>
                <c:pt idx="12">
                  <c:v>20972</c:v>
                </c:pt>
                <c:pt idx="13">
                  <c:v>2387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C9-425D-9EAB-209C408AA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75%</c:v>
                </c:pt>
                <c:pt idx="4">
                  <c:v>88%</c:v>
                </c:pt>
                <c:pt idx="5">
                  <c:v>25%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88%</c:v>
                </c:pt>
                <c:pt idx="10">
                  <c:v>0%</c:v>
                </c:pt>
                <c:pt idx="11">
                  <c:v>67%</c:v>
                </c:pt>
                <c:pt idx="12">
                  <c:v>100%</c:v>
                </c:pt>
                <c:pt idx="13">
                  <c:v>58%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ACTUATOR</c:v>
                </c:pt>
                <c:pt idx="7">
                  <c:v>HEARD</c:v>
                </c:pt>
                <c:pt idx="8">
                  <c:v>BASE</c:v>
                </c:pt>
                <c:pt idx="9">
                  <c:v>LED A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LATCH</c:v>
                </c:pt>
              </c:strCache>
            </c:strRef>
          </c:cat>
          <c:val>
            <c:numRef>
              <c:f>'03'!$AD$6:$AD$20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0.75</c:v>
                </c:pt>
                <c:pt idx="4">
                  <c:v>0.875</c:v>
                </c:pt>
                <c:pt idx="5">
                  <c:v>0.25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0.875</c:v>
                </c:pt>
                <c:pt idx="10">
                  <c:v>0</c:v>
                </c:pt>
                <c:pt idx="11">
                  <c:v>0.66666666666666663</c:v>
                </c:pt>
                <c:pt idx="12">
                  <c:v>1</c:v>
                </c:pt>
                <c:pt idx="13">
                  <c:v>0.58333333333333337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4-4F2D-A5BB-31369D630FF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304-4F2D-A5BB-31369D630FF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ACTUATOR</c:v>
                </c:pt>
                <c:pt idx="7">
                  <c:v>HEARD</c:v>
                </c:pt>
                <c:pt idx="8">
                  <c:v>BASE</c:v>
                </c:pt>
                <c:pt idx="9">
                  <c:v>LED A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LATCH</c:v>
                </c:pt>
              </c:strCache>
            </c:strRef>
          </c:cat>
          <c:val>
            <c:numRef>
              <c:f>'03'!$AE$6:$AE$20</c:f>
              <c:numCache>
                <c:formatCode>0%</c:formatCode>
                <c:ptCount val="15"/>
                <c:pt idx="0">
                  <c:v>0.45277777777777772</c:v>
                </c:pt>
                <c:pt idx="1">
                  <c:v>0.45277777777777772</c:v>
                </c:pt>
                <c:pt idx="2">
                  <c:v>0.45277777777777772</c:v>
                </c:pt>
                <c:pt idx="3">
                  <c:v>0.45277777777777772</c:v>
                </c:pt>
                <c:pt idx="4">
                  <c:v>0.45277777777777772</c:v>
                </c:pt>
                <c:pt idx="5">
                  <c:v>0.45277777777777772</c:v>
                </c:pt>
                <c:pt idx="6">
                  <c:v>0.45277777777777772</c:v>
                </c:pt>
                <c:pt idx="7">
                  <c:v>0.45277777777777772</c:v>
                </c:pt>
                <c:pt idx="8">
                  <c:v>0.45277777777777772</c:v>
                </c:pt>
                <c:pt idx="9">
                  <c:v>0.45277777777777772</c:v>
                </c:pt>
                <c:pt idx="10">
                  <c:v>0.45277777777777772</c:v>
                </c:pt>
                <c:pt idx="11">
                  <c:v>0.45277777777777772</c:v>
                </c:pt>
                <c:pt idx="12">
                  <c:v>0.45277777777777772</c:v>
                </c:pt>
                <c:pt idx="13">
                  <c:v>0.45277777777777772</c:v>
                </c:pt>
                <c:pt idx="14">
                  <c:v>0.45277777777777772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04-4F2D-A5BB-31369D630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ACTUATOR</c:v>
                </c:pt>
                <c:pt idx="7">
                  <c:v>HEARD</c:v>
                </c:pt>
                <c:pt idx="8">
                  <c:v>BASE</c:v>
                </c:pt>
                <c:pt idx="9">
                  <c:v>LED A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LATCH</c:v>
                </c:pt>
              </c:strCache>
            </c:strRef>
          </c:cat>
          <c:val>
            <c:numRef>
              <c:f>'03'!$L$6:$L$20</c:f>
              <c:numCache>
                <c:formatCode>_(* #,##0_);_(* \(#,##0\);_(* "-"_);_(@_)</c:formatCode>
                <c:ptCount val="15"/>
                <c:pt idx="2">
                  <c:v>11976</c:v>
                </c:pt>
                <c:pt idx="3">
                  <c:v>3336</c:v>
                </c:pt>
                <c:pt idx="4">
                  <c:v>18752</c:v>
                </c:pt>
                <c:pt idx="5">
                  <c:v>1202</c:v>
                </c:pt>
                <c:pt idx="6">
                  <c:v>5460</c:v>
                </c:pt>
                <c:pt idx="9">
                  <c:v>15852</c:v>
                </c:pt>
                <c:pt idx="11">
                  <c:v>11104</c:v>
                </c:pt>
                <c:pt idx="12">
                  <c:v>20972</c:v>
                </c:pt>
                <c:pt idx="13">
                  <c:v>2387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7-4CE5-A752-4455911D4F11}"/>
            </c:ext>
          </c:extLst>
        </c:ser>
        <c:ser>
          <c:idx val="1"/>
          <c:order val="1"/>
          <c:tx>
            <c:v>계획</c:v>
          </c:tx>
          <c:cat>
            <c:strRef>
              <c:f>'03'!$D$6:$D$20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ACTUATOR</c:v>
                </c:pt>
                <c:pt idx="7">
                  <c:v>HEARD</c:v>
                </c:pt>
                <c:pt idx="8">
                  <c:v>BASE</c:v>
                </c:pt>
                <c:pt idx="9">
                  <c:v>LED A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LATCH</c:v>
                </c:pt>
              </c:strCache>
            </c:strRef>
          </c:cat>
          <c:val>
            <c:numRef>
              <c:f>'03'!$J$6:$J$20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11976</c:v>
                </c:pt>
                <c:pt idx="3">
                  <c:v>3336</c:v>
                </c:pt>
                <c:pt idx="4">
                  <c:v>18752</c:v>
                </c:pt>
                <c:pt idx="5">
                  <c:v>1202</c:v>
                </c:pt>
                <c:pt idx="6">
                  <c:v>5460</c:v>
                </c:pt>
                <c:pt idx="7">
                  <c:v>10540</c:v>
                </c:pt>
                <c:pt idx="8">
                  <c:v>613</c:v>
                </c:pt>
                <c:pt idx="9">
                  <c:v>15852</c:v>
                </c:pt>
                <c:pt idx="10">
                  <c:v>4375</c:v>
                </c:pt>
                <c:pt idx="11">
                  <c:v>11104</c:v>
                </c:pt>
                <c:pt idx="12">
                  <c:v>20972</c:v>
                </c:pt>
                <c:pt idx="13">
                  <c:v>2387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07-4CE5-A752-4455911D4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75%</c:v>
                </c:pt>
                <c:pt idx="4">
                  <c:v>88%</c:v>
                </c:pt>
                <c:pt idx="5">
                  <c:v>25%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88%</c:v>
                </c:pt>
                <c:pt idx="10">
                  <c:v>0%</c:v>
                </c:pt>
                <c:pt idx="11">
                  <c:v>67%</c:v>
                </c:pt>
                <c:pt idx="12">
                  <c:v>100%</c:v>
                </c:pt>
                <c:pt idx="13">
                  <c:v>58%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ACTUATOR</c:v>
                </c:pt>
                <c:pt idx="7">
                  <c:v>HEARD</c:v>
                </c:pt>
                <c:pt idx="8">
                  <c:v>BASE</c:v>
                </c:pt>
                <c:pt idx="9">
                  <c:v>LED A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LATCH</c:v>
                </c:pt>
              </c:strCache>
            </c:strRef>
          </c:cat>
          <c:val>
            <c:numRef>
              <c:f>'03'!$AD$6:$AD$20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0.75</c:v>
                </c:pt>
                <c:pt idx="4">
                  <c:v>0.875</c:v>
                </c:pt>
                <c:pt idx="5">
                  <c:v>0.25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0.875</c:v>
                </c:pt>
                <c:pt idx="10">
                  <c:v>0</c:v>
                </c:pt>
                <c:pt idx="11">
                  <c:v>0.66666666666666663</c:v>
                </c:pt>
                <c:pt idx="12">
                  <c:v>1</c:v>
                </c:pt>
                <c:pt idx="13">
                  <c:v>0.58333333333333337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97-4BEA-A1C8-33B47BAE22E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697-4BEA-A1C8-33B47BAE22E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ACTUATOR</c:v>
                </c:pt>
                <c:pt idx="7">
                  <c:v>HEARD</c:v>
                </c:pt>
                <c:pt idx="8">
                  <c:v>BASE</c:v>
                </c:pt>
                <c:pt idx="9">
                  <c:v>LED A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LATCH</c:v>
                </c:pt>
              </c:strCache>
            </c:strRef>
          </c:cat>
          <c:val>
            <c:numRef>
              <c:f>'03'!$AE$6:$AE$20</c:f>
              <c:numCache>
                <c:formatCode>0%</c:formatCode>
                <c:ptCount val="15"/>
                <c:pt idx="0">
                  <c:v>0.45277777777777772</c:v>
                </c:pt>
                <c:pt idx="1">
                  <c:v>0.45277777777777772</c:v>
                </c:pt>
                <c:pt idx="2">
                  <c:v>0.45277777777777772</c:v>
                </c:pt>
                <c:pt idx="3">
                  <c:v>0.45277777777777772</c:v>
                </c:pt>
                <c:pt idx="4">
                  <c:v>0.45277777777777772</c:v>
                </c:pt>
                <c:pt idx="5">
                  <c:v>0.45277777777777772</c:v>
                </c:pt>
                <c:pt idx="6">
                  <c:v>0.45277777777777772</c:v>
                </c:pt>
                <c:pt idx="7">
                  <c:v>0.45277777777777772</c:v>
                </c:pt>
                <c:pt idx="8">
                  <c:v>0.45277777777777772</c:v>
                </c:pt>
                <c:pt idx="9">
                  <c:v>0.45277777777777772</c:v>
                </c:pt>
                <c:pt idx="10">
                  <c:v>0.45277777777777772</c:v>
                </c:pt>
                <c:pt idx="11">
                  <c:v>0.45277777777777772</c:v>
                </c:pt>
                <c:pt idx="12">
                  <c:v>0.45277777777777772</c:v>
                </c:pt>
                <c:pt idx="13">
                  <c:v>0.45277777777777772</c:v>
                </c:pt>
                <c:pt idx="14">
                  <c:v>0.45277777777777772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97-4BEA-A1C8-33B47BAE2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236-4F28-9CB2-DDC3104BBA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36-4F28-9CB2-DDC3104BB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236-4F28-9CB2-DDC3104BBAE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36-4F28-9CB2-DDC3104BB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2">
                  <c:v>LEAD GUIDE</c:v>
                </c:pt>
                <c:pt idx="3">
                  <c:v>BODY/LID</c:v>
                </c:pt>
                <c:pt idx="4">
                  <c:v>STOPPER</c:v>
                </c:pt>
                <c:pt idx="5">
                  <c:v>SLIDER</c:v>
                </c:pt>
                <c:pt idx="6">
                  <c:v>ACTUATOR</c:v>
                </c:pt>
                <c:pt idx="7">
                  <c:v>ACTUATOR</c:v>
                </c:pt>
                <c:pt idx="8">
                  <c:v>BASE/BOTTOM</c:v>
                </c:pt>
                <c:pt idx="9">
                  <c:v>BASE</c:v>
                </c:pt>
                <c:pt idx="10">
                  <c:v>LED A</c:v>
                </c:pt>
                <c:pt idx="11">
                  <c:v>HEARD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2">
                  <c:v>13412</c:v>
                </c:pt>
                <c:pt idx="3">
                  <c:v>3204</c:v>
                </c:pt>
                <c:pt idx="4">
                  <c:v>24536</c:v>
                </c:pt>
                <c:pt idx="6">
                  <c:v>1654</c:v>
                </c:pt>
                <c:pt idx="7">
                  <c:v>794</c:v>
                </c:pt>
                <c:pt idx="8">
                  <c:v>3121</c:v>
                </c:pt>
                <c:pt idx="10">
                  <c:v>24288</c:v>
                </c:pt>
                <c:pt idx="11">
                  <c:v>6138</c:v>
                </c:pt>
                <c:pt idx="12">
                  <c:v>18160</c:v>
                </c:pt>
                <c:pt idx="13">
                  <c:v>20888</c:v>
                </c:pt>
                <c:pt idx="14">
                  <c:v>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A6-4A89-A4E7-07DF5BA2F2C1}"/>
            </c:ext>
          </c:extLst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2">
                  <c:v>LEAD GUIDE</c:v>
                </c:pt>
                <c:pt idx="3">
                  <c:v>BODY/LID</c:v>
                </c:pt>
                <c:pt idx="4">
                  <c:v>STOPPER</c:v>
                </c:pt>
                <c:pt idx="5">
                  <c:v>SLIDER</c:v>
                </c:pt>
                <c:pt idx="6">
                  <c:v>ACTUATOR</c:v>
                </c:pt>
                <c:pt idx="7">
                  <c:v>ACTUATOR</c:v>
                </c:pt>
                <c:pt idx="8">
                  <c:v>BASE/BOTTOM</c:v>
                </c:pt>
                <c:pt idx="9">
                  <c:v>BASE</c:v>
                </c:pt>
                <c:pt idx="10">
                  <c:v>LED A</c:v>
                </c:pt>
                <c:pt idx="11">
                  <c:v>HEARD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13412</c:v>
                </c:pt>
                <c:pt idx="3">
                  <c:v>3204</c:v>
                </c:pt>
                <c:pt idx="4">
                  <c:v>24536</c:v>
                </c:pt>
                <c:pt idx="5">
                  <c:v>1202</c:v>
                </c:pt>
                <c:pt idx="6">
                  <c:v>1654</c:v>
                </c:pt>
                <c:pt idx="7">
                  <c:v>794</c:v>
                </c:pt>
                <c:pt idx="8">
                  <c:v>3121</c:v>
                </c:pt>
                <c:pt idx="9">
                  <c:v>613</c:v>
                </c:pt>
                <c:pt idx="10">
                  <c:v>24288</c:v>
                </c:pt>
                <c:pt idx="11">
                  <c:v>6138</c:v>
                </c:pt>
                <c:pt idx="12">
                  <c:v>18160</c:v>
                </c:pt>
                <c:pt idx="13">
                  <c:v>20888</c:v>
                </c:pt>
                <c:pt idx="14">
                  <c:v>7000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A6-4A89-A4E7-07DF5BA2F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79%</c:v>
                </c:pt>
                <c:pt idx="4">
                  <c:v>100%</c:v>
                </c:pt>
                <c:pt idx="5">
                  <c:v>0%</c:v>
                </c:pt>
                <c:pt idx="6">
                  <c:v>29%</c:v>
                </c:pt>
                <c:pt idx="7">
                  <c:v>21%</c:v>
                </c:pt>
                <c:pt idx="8">
                  <c:v>79%</c:v>
                </c:pt>
                <c:pt idx="9">
                  <c:v>0%</c:v>
                </c:pt>
                <c:pt idx="10">
                  <c:v>100%</c:v>
                </c:pt>
                <c:pt idx="11">
                  <c:v>42%</c:v>
                </c:pt>
                <c:pt idx="12">
                  <c:v>83%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2">
                  <c:v>LEAD GUIDE</c:v>
                </c:pt>
                <c:pt idx="3">
                  <c:v>BODY/LID</c:v>
                </c:pt>
                <c:pt idx="4">
                  <c:v>STOPPER</c:v>
                </c:pt>
                <c:pt idx="5">
                  <c:v>SLIDER</c:v>
                </c:pt>
                <c:pt idx="6">
                  <c:v>ACTUATOR</c:v>
                </c:pt>
                <c:pt idx="7">
                  <c:v>ACTUATOR</c:v>
                </c:pt>
                <c:pt idx="8">
                  <c:v>BASE/BOTTOM</c:v>
                </c:pt>
                <c:pt idx="9">
                  <c:v>BASE</c:v>
                </c:pt>
                <c:pt idx="10">
                  <c:v>LED A</c:v>
                </c:pt>
                <c:pt idx="11">
                  <c:v>HEARD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0.79166666666666663</c:v>
                </c:pt>
                <c:pt idx="4">
                  <c:v>1</c:v>
                </c:pt>
                <c:pt idx="5">
                  <c:v>0</c:v>
                </c:pt>
                <c:pt idx="6">
                  <c:v>0.29166666666666669</c:v>
                </c:pt>
                <c:pt idx="7">
                  <c:v>0.20833333333333334</c:v>
                </c:pt>
                <c:pt idx="8">
                  <c:v>0.79166666666666663</c:v>
                </c:pt>
                <c:pt idx="9">
                  <c:v>0</c:v>
                </c:pt>
                <c:pt idx="10">
                  <c:v>1</c:v>
                </c:pt>
                <c:pt idx="11">
                  <c:v>0.41666666666666669</c:v>
                </c:pt>
                <c:pt idx="12">
                  <c:v>0.83333333333333337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03-4CB1-916F-7946C2494EE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503-4CB1-916F-7946C2494EE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2">
                  <c:v>LEAD GUIDE</c:v>
                </c:pt>
                <c:pt idx="3">
                  <c:v>BODY/LID</c:v>
                </c:pt>
                <c:pt idx="4">
                  <c:v>STOPPER</c:v>
                </c:pt>
                <c:pt idx="5">
                  <c:v>SLIDER</c:v>
                </c:pt>
                <c:pt idx="6">
                  <c:v>ACTUATOR</c:v>
                </c:pt>
                <c:pt idx="7">
                  <c:v>ACTUATOR</c:v>
                </c:pt>
                <c:pt idx="8">
                  <c:v>BASE/BOTTOM</c:v>
                </c:pt>
                <c:pt idx="9">
                  <c:v>BASE</c:v>
                </c:pt>
                <c:pt idx="10">
                  <c:v>LED A</c:v>
                </c:pt>
                <c:pt idx="11">
                  <c:v>HEARD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0.54166666666666663</c:v>
                </c:pt>
                <c:pt idx="1">
                  <c:v>0.54166666666666663</c:v>
                </c:pt>
                <c:pt idx="2">
                  <c:v>0.54166666666666663</c:v>
                </c:pt>
                <c:pt idx="3">
                  <c:v>0.54166666666666663</c:v>
                </c:pt>
                <c:pt idx="4">
                  <c:v>0.54166666666666663</c:v>
                </c:pt>
                <c:pt idx="5">
                  <c:v>0.54166666666666663</c:v>
                </c:pt>
                <c:pt idx="6">
                  <c:v>0.54166666666666663</c:v>
                </c:pt>
                <c:pt idx="7">
                  <c:v>0.54166666666666663</c:v>
                </c:pt>
                <c:pt idx="8">
                  <c:v>0.54166666666666663</c:v>
                </c:pt>
                <c:pt idx="9">
                  <c:v>0.54166666666666663</c:v>
                </c:pt>
                <c:pt idx="10">
                  <c:v>0.54166666666666663</c:v>
                </c:pt>
                <c:pt idx="11">
                  <c:v>0.54166666666666663</c:v>
                </c:pt>
                <c:pt idx="12">
                  <c:v>0.54166666666666663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03-4CB1-916F-7946C2494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2">
                  <c:v>LEAD GUIDE</c:v>
                </c:pt>
                <c:pt idx="3">
                  <c:v>BODY/LID</c:v>
                </c:pt>
                <c:pt idx="4">
                  <c:v>STOPPER</c:v>
                </c:pt>
                <c:pt idx="5">
                  <c:v>SLIDER</c:v>
                </c:pt>
                <c:pt idx="6">
                  <c:v>ACTUATOR</c:v>
                </c:pt>
                <c:pt idx="7">
                  <c:v>ACTUATOR</c:v>
                </c:pt>
                <c:pt idx="8">
                  <c:v>BASE/BOTTOM</c:v>
                </c:pt>
                <c:pt idx="9">
                  <c:v>BASE</c:v>
                </c:pt>
                <c:pt idx="10">
                  <c:v>LED A</c:v>
                </c:pt>
                <c:pt idx="11">
                  <c:v>HEARD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2">
                  <c:v>13412</c:v>
                </c:pt>
                <c:pt idx="3">
                  <c:v>3204</c:v>
                </c:pt>
                <c:pt idx="4">
                  <c:v>24536</c:v>
                </c:pt>
                <c:pt idx="6">
                  <c:v>1654</c:v>
                </c:pt>
                <c:pt idx="7">
                  <c:v>794</c:v>
                </c:pt>
                <c:pt idx="8">
                  <c:v>3121</c:v>
                </c:pt>
                <c:pt idx="10">
                  <c:v>24288</c:v>
                </c:pt>
                <c:pt idx="11">
                  <c:v>6138</c:v>
                </c:pt>
                <c:pt idx="12">
                  <c:v>18160</c:v>
                </c:pt>
                <c:pt idx="13">
                  <c:v>20888</c:v>
                </c:pt>
                <c:pt idx="14">
                  <c:v>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48-4007-9429-018902DBDD7B}"/>
            </c:ext>
          </c:extLst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2">
                  <c:v>LEAD GUIDE</c:v>
                </c:pt>
                <c:pt idx="3">
                  <c:v>BODY/LID</c:v>
                </c:pt>
                <c:pt idx="4">
                  <c:v>STOPPER</c:v>
                </c:pt>
                <c:pt idx="5">
                  <c:v>SLIDER</c:v>
                </c:pt>
                <c:pt idx="6">
                  <c:v>ACTUATOR</c:v>
                </c:pt>
                <c:pt idx="7">
                  <c:v>ACTUATOR</c:v>
                </c:pt>
                <c:pt idx="8">
                  <c:v>BASE/BOTTOM</c:v>
                </c:pt>
                <c:pt idx="9">
                  <c:v>BASE</c:v>
                </c:pt>
                <c:pt idx="10">
                  <c:v>LED A</c:v>
                </c:pt>
                <c:pt idx="11">
                  <c:v>HEARD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13412</c:v>
                </c:pt>
                <c:pt idx="3">
                  <c:v>3204</c:v>
                </c:pt>
                <c:pt idx="4">
                  <c:v>24536</c:v>
                </c:pt>
                <c:pt idx="5">
                  <c:v>1202</c:v>
                </c:pt>
                <c:pt idx="6">
                  <c:v>1654</c:v>
                </c:pt>
                <c:pt idx="7">
                  <c:v>794</c:v>
                </c:pt>
                <c:pt idx="8">
                  <c:v>3121</c:v>
                </c:pt>
                <c:pt idx="9">
                  <c:v>613</c:v>
                </c:pt>
                <c:pt idx="10">
                  <c:v>24288</c:v>
                </c:pt>
                <c:pt idx="11">
                  <c:v>6138</c:v>
                </c:pt>
                <c:pt idx="12">
                  <c:v>18160</c:v>
                </c:pt>
                <c:pt idx="13">
                  <c:v>20888</c:v>
                </c:pt>
                <c:pt idx="14">
                  <c:v>7000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48-4007-9429-018902DBD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79%</c:v>
                </c:pt>
                <c:pt idx="4">
                  <c:v>100%</c:v>
                </c:pt>
                <c:pt idx="5">
                  <c:v>0%</c:v>
                </c:pt>
                <c:pt idx="6">
                  <c:v>29%</c:v>
                </c:pt>
                <c:pt idx="7">
                  <c:v>21%</c:v>
                </c:pt>
                <c:pt idx="8">
                  <c:v>79%</c:v>
                </c:pt>
                <c:pt idx="9">
                  <c:v>0%</c:v>
                </c:pt>
                <c:pt idx="10">
                  <c:v>100%</c:v>
                </c:pt>
                <c:pt idx="11">
                  <c:v>42%</c:v>
                </c:pt>
                <c:pt idx="12">
                  <c:v>83%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2">
                  <c:v>LEAD GUIDE</c:v>
                </c:pt>
                <c:pt idx="3">
                  <c:v>BODY/LID</c:v>
                </c:pt>
                <c:pt idx="4">
                  <c:v>STOPPER</c:v>
                </c:pt>
                <c:pt idx="5">
                  <c:v>SLIDER</c:v>
                </c:pt>
                <c:pt idx="6">
                  <c:v>ACTUATOR</c:v>
                </c:pt>
                <c:pt idx="7">
                  <c:v>ACTUATOR</c:v>
                </c:pt>
                <c:pt idx="8">
                  <c:v>BASE/BOTTOM</c:v>
                </c:pt>
                <c:pt idx="9">
                  <c:v>BASE</c:v>
                </c:pt>
                <c:pt idx="10">
                  <c:v>LED A</c:v>
                </c:pt>
                <c:pt idx="11">
                  <c:v>HEARD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0.79166666666666663</c:v>
                </c:pt>
                <c:pt idx="4">
                  <c:v>1</c:v>
                </c:pt>
                <c:pt idx="5">
                  <c:v>0</c:v>
                </c:pt>
                <c:pt idx="6">
                  <c:v>0.29166666666666669</c:v>
                </c:pt>
                <c:pt idx="7">
                  <c:v>0.20833333333333334</c:v>
                </c:pt>
                <c:pt idx="8">
                  <c:v>0.79166666666666663</c:v>
                </c:pt>
                <c:pt idx="9">
                  <c:v>0</c:v>
                </c:pt>
                <c:pt idx="10">
                  <c:v>1</c:v>
                </c:pt>
                <c:pt idx="11">
                  <c:v>0.41666666666666669</c:v>
                </c:pt>
                <c:pt idx="12">
                  <c:v>0.83333333333333337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61-4597-85D2-BCB07590FB7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61-4597-85D2-BCB07590FB7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2">
                  <c:v>LEAD GUIDE</c:v>
                </c:pt>
                <c:pt idx="3">
                  <c:v>BODY/LID</c:v>
                </c:pt>
                <c:pt idx="4">
                  <c:v>STOPPER</c:v>
                </c:pt>
                <c:pt idx="5">
                  <c:v>SLIDER</c:v>
                </c:pt>
                <c:pt idx="6">
                  <c:v>ACTUATOR</c:v>
                </c:pt>
                <c:pt idx="7">
                  <c:v>ACTUATOR</c:v>
                </c:pt>
                <c:pt idx="8">
                  <c:v>BASE/BOTTOM</c:v>
                </c:pt>
                <c:pt idx="9">
                  <c:v>BASE</c:v>
                </c:pt>
                <c:pt idx="10">
                  <c:v>LED A</c:v>
                </c:pt>
                <c:pt idx="11">
                  <c:v>HEARD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0.54166666666666663</c:v>
                </c:pt>
                <c:pt idx="1">
                  <c:v>0.54166666666666663</c:v>
                </c:pt>
                <c:pt idx="2">
                  <c:v>0.54166666666666663</c:v>
                </c:pt>
                <c:pt idx="3">
                  <c:v>0.54166666666666663</c:v>
                </c:pt>
                <c:pt idx="4">
                  <c:v>0.54166666666666663</c:v>
                </c:pt>
                <c:pt idx="5">
                  <c:v>0.54166666666666663</c:v>
                </c:pt>
                <c:pt idx="6">
                  <c:v>0.54166666666666663</c:v>
                </c:pt>
                <c:pt idx="7">
                  <c:v>0.54166666666666663</c:v>
                </c:pt>
                <c:pt idx="8">
                  <c:v>0.54166666666666663</c:v>
                </c:pt>
                <c:pt idx="9">
                  <c:v>0.54166666666666663</c:v>
                </c:pt>
                <c:pt idx="10">
                  <c:v>0.54166666666666663</c:v>
                </c:pt>
                <c:pt idx="11">
                  <c:v>0.54166666666666663</c:v>
                </c:pt>
                <c:pt idx="12">
                  <c:v>0.54166666666666663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61-4597-85D2-BCB07590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935-4736-9F31-E8F82242E6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35-4736-9F31-E8F82242E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935-4736-9F31-E8F82242E61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35-4736-9F31-E8F82242E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5"/>
                <c:pt idx="2">
                  <c:v>201T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BASE/FLANGE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2">
                  <c:v>14004</c:v>
                </c:pt>
                <c:pt idx="3">
                  <c:v>1240</c:v>
                </c:pt>
                <c:pt idx="4">
                  <c:v>24336</c:v>
                </c:pt>
                <c:pt idx="6">
                  <c:v>32836</c:v>
                </c:pt>
                <c:pt idx="7">
                  <c:v>3117</c:v>
                </c:pt>
                <c:pt idx="9">
                  <c:v>12736</c:v>
                </c:pt>
                <c:pt idx="10">
                  <c:v>2238</c:v>
                </c:pt>
                <c:pt idx="11">
                  <c:v>24312</c:v>
                </c:pt>
                <c:pt idx="12">
                  <c:v>19996</c:v>
                </c:pt>
                <c:pt idx="13">
                  <c:v>1172</c:v>
                </c:pt>
                <c:pt idx="14">
                  <c:v>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C5-4B65-92CB-F4462317DBE9}"/>
            </c:ext>
          </c:extLst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5"/>
                <c:pt idx="2">
                  <c:v>201T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BASE/FLANGE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14004</c:v>
                </c:pt>
                <c:pt idx="3">
                  <c:v>1240</c:v>
                </c:pt>
                <c:pt idx="4">
                  <c:v>24336</c:v>
                </c:pt>
                <c:pt idx="5">
                  <c:v>1202</c:v>
                </c:pt>
                <c:pt idx="6">
                  <c:v>32836</c:v>
                </c:pt>
                <c:pt idx="7">
                  <c:v>3117</c:v>
                </c:pt>
                <c:pt idx="8">
                  <c:v>613</c:v>
                </c:pt>
                <c:pt idx="9">
                  <c:v>12736</c:v>
                </c:pt>
                <c:pt idx="10">
                  <c:v>2238</c:v>
                </c:pt>
                <c:pt idx="11">
                  <c:v>24312</c:v>
                </c:pt>
                <c:pt idx="12">
                  <c:v>19996</c:v>
                </c:pt>
                <c:pt idx="13">
                  <c:v>1172</c:v>
                </c:pt>
                <c:pt idx="14">
                  <c:v>585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C5-4B65-92CB-F4462317D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33%</c:v>
                </c:pt>
                <c:pt idx="4">
                  <c:v>100%</c:v>
                </c:pt>
                <c:pt idx="5">
                  <c:v>0%</c:v>
                </c:pt>
                <c:pt idx="6">
                  <c:v>88%</c:v>
                </c:pt>
                <c:pt idx="7">
                  <c:v>79%</c:v>
                </c:pt>
                <c:pt idx="8">
                  <c:v>0%</c:v>
                </c:pt>
                <c:pt idx="9">
                  <c:v>54%</c:v>
                </c:pt>
                <c:pt idx="10">
                  <c:v>17%</c:v>
                </c:pt>
                <c:pt idx="11">
                  <c:v>100%</c:v>
                </c:pt>
                <c:pt idx="12">
                  <c:v>100%</c:v>
                </c:pt>
                <c:pt idx="13">
                  <c:v>38%</c:v>
                </c:pt>
                <c:pt idx="14">
                  <c:v>17%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2">
                  <c:v>201T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BASE/FLANGE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0.33333333333333331</c:v>
                </c:pt>
                <c:pt idx="4">
                  <c:v>1</c:v>
                </c:pt>
                <c:pt idx="5">
                  <c:v>0</c:v>
                </c:pt>
                <c:pt idx="6">
                  <c:v>0.875</c:v>
                </c:pt>
                <c:pt idx="7">
                  <c:v>0.79166666666666663</c:v>
                </c:pt>
                <c:pt idx="8">
                  <c:v>0</c:v>
                </c:pt>
                <c:pt idx="9">
                  <c:v>0.54166666666666663</c:v>
                </c:pt>
                <c:pt idx="10">
                  <c:v>0.16666666666666666</c:v>
                </c:pt>
                <c:pt idx="11">
                  <c:v>1</c:v>
                </c:pt>
                <c:pt idx="12">
                  <c:v>1</c:v>
                </c:pt>
                <c:pt idx="13">
                  <c:v>0.375</c:v>
                </c:pt>
                <c:pt idx="14">
                  <c:v>0.16666666666666666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B-4032-AE2F-35D381B4899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7B-4032-AE2F-35D381B4899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2">
                  <c:v>201T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BASE/FLANGE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0.47499999999999998</c:v>
                </c:pt>
                <c:pt idx="1">
                  <c:v>0.47499999999999998</c:v>
                </c:pt>
                <c:pt idx="2">
                  <c:v>0.47499999999999998</c:v>
                </c:pt>
                <c:pt idx="3">
                  <c:v>0.47499999999999998</c:v>
                </c:pt>
                <c:pt idx="4">
                  <c:v>0.47499999999999998</c:v>
                </c:pt>
                <c:pt idx="5">
                  <c:v>0.47499999999999998</c:v>
                </c:pt>
                <c:pt idx="6">
                  <c:v>0.47499999999999998</c:v>
                </c:pt>
                <c:pt idx="7">
                  <c:v>0.47499999999999998</c:v>
                </c:pt>
                <c:pt idx="8">
                  <c:v>0.47499999999999998</c:v>
                </c:pt>
                <c:pt idx="9">
                  <c:v>0.47499999999999998</c:v>
                </c:pt>
                <c:pt idx="10">
                  <c:v>0.47499999999999998</c:v>
                </c:pt>
                <c:pt idx="11">
                  <c:v>0.47499999999999998</c:v>
                </c:pt>
                <c:pt idx="12">
                  <c:v>0.47499999999999998</c:v>
                </c:pt>
                <c:pt idx="13">
                  <c:v>0.47499999999999998</c:v>
                </c:pt>
                <c:pt idx="14">
                  <c:v>0.47499999999999998</c:v>
                </c:pt>
                <c:pt idx="15">
                  <c:v>0.47499999999999998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7B-4032-AE2F-35D381B48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5"/>
                <c:pt idx="2">
                  <c:v>201T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BASE/FLANGE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2">
                  <c:v>14004</c:v>
                </c:pt>
                <c:pt idx="3">
                  <c:v>1240</c:v>
                </c:pt>
                <c:pt idx="4">
                  <c:v>24336</c:v>
                </c:pt>
                <c:pt idx="6">
                  <c:v>32836</c:v>
                </c:pt>
                <c:pt idx="7">
                  <c:v>3117</c:v>
                </c:pt>
                <c:pt idx="9">
                  <c:v>12736</c:v>
                </c:pt>
                <c:pt idx="10">
                  <c:v>2238</c:v>
                </c:pt>
                <c:pt idx="11">
                  <c:v>24312</c:v>
                </c:pt>
                <c:pt idx="12">
                  <c:v>19996</c:v>
                </c:pt>
                <c:pt idx="13">
                  <c:v>1172</c:v>
                </c:pt>
                <c:pt idx="14">
                  <c:v>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7A-49F5-9E49-E0A2E2A273B2}"/>
            </c:ext>
          </c:extLst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5"/>
                <c:pt idx="2">
                  <c:v>201T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BASE/FLANGE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14004</c:v>
                </c:pt>
                <c:pt idx="3">
                  <c:v>1240</c:v>
                </c:pt>
                <c:pt idx="4">
                  <c:v>24336</c:v>
                </c:pt>
                <c:pt idx="5">
                  <c:v>1202</c:v>
                </c:pt>
                <c:pt idx="6">
                  <c:v>32836</c:v>
                </c:pt>
                <c:pt idx="7">
                  <c:v>3117</c:v>
                </c:pt>
                <c:pt idx="8">
                  <c:v>613</c:v>
                </c:pt>
                <c:pt idx="9">
                  <c:v>12736</c:v>
                </c:pt>
                <c:pt idx="10">
                  <c:v>2238</c:v>
                </c:pt>
                <c:pt idx="11">
                  <c:v>24312</c:v>
                </c:pt>
                <c:pt idx="12">
                  <c:v>19996</c:v>
                </c:pt>
                <c:pt idx="13">
                  <c:v>1172</c:v>
                </c:pt>
                <c:pt idx="14">
                  <c:v>585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7A-49F5-9E49-E0A2E2A27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33%</c:v>
                </c:pt>
                <c:pt idx="4">
                  <c:v>100%</c:v>
                </c:pt>
                <c:pt idx="5">
                  <c:v>0%</c:v>
                </c:pt>
                <c:pt idx="6">
                  <c:v>88%</c:v>
                </c:pt>
                <c:pt idx="7">
                  <c:v>79%</c:v>
                </c:pt>
                <c:pt idx="8">
                  <c:v>0%</c:v>
                </c:pt>
                <c:pt idx="9">
                  <c:v>54%</c:v>
                </c:pt>
                <c:pt idx="10">
                  <c:v>17%</c:v>
                </c:pt>
                <c:pt idx="11">
                  <c:v>100%</c:v>
                </c:pt>
                <c:pt idx="12">
                  <c:v>100%</c:v>
                </c:pt>
                <c:pt idx="13">
                  <c:v>38%</c:v>
                </c:pt>
                <c:pt idx="14">
                  <c:v>17%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2">
                  <c:v>201T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BASE/FLANGE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0.33333333333333331</c:v>
                </c:pt>
                <c:pt idx="4">
                  <c:v>1</c:v>
                </c:pt>
                <c:pt idx="5">
                  <c:v>0</c:v>
                </c:pt>
                <c:pt idx="6">
                  <c:v>0.875</c:v>
                </c:pt>
                <c:pt idx="7">
                  <c:v>0.79166666666666663</c:v>
                </c:pt>
                <c:pt idx="8">
                  <c:v>0</c:v>
                </c:pt>
                <c:pt idx="9">
                  <c:v>0.54166666666666663</c:v>
                </c:pt>
                <c:pt idx="10">
                  <c:v>0.16666666666666666</c:v>
                </c:pt>
                <c:pt idx="11">
                  <c:v>1</c:v>
                </c:pt>
                <c:pt idx="12">
                  <c:v>1</c:v>
                </c:pt>
                <c:pt idx="13">
                  <c:v>0.375</c:v>
                </c:pt>
                <c:pt idx="14">
                  <c:v>0.16666666666666666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6A-4363-BA21-EB4B2AD3DE0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66A-4363-BA21-EB4B2AD3DE0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2">
                  <c:v>201T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BASE/FLANGE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0.47499999999999998</c:v>
                </c:pt>
                <c:pt idx="1">
                  <c:v>0.47499999999999998</c:v>
                </c:pt>
                <c:pt idx="2">
                  <c:v>0.47499999999999998</c:v>
                </c:pt>
                <c:pt idx="3">
                  <c:v>0.47499999999999998</c:v>
                </c:pt>
                <c:pt idx="4">
                  <c:v>0.47499999999999998</c:v>
                </c:pt>
                <c:pt idx="5">
                  <c:v>0.47499999999999998</c:v>
                </c:pt>
                <c:pt idx="6">
                  <c:v>0.47499999999999998</c:v>
                </c:pt>
                <c:pt idx="7">
                  <c:v>0.47499999999999998</c:v>
                </c:pt>
                <c:pt idx="8">
                  <c:v>0.47499999999999998</c:v>
                </c:pt>
                <c:pt idx="9">
                  <c:v>0.47499999999999998</c:v>
                </c:pt>
                <c:pt idx="10">
                  <c:v>0.47499999999999998</c:v>
                </c:pt>
                <c:pt idx="11">
                  <c:v>0.47499999999999998</c:v>
                </c:pt>
                <c:pt idx="12">
                  <c:v>0.47499999999999998</c:v>
                </c:pt>
                <c:pt idx="13">
                  <c:v>0.47499999999999998</c:v>
                </c:pt>
                <c:pt idx="14">
                  <c:v>0.47499999999999998</c:v>
                </c:pt>
                <c:pt idx="15">
                  <c:v>0.47499999999999998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6A-4363-BA21-EB4B2AD3D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0E7-4618-8DF6-7233C85895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E7-4618-8DF6-7233C8589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E7-4618-8DF6-7233C858951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E7-4618-8DF6-7233C8589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2">
                  <c:v>201T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BASE/FLANGE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2">
                  <c:v>11307</c:v>
                </c:pt>
                <c:pt idx="4">
                  <c:v>16996</c:v>
                </c:pt>
                <c:pt idx="6">
                  <c:v>25580</c:v>
                </c:pt>
                <c:pt idx="8">
                  <c:v>1240</c:v>
                </c:pt>
                <c:pt idx="10">
                  <c:v>23913</c:v>
                </c:pt>
                <c:pt idx="11">
                  <c:v>25036</c:v>
                </c:pt>
                <c:pt idx="12">
                  <c:v>10224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35-4560-BFBD-AA44A113345A}"/>
            </c:ext>
          </c:extLst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2">
                  <c:v>201T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BASE/FLANGE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11307</c:v>
                </c:pt>
                <c:pt idx="3">
                  <c:v>1240</c:v>
                </c:pt>
                <c:pt idx="4">
                  <c:v>16996</c:v>
                </c:pt>
                <c:pt idx="5">
                  <c:v>1202</c:v>
                </c:pt>
                <c:pt idx="6">
                  <c:v>25580</c:v>
                </c:pt>
                <c:pt idx="7">
                  <c:v>3117</c:v>
                </c:pt>
                <c:pt idx="8">
                  <c:v>1240</c:v>
                </c:pt>
                <c:pt idx="9">
                  <c:v>12736</c:v>
                </c:pt>
                <c:pt idx="10">
                  <c:v>23913</c:v>
                </c:pt>
                <c:pt idx="11">
                  <c:v>25036</c:v>
                </c:pt>
                <c:pt idx="12">
                  <c:v>10224</c:v>
                </c:pt>
                <c:pt idx="13">
                  <c:v>585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35-4560-BFBD-AA44A1133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83%</c:v>
                </c:pt>
                <c:pt idx="3">
                  <c:v>0%</c:v>
                </c:pt>
                <c:pt idx="4">
                  <c:v>88%</c:v>
                </c:pt>
                <c:pt idx="5">
                  <c:v>0%</c:v>
                </c:pt>
                <c:pt idx="6">
                  <c:v>83%</c:v>
                </c:pt>
                <c:pt idx="7">
                  <c:v>0%</c:v>
                </c:pt>
                <c:pt idx="8">
                  <c:v>46%</c:v>
                </c:pt>
                <c:pt idx="9">
                  <c:v>0%</c:v>
                </c:pt>
                <c:pt idx="10">
                  <c:v>79%</c:v>
                </c:pt>
                <c:pt idx="11">
                  <c:v>100%</c:v>
                </c:pt>
                <c:pt idx="12">
                  <c:v>67%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2">
                  <c:v>201T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BASE/FLANGE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0.83333333333333337</c:v>
                </c:pt>
                <c:pt idx="3">
                  <c:v>0</c:v>
                </c:pt>
                <c:pt idx="4">
                  <c:v>0.875</c:v>
                </c:pt>
                <c:pt idx="5">
                  <c:v>0</c:v>
                </c:pt>
                <c:pt idx="6">
                  <c:v>0.83333333333333337</c:v>
                </c:pt>
                <c:pt idx="7">
                  <c:v>0</c:v>
                </c:pt>
                <c:pt idx="8">
                  <c:v>0.45833333333333331</c:v>
                </c:pt>
                <c:pt idx="9">
                  <c:v>0</c:v>
                </c:pt>
                <c:pt idx="10">
                  <c:v>0.79166666666666663</c:v>
                </c:pt>
                <c:pt idx="11">
                  <c:v>1</c:v>
                </c:pt>
                <c:pt idx="12">
                  <c:v>0.66666666666666663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1F-4223-A95A-E512F32F8A8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71F-4223-A95A-E512F32F8A8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2">
                  <c:v>201T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BASE/FLANGE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0.36388888888888893</c:v>
                </c:pt>
                <c:pt idx="1">
                  <c:v>0.36388888888888893</c:v>
                </c:pt>
                <c:pt idx="2">
                  <c:v>0.36388888888888893</c:v>
                </c:pt>
                <c:pt idx="3">
                  <c:v>0.36388888888888893</c:v>
                </c:pt>
                <c:pt idx="4">
                  <c:v>0.36388888888888893</c:v>
                </c:pt>
                <c:pt idx="5">
                  <c:v>0.36388888888888893</c:v>
                </c:pt>
                <c:pt idx="6">
                  <c:v>0.36388888888888893</c:v>
                </c:pt>
                <c:pt idx="7">
                  <c:v>0.36388888888888893</c:v>
                </c:pt>
                <c:pt idx="8">
                  <c:v>0.36388888888888893</c:v>
                </c:pt>
                <c:pt idx="9">
                  <c:v>0.36388888888888893</c:v>
                </c:pt>
                <c:pt idx="10">
                  <c:v>0.36388888888888893</c:v>
                </c:pt>
                <c:pt idx="11">
                  <c:v>0.36388888888888893</c:v>
                </c:pt>
                <c:pt idx="12">
                  <c:v>0.36388888888888893</c:v>
                </c:pt>
                <c:pt idx="13">
                  <c:v>0.36388888888888893</c:v>
                </c:pt>
                <c:pt idx="14">
                  <c:v>0.36388888888888893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1F-4223-A95A-E512F32F8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2">
                  <c:v>201T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BASE/FLANGE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2">
                  <c:v>11307</c:v>
                </c:pt>
                <c:pt idx="4">
                  <c:v>16996</c:v>
                </c:pt>
                <c:pt idx="6">
                  <c:v>25580</c:v>
                </c:pt>
                <c:pt idx="8">
                  <c:v>1240</c:v>
                </c:pt>
                <c:pt idx="10">
                  <c:v>23913</c:v>
                </c:pt>
                <c:pt idx="11">
                  <c:v>25036</c:v>
                </c:pt>
                <c:pt idx="12">
                  <c:v>10224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7-4716-95FF-5B4C9A1DC648}"/>
            </c:ext>
          </c:extLst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2">
                  <c:v>201T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BASE/FLANGE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11307</c:v>
                </c:pt>
                <c:pt idx="3">
                  <c:v>1240</c:v>
                </c:pt>
                <c:pt idx="4">
                  <c:v>16996</c:v>
                </c:pt>
                <c:pt idx="5">
                  <c:v>1202</c:v>
                </c:pt>
                <c:pt idx="6">
                  <c:v>25580</c:v>
                </c:pt>
                <c:pt idx="7">
                  <c:v>3117</c:v>
                </c:pt>
                <c:pt idx="8">
                  <c:v>1240</c:v>
                </c:pt>
                <c:pt idx="9">
                  <c:v>12736</c:v>
                </c:pt>
                <c:pt idx="10">
                  <c:v>23913</c:v>
                </c:pt>
                <c:pt idx="11">
                  <c:v>25036</c:v>
                </c:pt>
                <c:pt idx="12">
                  <c:v>10224</c:v>
                </c:pt>
                <c:pt idx="13">
                  <c:v>585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A7-4716-95FF-5B4C9A1DC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83%</c:v>
                </c:pt>
                <c:pt idx="3">
                  <c:v>0%</c:v>
                </c:pt>
                <c:pt idx="4">
                  <c:v>88%</c:v>
                </c:pt>
                <c:pt idx="5">
                  <c:v>0%</c:v>
                </c:pt>
                <c:pt idx="6">
                  <c:v>83%</c:v>
                </c:pt>
                <c:pt idx="7">
                  <c:v>0%</c:v>
                </c:pt>
                <c:pt idx="8">
                  <c:v>46%</c:v>
                </c:pt>
                <c:pt idx="9">
                  <c:v>0%</c:v>
                </c:pt>
                <c:pt idx="10">
                  <c:v>79%</c:v>
                </c:pt>
                <c:pt idx="11">
                  <c:v>100%</c:v>
                </c:pt>
                <c:pt idx="12">
                  <c:v>67%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2">
                  <c:v>201T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BASE/FLANGE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0.83333333333333337</c:v>
                </c:pt>
                <c:pt idx="3">
                  <c:v>0</c:v>
                </c:pt>
                <c:pt idx="4">
                  <c:v>0.875</c:v>
                </c:pt>
                <c:pt idx="5">
                  <c:v>0</c:v>
                </c:pt>
                <c:pt idx="6">
                  <c:v>0.83333333333333337</c:v>
                </c:pt>
                <c:pt idx="7">
                  <c:v>0</c:v>
                </c:pt>
                <c:pt idx="8">
                  <c:v>0.45833333333333331</c:v>
                </c:pt>
                <c:pt idx="9">
                  <c:v>0</c:v>
                </c:pt>
                <c:pt idx="10">
                  <c:v>0.79166666666666663</c:v>
                </c:pt>
                <c:pt idx="11">
                  <c:v>1</c:v>
                </c:pt>
                <c:pt idx="12">
                  <c:v>0.66666666666666663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91-4F34-AA20-DCD5CF9BF71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F91-4F34-AA20-DCD5CF9BF71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2">
                  <c:v>201T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BASE/FLANGE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0.36388888888888893</c:v>
                </c:pt>
                <c:pt idx="1">
                  <c:v>0.36388888888888893</c:v>
                </c:pt>
                <c:pt idx="2">
                  <c:v>0.36388888888888893</c:v>
                </c:pt>
                <c:pt idx="3">
                  <c:v>0.36388888888888893</c:v>
                </c:pt>
                <c:pt idx="4">
                  <c:v>0.36388888888888893</c:v>
                </c:pt>
                <c:pt idx="5">
                  <c:v>0.36388888888888893</c:v>
                </c:pt>
                <c:pt idx="6">
                  <c:v>0.36388888888888893</c:v>
                </c:pt>
                <c:pt idx="7">
                  <c:v>0.36388888888888893</c:v>
                </c:pt>
                <c:pt idx="8">
                  <c:v>0.36388888888888893</c:v>
                </c:pt>
                <c:pt idx="9">
                  <c:v>0.36388888888888893</c:v>
                </c:pt>
                <c:pt idx="10">
                  <c:v>0.36388888888888893</c:v>
                </c:pt>
                <c:pt idx="11">
                  <c:v>0.36388888888888893</c:v>
                </c:pt>
                <c:pt idx="12">
                  <c:v>0.36388888888888893</c:v>
                </c:pt>
                <c:pt idx="13">
                  <c:v>0.36388888888888893</c:v>
                </c:pt>
                <c:pt idx="14">
                  <c:v>0.36388888888888893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91-4F34-AA20-DCD5CF9BF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461-470D-BFC1-220FCEC409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61-470D-BFC1-220FCEC40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461-470D-BFC1-220FCEC4096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61-470D-BFC1-220FCEC40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SLIDER</c:v>
                </c:pt>
                <c:pt idx="6">
                  <c:v>Receptacle(GUIDE없음)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BASE/FLANGE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2">
                  <c:v>15021</c:v>
                </c:pt>
                <c:pt idx="3">
                  <c:v>4267</c:v>
                </c:pt>
                <c:pt idx="4">
                  <c:v>23988</c:v>
                </c:pt>
                <c:pt idx="6">
                  <c:v>1507</c:v>
                </c:pt>
                <c:pt idx="8">
                  <c:v>446</c:v>
                </c:pt>
                <c:pt idx="10">
                  <c:v>29388</c:v>
                </c:pt>
                <c:pt idx="11">
                  <c:v>24132</c:v>
                </c:pt>
                <c:pt idx="12">
                  <c:v>14424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F6-4630-9D1A-BC54EDF09B12}"/>
            </c:ext>
          </c:extLst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SLIDER</c:v>
                </c:pt>
                <c:pt idx="6">
                  <c:v>Receptacle(GUIDE없음)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BASE/FLANGE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15021</c:v>
                </c:pt>
                <c:pt idx="3">
                  <c:v>4267</c:v>
                </c:pt>
                <c:pt idx="4">
                  <c:v>23988</c:v>
                </c:pt>
                <c:pt idx="5">
                  <c:v>1202</c:v>
                </c:pt>
                <c:pt idx="6">
                  <c:v>1507</c:v>
                </c:pt>
                <c:pt idx="7">
                  <c:v>3117</c:v>
                </c:pt>
                <c:pt idx="8">
                  <c:v>446</c:v>
                </c:pt>
                <c:pt idx="9">
                  <c:v>12736</c:v>
                </c:pt>
                <c:pt idx="10">
                  <c:v>29388</c:v>
                </c:pt>
                <c:pt idx="11">
                  <c:v>24132</c:v>
                </c:pt>
                <c:pt idx="12">
                  <c:v>14424</c:v>
                </c:pt>
                <c:pt idx="13">
                  <c:v>585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F6-4630-9D1A-BC54EDF09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96%</c:v>
                </c:pt>
                <c:pt idx="3">
                  <c:v>88%</c:v>
                </c:pt>
                <c:pt idx="4">
                  <c:v>100%</c:v>
                </c:pt>
                <c:pt idx="5">
                  <c:v>0%</c:v>
                </c:pt>
                <c:pt idx="6">
                  <c:v>42%</c:v>
                </c:pt>
                <c:pt idx="7">
                  <c:v>0%</c:v>
                </c:pt>
                <c:pt idx="8">
                  <c:v>29%</c:v>
                </c:pt>
                <c:pt idx="9">
                  <c:v>0%</c:v>
                </c:pt>
                <c:pt idx="10">
                  <c:v>96%</c:v>
                </c:pt>
                <c:pt idx="11">
                  <c:v>100%</c:v>
                </c:pt>
                <c:pt idx="12">
                  <c:v>71%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SLIDER</c:v>
                </c:pt>
                <c:pt idx="6">
                  <c:v>Receptacle(GUIDE없음)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BASE/FLANGE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0.95833333333333337</c:v>
                </c:pt>
                <c:pt idx="3">
                  <c:v>0.875</c:v>
                </c:pt>
                <c:pt idx="4">
                  <c:v>1</c:v>
                </c:pt>
                <c:pt idx="5">
                  <c:v>0</c:v>
                </c:pt>
                <c:pt idx="6">
                  <c:v>0.41666666666666669</c:v>
                </c:pt>
                <c:pt idx="7">
                  <c:v>0</c:v>
                </c:pt>
                <c:pt idx="8">
                  <c:v>0.29166666666666669</c:v>
                </c:pt>
                <c:pt idx="9">
                  <c:v>0</c:v>
                </c:pt>
                <c:pt idx="10">
                  <c:v>0.95833333333333337</c:v>
                </c:pt>
                <c:pt idx="11">
                  <c:v>1</c:v>
                </c:pt>
                <c:pt idx="12">
                  <c:v>0.70833333333333337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A2-4C2A-9B06-43DEE798F67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6A2-4C2A-9B06-43DEE798F67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SLIDER</c:v>
                </c:pt>
                <c:pt idx="6">
                  <c:v>Receptacle(GUIDE없음)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BASE/FLANGE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0.41388888888888886</c:v>
                </c:pt>
                <c:pt idx="1">
                  <c:v>0.41388888888888886</c:v>
                </c:pt>
                <c:pt idx="2">
                  <c:v>0.41388888888888886</c:v>
                </c:pt>
                <c:pt idx="3">
                  <c:v>0.41388888888888886</c:v>
                </c:pt>
                <c:pt idx="4">
                  <c:v>0.41388888888888886</c:v>
                </c:pt>
                <c:pt idx="5">
                  <c:v>0.41388888888888886</c:v>
                </c:pt>
                <c:pt idx="6">
                  <c:v>0.41388888888888886</c:v>
                </c:pt>
                <c:pt idx="7">
                  <c:v>0.41388888888888886</c:v>
                </c:pt>
                <c:pt idx="8">
                  <c:v>0.41388888888888886</c:v>
                </c:pt>
                <c:pt idx="9">
                  <c:v>0.41388888888888886</c:v>
                </c:pt>
                <c:pt idx="10">
                  <c:v>0.41388888888888886</c:v>
                </c:pt>
                <c:pt idx="11">
                  <c:v>0.41388888888888886</c:v>
                </c:pt>
                <c:pt idx="12">
                  <c:v>0.41388888888888886</c:v>
                </c:pt>
                <c:pt idx="13">
                  <c:v>0.41388888888888886</c:v>
                </c:pt>
                <c:pt idx="14">
                  <c:v>0.41388888888888886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A2-4C2A-9B06-43DEE798F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SLIDER</c:v>
                </c:pt>
                <c:pt idx="6">
                  <c:v>Receptacle(GUIDE없음)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BASE/FLANGE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2">
                  <c:v>15021</c:v>
                </c:pt>
                <c:pt idx="3">
                  <c:v>4267</c:v>
                </c:pt>
                <c:pt idx="4">
                  <c:v>23988</c:v>
                </c:pt>
                <c:pt idx="6">
                  <c:v>1507</c:v>
                </c:pt>
                <c:pt idx="8">
                  <c:v>446</c:v>
                </c:pt>
                <c:pt idx="10">
                  <c:v>29388</c:v>
                </c:pt>
                <c:pt idx="11">
                  <c:v>24132</c:v>
                </c:pt>
                <c:pt idx="12">
                  <c:v>14424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96-479E-8BB2-04AC3F519278}"/>
            </c:ext>
          </c:extLst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SLIDER</c:v>
                </c:pt>
                <c:pt idx="6">
                  <c:v>Receptacle(GUIDE없음)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BASE/FLANGE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15021</c:v>
                </c:pt>
                <c:pt idx="3">
                  <c:v>4267</c:v>
                </c:pt>
                <c:pt idx="4">
                  <c:v>23988</c:v>
                </c:pt>
                <c:pt idx="5">
                  <c:v>1202</c:v>
                </c:pt>
                <c:pt idx="6">
                  <c:v>1507</c:v>
                </c:pt>
                <c:pt idx="7">
                  <c:v>3117</c:v>
                </c:pt>
                <c:pt idx="8">
                  <c:v>446</c:v>
                </c:pt>
                <c:pt idx="9">
                  <c:v>12736</c:v>
                </c:pt>
                <c:pt idx="10">
                  <c:v>29388</c:v>
                </c:pt>
                <c:pt idx="11">
                  <c:v>24132</c:v>
                </c:pt>
                <c:pt idx="12">
                  <c:v>14424</c:v>
                </c:pt>
                <c:pt idx="13">
                  <c:v>585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96-479E-8BB2-04AC3F519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96%</c:v>
                </c:pt>
                <c:pt idx="3">
                  <c:v>88%</c:v>
                </c:pt>
                <c:pt idx="4">
                  <c:v>100%</c:v>
                </c:pt>
                <c:pt idx="5">
                  <c:v>0%</c:v>
                </c:pt>
                <c:pt idx="6">
                  <c:v>42%</c:v>
                </c:pt>
                <c:pt idx="7">
                  <c:v>0%</c:v>
                </c:pt>
                <c:pt idx="8">
                  <c:v>29%</c:v>
                </c:pt>
                <c:pt idx="9">
                  <c:v>0%</c:v>
                </c:pt>
                <c:pt idx="10">
                  <c:v>96%</c:v>
                </c:pt>
                <c:pt idx="11">
                  <c:v>100%</c:v>
                </c:pt>
                <c:pt idx="12">
                  <c:v>71%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SLIDER</c:v>
                </c:pt>
                <c:pt idx="6">
                  <c:v>Receptacle(GUIDE없음)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BASE/FLANGE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0.95833333333333337</c:v>
                </c:pt>
                <c:pt idx="3">
                  <c:v>0.875</c:v>
                </c:pt>
                <c:pt idx="4">
                  <c:v>1</c:v>
                </c:pt>
                <c:pt idx="5">
                  <c:v>0</c:v>
                </c:pt>
                <c:pt idx="6">
                  <c:v>0.41666666666666669</c:v>
                </c:pt>
                <c:pt idx="7">
                  <c:v>0</c:v>
                </c:pt>
                <c:pt idx="8">
                  <c:v>0.29166666666666669</c:v>
                </c:pt>
                <c:pt idx="9">
                  <c:v>0</c:v>
                </c:pt>
                <c:pt idx="10">
                  <c:v>0.95833333333333337</c:v>
                </c:pt>
                <c:pt idx="11">
                  <c:v>1</c:v>
                </c:pt>
                <c:pt idx="12">
                  <c:v>0.70833333333333337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5-427E-B2FB-B6B85972504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7C5-427E-B2FB-B6B85972504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SLIDER</c:v>
                </c:pt>
                <c:pt idx="6">
                  <c:v>Receptacle(GUIDE없음)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BASE/FLANGE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0.41388888888888886</c:v>
                </c:pt>
                <c:pt idx="1">
                  <c:v>0.41388888888888886</c:v>
                </c:pt>
                <c:pt idx="2">
                  <c:v>0.41388888888888886</c:v>
                </c:pt>
                <c:pt idx="3">
                  <c:v>0.41388888888888886</c:v>
                </c:pt>
                <c:pt idx="4">
                  <c:v>0.41388888888888886</c:v>
                </c:pt>
                <c:pt idx="5">
                  <c:v>0.41388888888888886</c:v>
                </c:pt>
                <c:pt idx="6">
                  <c:v>0.41388888888888886</c:v>
                </c:pt>
                <c:pt idx="7">
                  <c:v>0.41388888888888886</c:v>
                </c:pt>
                <c:pt idx="8">
                  <c:v>0.41388888888888886</c:v>
                </c:pt>
                <c:pt idx="9">
                  <c:v>0.41388888888888886</c:v>
                </c:pt>
                <c:pt idx="10">
                  <c:v>0.41388888888888886</c:v>
                </c:pt>
                <c:pt idx="11">
                  <c:v>0.41388888888888886</c:v>
                </c:pt>
                <c:pt idx="12">
                  <c:v>0.41388888888888886</c:v>
                </c:pt>
                <c:pt idx="13">
                  <c:v>0.41388888888888886</c:v>
                </c:pt>
                <c:pt idx="14">
                  <c:v>0.41388888888888886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C5-427E-B2FB-B6B859725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36A-4514-9AFE-ED59DB60B8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6A-4514-9AFE-ED59DB60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6A-4514-9AFE-ED59DB60B8E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6A-4514-9AFE-ED59DB60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SLIDER</c:v>
                </c:pt>
                <c:pt idx="6">
                  <c:v>Receptacle(GUIDE없음)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2">
                  <c:v>17700</c:v>
                </c:pt>
                <c:pt idx="4">
                  <c:v>25708</c:v>
                </c:pt>
                <c:pt idx="6">
                  <c:v>2959</c:v>
                </c:pt>
                <c:pt idx="8">
                  <c:v>1276</c:v>
                </c:pt>
                <c:pt idx="10">
                  <c:v>22761</c:v>
                </c:pt>
                <c:pt idx="11">
                  <c:v>25812</c:v>
                </c:pt>
                <c:pt idx="12">
                  <c:v>21632</c:v>
                </c:pt>
                <c:pt idx="13">
                  <c:v>2947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8A-4883-BA44-64104FD03289}"/>
            </c:ext>
          </c:extLst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SLIDER</c:v>
                </c:pt>
                <c:pt idx="6">
                  <c:v>Receptacle(GUIDE없음)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17700</c:v>
                </c:pt>
                <c:pt idx="3">
                  <c:v>4267</c:v>
                </c:pt>
                <c:pt idx="4">
                  <c:v>25708</c:v>
                </c:pt>
                <c:pt idx="5">
                  <c:v>1202</c:v>
                </c:pt>
                <c:pt idx="6">
                  <c:v>2959</c:v>
                </c:pt>
                <c:pt idx="7">
                  <c:v>3117</c:v>
                </c:pt>
                <c:pt idx="8">
                  <c:v>1276</c:v>
                </c:pt>
                <c:pt idx="9">
                  <c:v>12736</c:v>
                </c:pt>
                <c:pt idx="10">
                  <c:v>22761</c:v>
                </c:pt>
                <c:pt idx="11">
                  <c:v>25812</c:v>
                </c:pt>
                <c:pt idx="12">
                  <c:v>21632</c:v>
                </c:pt>
                <c:pt idx="13">
                  <c:v>2947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8A-4883-BA44-64104FD03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50%</c:v>
                </c:pt>
                <c:pt idx="7">
                  <c:v>0%</c:v>
                </c:pt>
                <c:pt idx="8">
                  <c:v>46%</c:v>
                </c:pt>
                <c:pt idx="9">
                  <c:v>0%</c:v>
                </c:pt>
                <c:pt idx="10">
                  <c:v>79%</c:v>
                </c:pt>
                <c:pt idx="11">
                  <c:v>100%</c:v>
                </c:pt>
                <c:pt idx="12">
                  <c:v>100%</c:v>
                </c:pt>
                <c:pt idx="13">
                  <c:v>58%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SLIDER</c:v>
                </c:pt>
                <c:pt idx="6">
                  <c:v>Receptacle(GUIDE없음)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0.45833333333333331</c:v>
                </c:pt>
                <c:pt idx="9">
                  <c:v>0</c:v>
                </c:pt>
                <c:pt idx="10">
                  <c:v>0.79166666666666663</c:v>
                </c:pt>
                <c:pt idx="11">
                  <c:v>1</c:v>
                </c:pt>
                <c:pt idx="12">
                  <c:v>1</c:v>
                </c:pt>
                <c:pt idx="13">
                  <c:v>0.58333333333333337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D8-45C8-911E-8A03789DE5F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1D8-45C8-911E-8A03789DE5F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SLIDER</c:v>
                </c:pt>
                <c:pt idx="6">
                  <c:v>Receptacle(GUIDE없음)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0.42222222222222222</c:v>
                </c:pt>
                <c:pt idx="1">
                  <c:v>0.42222222222222222</c:v>
                </c:pt>
                <c:pt idx="2">
                  <c:v>0.42222222222222222</c:v>
                </c:pt>
                <c:pt idx="3">
                  <c:v>0.42222222222222222</c:v>
                </c:pt>
                <c:pt idx="4">
                  <c:v>0.42222222222222222</c:v>
                </c:pt>
                <c:pt idx="5">
                  <c:v>0.42222222222222222</c:v>
                </c:pt>
                <c:pt idx="6">
                  <c:v>0.42222222222222222</c:v>
                </c:pt>
                <c:pt idx="7">
                  <c:v>0.42222222222222222</c:v>
                </c:pt>
                <c:pt idx="8">
                  <c:v>0.42222222222222222</c:v>
                </c:pt>
                <c:pt idx="9">
                  <c:v>0.42222222222222222</c:v>
                </c:pt>
                <c:pt idx="10">
                  <c:v>0.42222222222222222</c:v>
                </c:pt>
                <c:pt idx="11">
                  <c:v>0.42222222222222222</c:v>
                </c:pt>
                <c:pt idx="12">
                  <c:v>0.42222222222222222</c:v>
                </c:pt>
                <c:pt idx="13">
                  <c:v>0.42222222222222222</c:v>
                </c:pt>
                <c:pt idx="14">
                  <c:v>0.42222222222222222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D8-45C8-911E-8A03789DE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SLIDER</c:v>
                </c:pt>
                <c:pt idx="6">
                  <c:v>Receptacle(GUIDE없음)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2">
                  <c:v>17700</c:v>
                </c:pt>
                <c:pt idx="4">
                  <c:v>25708</c:v>
                </c:pt>
                <c:pt idx="6">
                  <c:v>2959</c:v>
                </c:pt>
                <c:pt idx="8">
                  <c:v>1276</c:v>
                </c:pt>
                <c:pt idx="10">
                  <c:v>22761</c:v>
                </c:pt>
                <c:pt idx="11">
                  <c:v>25812</c:v>
                </c:pt>
                <c:pt idx="12">
                  <c:v>21632</c:v>
                </c:pt>
                <c:pt idx="13">
                  <c:v>2947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9-4F4B-BB9D-0BE72291A195}"/>
            </c:ext>
          </c:extLst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SLIDER</c:v>
                </c:pt>
                <c:pt idx="6">
                  <c:v>Receptacle(GUIDE없음)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17700</c:v>
                </c:pt>
                <c:pt idx="3">
                  <c:v>4267</c:v>
                </c:pt>
                <c:pt idx="4">
                  <c:v>25708</c:v>
                </c:pt>
                <c:pt idx="5">
                  <c:v>1202</c:v>
                </c:pt>
                <c:pt idx="6">
                  <c:v>2959</c:v>
                </c:pt>
                <c:pt idx="7">
                  <c:v>3117</c:v>
                </c:pt>
                <c:pt idx="8">
                  <c:v>1276</c:v>
                </c:pt>
                <c:pt idx="9">
                  <c:v>12736</c:v>
                </c:pt>
                <c:pt idx="10">
                  <c:v>22761</c:v>
                </c:pt>
                <c:pt idx="11">
                  <c:v>25812</c:v>
                </c:pt>
                <c:pt idx="12">
                  <c:v>21632</c:v>
                </c:pt>
                <c:pt idx="13">
                  <c:v>2947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9-4F4B-BB9D-0BE72291A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50%</c:v>
                </c:pt>
                <c:pt idx="7">
                  <c:v>0%</c:v>
                </c:pt>
                <c:pt idx="8">
                  <c:v>46%</c:v>
                </c:pt>
                <c:pt idx="9">
                  <c:v>0%</c:v>
                </c:pt>
                <c:pt idx="10">
                  <c:v>79%</c:v>
                </c:pt>
                <c:pt idx="11">
                  <c:v>100%</c:v>
                </c:pt>
                <c:pt idx="12">
                  <c:v>100%</c:v>
                </c:pt>
                <c:pt idx="13">
                  <c:v>58%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SLIDER</c:v>
                </c:pt>
                <c:pt idx="6">
                  <c:v>Receptacle(GUIDE없음)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0.45833333333333331</c:v>
                </c:pt>
                <c:pt idx="9">
                  <c:v>0</c:v>
                </c:pt>
                <c:pt idx="10">
                  <c:v>0.79166666666666663</c:v>
                </c:pt>
                <c:pt idx="11">
                  <c:v>1</c:v>
                </c:pt>
                <c:pt idx="12">
                  <c:v>1</c:v>
                </c:pt>
                <c:pt idx="13">
                  <c:v>0.58333333333333337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8-4787-8791-2C285E99FC8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78-4787-8791-2C285E99FC8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SLIDER</c:v>
                </c:pt>
                <c:pt idx="6">
                  <c:v>Receptacle(GUIDE없음)</c:v>
                </c:pt>
                <c:pt idx="7">
                  <c:v>PUSHER</c:v>
                </c:pt>
                <c:pt idx="8">
                  <c:v>BASE</c:v>
                </c:pt>
                <c:pt idx="9">
                  <c:v>LED A</c:v>
                </c:pt>
                <c:pt idx="10">
                  <c:v>HEARD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0.42222222222222222</c:v>
                </c:pt>
                <c:pt idx="1">
                  <c:v>0.42222222222222222</c:v>
                </c:pt>
                <c:pt idx="2">
                  <c:v>0.42222222222222222</c:v>
                </c:pt>
                <c:pt idx="3">
                  <c:v>0.42222222222222222</c:v>
                </c:pt>
                <c:pt idx="4">
                  <c:v>0.42222222222222222</c:v>
                </c:pt>
                <c:pt idx="5">
                  <c:v>0.42222222222222222</c:v>
                </c:pt>
                <c:pt idx="6">
                  <c:v>0.42222222222222222</c:v>
                </c:pt>
                <c:pt idx="7">
                  <c:v>0.42222222222222222</c:v>
                </c:pt>
                <c:pt idx="8">
                  <c:v>0.42222222222222222</c:v>
                </c:pt>
                <c:pt idx="9">
                  <c:v>0.42222222222222222</c:v>
                </c:pt>
                <c:pt idx="10">
                  <c:v>0.42222222222222222</c:v>
                </c:pt>
                <c:pt idx="11">
                  <c:v>0.42222222222222222</c:v>
                </c:pt>
                <c:pt idx="12">
                  <c:v>0.42222222222222222</c:v>
                </c:pt>
                <c:pt idx="13">
                  <c:v>0.42222222222222222</c:v>
                </c:pt>
                <c:pt idx="14">
                  <c:v>0.42222222222222222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78-4787-8791-2C285E99F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8C4-437C-A562-CEBDFECD6E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C4-437C-A562-CEBDFECD6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C4-437C-A562-CEBDFECD6EA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C4-437C-A562-CEBDFECD6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COVER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2">
                  <c:v>8460</c:v>
                </c:pt>
                <c:pt idx="4">
                  <c:v>23312</c:v>
                </c:pt>
                <c:pt idx="5">
                  <c:v>4219</c:v>
                </c:pt>
                <c:pt idx="6">
                  <c:v>3099</c:v>
                </c:pt>
                <c:pt idx="7">
                  <c:v>3091</c:v>
                </c:pt>
                <c:pt idx="8">
                  <c:v>373</c:v>
                </c:pt>
                <c:pt idx="10">
                  <c:v>4906</c:v>
                </c:pt>
                <c:pt idx="11">
                  <c:v>24196</c:v>
                </c:pt>
                <c:pt idx="12">
                  <c:v>20220</c:v>
                </c:pt>
                <c:pt idx="13">
                  <c:v>5418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A-4135-9A10-17F0B6A7BFBE}"/>
            </c:ext>
          </c:extLst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COVER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8460</c:v>
                </c:pt>
                <c:pt idx="3">
                  <c:v>4267</c:v>
                </c:pt>
                <c:pt idx="4">
                  <c:v>23312</c:v>
                </c:pt>
                <c:pt idx="5">
                  <c:v>4219</c:v>
                </c:pt>
                <c:pt idx="6">
                  <c:v>3100</c:v>
                </c:pt>
                <c:pt idx="7">
                  <c:v>3091</c:v>
                </c:pt>
                <c:pt idx="8">
                  <c:v>373</c:v>
                </c:pt>
                <c:pt idx="9">
                  <c:v>12736</c:v>
                </c:pt>
                <c:pt idx="10">
                  <c:v>4906</c:v>
                </c:pt>
                <c:pt idx="11">
                  <c:v>24196</c:v>
                </c:pt>
                <c:pt idx="12">
                  <c:v>20220</c:v>
                </c:pt>
                <c:pt idx="13">
                  <c:v>5418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CA-4135-9A10-17F0B6A7B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0%</c:v>
                </c:pt>
                <c:pt idx="4">
                  <c:v>100%</c:v>
                </c:pt>
                <c:pt idx="5">
                  <c:v>88%</c:v>
                </c:pt>
                <c:pt idx="6">
                  <c:v>58%</c:v>
                </c:pt>
                <c:pt idx="7">
                  <c:v>75%</c:v>
                </c:pt>
                <c:pt idx="8">
                  <c:v>25%</c:v>
                </c:pt>
                <c:pt idx="9">
                  <c:v>0%</c:v>
                </c:pt>
                <c:pt idx="10">
                  <c:v>96%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COVER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0</c:v>
                </c:pt>
                <c:pt idx="4">
                  <c:v>1</c:v>
                </c:pt>
                <c:pt idx="5">
                  <c:v>0.875</c:v>
                </c:pt>
                <c:pt idx="6">
                  <c:v>0.58314516129032257</c:v>
                </c:pt>
                <c:pt idx="7">
                  <c:v>0.75</c:v>
                </c:pt>
                <c:pt idx="8">
                  <c:v>0.25</c:v>
                </c:pt>
                <c:pt idx="9">
                  <c:v>0</c:v>
                </c:pt>
                <c:pt idx="10">
                  <c:v>0.95833333333333337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E-44DC-A2DA-0111CF97803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53E-44DC-A2DA-0111CF9780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COVER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0.53332078853046594</c:v>
                </c:pt>
                <c:pt idx="1">
                  <c:v>0.53332078853046594</c:v>
                </c:pt>
                <c:pt idx="2">
                  <c:v>0.53332078853046594</c:v>
                </c:pt>
                <c:pt idx="3">
                  <c:v>0.53332078853046594</c:v>
                </c:pt>
                <c:pt idx="4">
                  <c:v>0.53332078853046594</c:v>
                </c:pt>
                <c:pt idx="5">
                  <c:v>0.53332078853046594</c:v>
                </c:pt>
                <c:pt idx="6">
                  <c:v>0.53332078853046594</c:v>
                </c:pt>
                <c:pt idx="7">
                  <c:v>0.53332078853046594</c:v>
                </c:pt>
                <c:pt idx="8">
                  <c:v>0.53332078853046594</c:v>
                </c:pt>
                <c:pt idx="9">
                  <c:v>0.53332078853046594</c:v>
                </c:pt>
                <c:pt idx="10">
                  <c:v>0.53332078853046594</c:v>
                </c:pt>
                <c:pt idx="11">
                  <c:v>0.53332078853046594</c:v>
                </c:pt>
                <c:pt idx="12">
                  <c:v>0.53332078853046594</c:v>
                </c:pt>
                <c:pt idx="13">
                  <c:v>0.53332078853046594</c:v>
                </c:pt>
                <c:pt idx="14">
                  <c:v>0.53332078853046594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3E-44DC-A2DA-0111CF978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COVER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2">
                  <c:v>8460</c:v>
                </c:pt>
                <c:pt idx="4">
                  <c:v>23312</c:v>
                </c:pt>
                <c:pt idx="5">
                  <c:v>4219</c:v>
                </c:pt>
                <c:pt idx="6">
                  <c:v>3099</c:v>
                </c:pt>
                <c:pt idx="7">
                  <c:v>3091</c:v>
                </c:pt>
                <c:pt idx="8">
                  <c:v>373</c:v>
                </c:pt>
                <c:pt idx="10">
                  <c:v>4906</c:v>
                </c:pt>
                <c:pt idx="11">
                  <c:v>24196</c:v>
                </c:pt>
                <c:pt idx="12">
                  <c:v>20220</c:v>
                </c:pt>
                <c:pt idx="13">
                  <c:v>5418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2-44DC-BAA9-ACBC435E52D4}"/>
            </c:ext>
          </c:extLst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COVER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8460</c:v>
                </c:pt>
                <c:pt idx="3">
                  <c:v>4267</c:v>
                </c:pt>
                <c:pt idx="4">
                  <c:v>23312</c:v>
                </c:pt>
                <c:pt idx="5">
                  <c:v>4219</c:v>
                </c:pt>
                <c:pt idx="6">
                  <c:v>3100</c:v>
                </c:pt>
                <c:pt idx="7">
                  <c:v>3091</c:v>
                </c:pt>
                <c:pt idx="8">
                  <c:v>373</c:v>
                </c:pt>
                <c:pt idx="9">
                  <c:v>12736</c:v>
                </c:pt>
                <c:pt idx="10">
                  <c:v>4906</c:v>
                </c:pt>
                <c:pt idx="11">
                  <c:v>24196</c:v>
                </c:pt>
                <c:pt idx="12">
                  <c:v>20220</c:v>
                </c:pt>
                <c:pt idx="13">
                  <c:v>5418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2-44DC-BAA9-ACBC435E5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0%</c:v>
                </c:pt>
                <c:pt idx="4">
                  <c:v>100%</c:v>
                </c:pt>
                <c:pt idx="5">
                  <c:v>88%</c:v>
                </c:pt>
                <c:pt idx="6">
                  <c:v>58%</c:v>
                </c:pt>
                <c:pt idx="7">
                  <c:v>75%</c:v>
                </c:pt>
                <c:pt idx="8">
                  <c:v>25%</c:v>
                </c:pt>
                <c:pt idx="9">
                  <c:v>0%</c:v>
                </c:pt>
                <c:pt idx="10">
                  <c:v>96%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COVER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0</c:v>
                </c:pt>
                <c:pt idx="4">
                  <c:v>1</c:v>
                </c:pt>
                <c:pt idx="5">
                  <c:v>0.875</c:v>
                </c:pt>
                <c:pt idx="6">
                  <c:v>0.58314516129032257</c:v>
                </c:pt>
                <c:pt idx="7">
                  <c:v>0.75</c:v>
                </c:pt>
                <c:pt idx="8">
                  <c:v>0.25</c:v>
                </c:pt>
                <c:pt idx="9">
                  <c:v>0</c:v>
                </c:pt>
                <c:pt idx="10">
                  <c:v>0.95833333333333337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4E-4CE2-B800-9BCDB821227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24E-4CE2-B800-9BCDB821227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'11'!$D$6:$D$20</c:f>
              <c:strCache>
                <c:ptCount val="14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COVER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0.53332078853046594</c:v>
                </c:pt>
                <c:pt idx="1">
                  <c:v>0.53332078853046594</c:v>
                </c:pt>
                <c:pt idx="2">
                  <c:v>0.53332078853046594</c:v>
                </c:pt>
                <c:pt idx="3">
                  <c:v>0.53332078853046594</c:v>
                </c:pt>
                <c:pt idx="4">
                  <c:v>0.53332078853046594</c:v>
                </c:pt>
                <c:pt idx="5">
                  <c:v>0.53332078853046594</c:v>
                </c:pt>
                <c:pt idx="6">
                  <c:v>0.53332078853046594</c:v>
                </c:pt>
                <c:pt idx="7">
                  <c:v>0.53332078853046594</c:v>
                </c:pt>
                <c:pt idx="8">
                  <c:v>0.53332078853046594</c:v>
                </c:pt>
                <c:pt idx="9">
                  <c:v>0.53332078853046594</c:v>
                </c:pt>
                <c:pt idx="10">
                  <c:v>0.53332078853046594</c:v>
                </c:pt>
                <c:pt idx="11">
                  <c:v>0.53332078853046594</c:v>
                </c:pt>
                <c:pt idx="12">
                  <c:v>0.53332078853046594</c:v>
                </c:pt>
                <c:pt idx="13">
                  <c:v>0.53332078853046594</c:v>
                </c:pt>
                <c:pt idx="14">
                  <c:v>0.53332078853046594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4E-4CE2-B800-9BCDB8212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2E5-4B9F-9FCA-4B04CD00CC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E5-4B9F-9FCA-4B04CD00C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2E5-4B9F-9FCA-4B04CD00CC0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E5-4B9F-9FCA-4B04CD00C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'14'!$D$6:$D$21</c:f>
              <c:strCache>
                <c:ptCount val="15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COVER</c:v>
                </c:pt>
                <c:pt idx="6">
                  <c:v>LATCH</c:v>
                </c:pt>
                <c:pt idx="7">
                  <c:v>Receptacle(GUIDE없음)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'14'!$L$6:$L$21</c:f>
              <c:numCache>
                <c:formatCode>_(* #,##0_);_(* \(#,##0\);_(* "-"_);_(@_)</c:formatCode>
                <c:ptCount val="16"/>
                <c:pt idx="4">
                  <c:v>23400</c:v>
                </c:pt>
                <c:pt idx="5">
                  <c:v>2002</c:v>
                </c:pt>
                <c:pt idx="6">
                  <c:v>5396</c:v>
                </c:pt>
                <c:pt idx="7">
                  <c:v>2837</c:v>
                </c:pt>
                <c:pt idx="8">
                  <c:v>4808</c:v>
                </c:pt>
                <c:pt idx="9">
                  <c:v>124</c:v>
                </c:pt>
                <c:pt idx="11">
                  <c:v>5493</c:v>
                </c:pt>
                <c:pt idx="12">
                  <c:v>24040</c:v>
                </c:pt>
                <c:pt idx="13">
                  <c:v>19704</c:v>
                </c:pt>
                <c:pt idx="14">
                  <c:v>4914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A-447E-8257-8F7B43A5707D}"/>
            </c:ext>
          </c:extLst>
        </c:ser>
        <c:ser>
          <c:idx val="1"/>
          <c:order val="1"/>
          <c:tx>
            <c:v>계획</c:v>
          </c:tx>
          <c:cat>
            <c:strRef>
              <c:f>'14'!$D$6:$D$21</c:f>
              <c:strCache>
                <c:ptCount val="15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COVER</c:v>
                </c:pt>
                <c:pt idx="6">
                  <c:v>LATCH</c:v>
                </c:pt>
                <c:pt idx="7">
                  <c:v>Receptacle(GUIDE없음)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8460</c:v>
                </c:pt>
                <c:pt idx="3">
                  <c:v>4267</c:v>
                </c:pt>
                <c:pt idx="4">
                  <c:v>23400</c:v>
                </c:pt>
                <c:pt idx="5">
                  <c:v>2002</c:v>
                </c:pt>
                <c:pt idx="6">
                  <c:v>5396</c:v>
                </c:pt>
                <c:pt idx="7">
                  <c:v>2837</c:v>
                </c:pt>
                <c:pt idx="8">
                  <c:v>4808</c:v>
                </c:pt>
                <c:pt idx="9">
                  <c:v>124</c:v>
                </c:pt>
                <c:pt idx="10">
                  <c:v>12736</c:v>
                </c:pt>
                <c:pt idx="11">
                  <c:v>5493</c:v>
                </c:pt>
                <c:pt idx="12">
                  <c:v>24040</c:v>
                </c:pt>
                <c:pt idx="13">
                  <c:v>19704</c:v>
                </c:pt>
                <c:pt idx="14">
                  <c:v>4914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4A-447E-8257-8F7B43A57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100%</c:v>
                </c:pt>
                <c:pt idx="5">
                  <c:v>42%</c:v>
                </c:pt>
                <c:pt idx="6">
                  <c:v>50%</c:v>
                </c:pt>
                <c:pt idx="7">
                  <c:v>58%</c:v>
                </c:pt>
                <c:pt idx="8">
                  <c:v>75%</c:v>
                </c:pt>
                <c:pt idx="9">
                  <c:v>17%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COVER</c:v>
                </c:pt>
                <c:pt idx="6">
                  <c:v>LATCH</c:v>
                </c:pt>
                <c:pt idx="7">
                  <c:v>Receptacle(GUIDE없음)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0.75</c:v>
                </c:pt>
                <c:pt idx="9">
                  <c:v>0.16666666666666666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6F-412B-A682-3B837A53A37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86F-412B-A682-3B837A53A37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COVER</c:v>
                </c:pt>
                <c:pt idx="6">
                  <c:v>LATCH</c:v>
                </c:pt>
                <c:pt idx="7">
                  <c:v>Receptacle(GUIDE없음)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'14'!$AE$6:$AE$21</c:f>
              <c:numCache>
                <c:formatCode>0%</c:formatCode>
                <c:ptCount val="16"/>
                <c:pt idx="0">
                  <c:v>0.49444444444444441</c:v>
                </c:pt>
                <c:pt idx="1">
                  <c:v>0.49444444444444441</c:v>
                </c:pt>
                <c:pt idx="2">
                  <c:v>0.49444444444444441</c:v>
                </c:pt>
                <c:pt idx="3">
                  <c:v>0.49444444444444441</c:v>
                </c:pt>
                <c:pt idx="4">
                  <c:v>0.49444444444444441</c:v>
                </c:pt>
                <c:pt idx="5">
                  <c:v>0.49444444444444441</c:v>
                </c:pt>
                <c:pt idx="6">
                  <c:v>0.49444444444444441</c:v>
                </c:pt>
                <c:pt idx="7">
                  <c:v>0.49444444444444441</c:v>
                </c:pt>
                <c:pt idx="8">
                  <c:v>0.49444444444444441</c:v>
                </c:pt>
                <c:pt idx="9">
                  <c:v>0.49444444444444441</c:v>
                </c:pt>
                <c:pt idx="10">
                  <c:v>0.49444444444444441</c:v>
                </c:pt>
                <c:pt idx="11">
                  <c:v>0.49444444444444441</c:v>
                </c:pt>
                <c:pt idx="12">
                  <c:v>0.49444444444444441</c:v>
                </c:pt>
                <c:pt idx="13">
                  <c:v>0.49444444444444441</c:v>
                </c:pt>
                <c:pt idx="14">
                  <c:v>0.49444444444444441</c:v>
                </c:pt>
                <c:pt idx="15">
                  <c:v>0.49444444444444441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6F-412B-A682-3B837A53A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'14'!$D$6:$D$21</c:f>
              <c:strCache>
                <c:ptCount val="15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COVER</c:v>
                </c:pt>
                <c:pt idx="6">
                  <c:v>LATCH</c:v>
                </c:pt>
                <c:pt idx="7">
                  <c:v>Receptacle(GUIDE없음)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'14'!$L$6:$L$21</c:f>
              <c:numCache>
                <c:formatCode>_(* #,##0_);_(* \(#,##0\);_(* "-"_);_(@_)</c:formatCode>
                <c:ptCount val="16"/>
                <c:pt idx="4">
                  <c:v>23400</c:v>
                </c:pt>
                <c:pt idx="5">
                  <c:v>2002</c:v>
                </c:pt>
                <c:pt idx="6">
                  <c:v>5396</c:v>
                </c:pt>
                <c:pt idx="7">
                  <c:v>2837</c:v>
                </c:pt>
                <c:pt idx="8">
                  <c:v>4808</c:v>
                </c:pt>
                <c:pt idx="9">
                  <c:v>124</c:v>
                </c:pt>
                <c:pt idx="11">
                  <c:v>5493</c:v>
                </c:pt>
                <c:pt idx="12">
                  <c:v>24040</c:v>
                </c:pt>
                <c:pt idx="13">
                  <c:v>19704</c:v>
                </c:pt>
                <c:pt idx="14">
                  <c:v>4914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8-4D67-AF2E-C674C9BDA760}"/>
            </c:ext>
          </c:extLst>
        </c:ser>
        <c:ser>
          <c:idx val="1"/>
          <c:order val="1"/>
          <c:tx>
            <c:v>계획</c:v>
          </c:tx>
          <c:cat>
            <c:strRef>
              <c:f>'14'!$D$6:$D$21</c:f>
              <c:strCache>
                <c:ptCount val="15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COVER</c:v>
                </c:pt>
                <c:pt idx="6">
                  <c:v>LATCH</c:v>
                </c:pt>
                <c:pt idx="7">
                  <c:v>Receptacle(GUIDE없음)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8460</c:v>
                </c:pt>
                <c:pt idx="3">
                  <c:v>4267</c:v>
                </c:pt>
                <c:pt idx="4">
                  <c:v>23400</c:v>
                </c:pt>
                <c:pt idx="5">
                  <c:v>2002</c:v>
                </c:pt>
                <c:pt idx="6">
                  <c:v>5396</c:v>
                </c:pt>
                <c:pt idx="7">
                  <c:v>2837</c:v>
                </c:pt>
                <c:pt idx="8">
                  <c:v>4808</c:v>
                </c:pt>
                <c:pt idx="9">
                  <c:v>124</c:v>
                </c:pt>
                <c:pt idx="10">
                  <c:v>12736</c:v>
                </c:pt>
                <c:pt idx="11">
                  <c:v>5493</c:v>
                </c:pt>
                <c:pt idx="12">
                  <c:v>24040</c:v>
                </c:pt>
                <c:pt idx="13">
                  <c:v>19704</c:v>
                </c:pt>
                <c:pt idx="14">
                  <c:v>4914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08-4D67-AF2E-C674C9BDA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100%</c:v>
                </c:pt>
                <c:pt idx="5">
                  <c:v>42%</c:v>
                </c:pt>
                <c:pt idx="6">
                  <c:v>50%</c:v>
                </c:pt>
                <c:pt idx="7">
                  <c:v>58%</c:v>
                </c:pt>
                <c:pt idx="8">
                  <c:v>75%</c:v>
                </c:pt>
                <c:pt idx="9">
                  <c:v>17%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COVER</c:v>
                </c:pt>
                <c:pt idx="6">
                  <c:v>LATCH</c:v>
                </c:pt>
                <c:pt idx="7">
                  <c:v>Receptacle(GUIDE없음)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0.75</c:v>
                </c:pt>
                <c:pt idx="9">
                  <c:v>0.16666666666666666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F8-4A09-B691-E1701CAEE09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3F8-4A09-B691-E1701CAEE09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2">
                  <c:v>203T</c:v>
                </c:pt>
                <c:pt idx="3">
                  <c:v>BODY</c:v>
                </c:pt>
                <c:pt idx="4">
                  <c:v>STOPPER</c:v>
                </c:pt>
                <c:pt idx="5">
                  <c:v>COVER</c:v>
                </c:pt>
                <c:pt idx="6">
                  <c:v>LATCH</c:v>
                </c:pt>
                <c:pt idx="7">
                  <c:v>Receptacle(GUIDE없음)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'14'!$AE$6:$AE$21</c:f>
              <c:numCache>
                <c:formatCode>0%</c:formatCode>
                <c:ptCount val="16"/>
                <c:pt idx="0">
                  <c:v>0.49444444444444441</c:v>
                </c:pt>
                <c:pt idx="1">
                  <c:v>0.49444444444444441</c:v>
                </c:pt>
                <c:pt idx="2">
                  <c:v>0.49444444444444441</c:v>
                </c:pt>
                <c:pt idx="3">
                  <c:v>0.49444444444444441</c:v>
                </c:pt>
                <c:pt idx="4">
                  <c:v>0.49444444444444441</c:v>
                </c:pt>
                <c:pt idx="5">
                  <c:v>0.49444444444444441</c:v>
                </c:pt>
                <c:pt idx="6">
                  <c:v>0.49444444444444441</c:v>
                </c:pt>
                <c:pt idx="7">
                  <c:v>0.49444444444444441</c:v>
                </c:pt>
                <c:pt idx="8">
                  <c:v>0.49444444444444441</c:v>
                </c:pt>
                <c:pt idx="9">
                  <c:v>0.49444444444444441</c:v>
                </c:pt>
                <c:pt idx="10">
                  <c:v>0.49444444444444441</c:v>
                </c:pt>
                <c:pt idx="11">
                  <c:v>0.49444444444444441</c:v>
                </c:pt>
                <c:pt idx="12">
                  <c:v>0.49444444444444441</c:v>
                </c:pt>
                <c:pt idx="13">
                  <c:v>0.49444444444444441</c:v>
                </c:pt>
                <c:pt idx="14">
                  <c:v>0.49444444444444441</c:v>
                </c:pt>
                <c:pt idx="15">
                  <c:v>0.49444444444444441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F8-4A09-B691-E1701CAEE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A84-4837-988A-BA3A2CC0CF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84-4837-988A-BA3A2CC0C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A84-4837-988A-BA3A2CC0CFF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84-4837-988A-BA3A2CC0C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LATCH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2">
                  <c:v>2611</c:v>
                </c:pt>
                <c:pt idx="4">
                  <c:v>25624</c:v>
                </c:pt>
                <c:pt idx="5">
                  <c:v>7472</c:v>
                </c:pt>
                <c:pt idx="8">
                  <c:v>550</c:v>
                </c:pt>
                <c:pt idx="9">
                  <c:v>409</c:v>
                </c:pt>
                <c:pt idx="11">
                  <c:v>5764</c:v>
                </c:pt>
                <c:pt idx="12">
                  <c:v>25580</c:v>
                </c:pt>
                <c:pt idx="14">
                  <c:v>5637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1-459E-9EED-FFF538C3D0A0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LATCH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2611</c:v>
                </c:pt>
                <c:pt idx="3">
                  <c:v>4267</c:v>
                </c:pt>
                <c:pt idx="4">
                  <c:v>25624</c:v>
                </c:pt>
                <c:pt idx="5">
                  <c:v>7472</c:v>
                </c:pt>
                <c:pt idx="6">
                  <c:v>2837</c:v>
                </c:pt>
                <c:pt idx="7">
                  <c:v>4808</c:v>
                </c:pt>
                <c:pt idx="8">
                  <c:v>550</c:v>
                </c:pt>
                <c:pt idx="9">
                  <c:v>409</c:v>
                </c:pt>
                <c:pt idx="10">
                  <c:v>12736</c:v>
                </c:pt>
                <c:pt idx="11">
                  <c:v>5764</c:v>
                </c:pt>
                <c:pt idx="12">
                  <c:v>25580</c:v>
                </c:pt>
                <c:pt idx="13">
                  <c:v>19704</c:v>
                </c:pt>
                <c:pt idx="14">
                  <c:v>5637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11-459E-9EED-FFF538C3D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67%</c:v>
                </c:pt>
                <c:pt idx="3">
                  <c:v>0%</c:v>
                </c:pt>
                <c:pt idx="4">
                  <c:v>100%</c:v>
                </c:pt>
                <c:pt idx="5">
                  <c:v>79%</c:v>
                </c:pt>
                <c:pt idx="6">
                  <c:v>0%</c:v>
                </c:pt>
                <c:pt idx="7">
                  <c:v>0%</c:v>
                </c:pt>
                <c:pt idx="8">
                  <c:v>29%</c:v>
                </c:pt>
                <c:pt idx="9">
                  <c:v>25%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LATCH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</c:v>
                </c:pt>
                <c:pt idx="4">
                  <c:v>1</c:v>
                </c:pt>
                <c:pt idx="5">
                  <c:v>0.79166666666666663</c:v>
                </c:pt>
                <c:pt idx="6">
                  <c:v>0</c:v>
                </c:pt>
                <c:pt idx="7">
                  <c:v>0</c:v>
                </c:pt>
                <c:pt idx="8">
                  <c:v>0.29166666666666669</c:v>
                </c:pt>
                <c:pt idx="9">
                  <c:v>0.25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20-4025-8B4D-B9D971D977F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20-4025-8B4D-B9D971D977F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LATCH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20-4025-8B4D-B9D971D97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LATCH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2">
                  <c:v>2611</c:v>
                </c:pt>
                <c:pt idx="4">
                  <c:v>25624</c:v>
                </c:pt>
                <c:pt idx="5">
                  <c:v>7472</c:v>
                </c:pt>
                <c:pt idx="8">
                  <c:v>550</c:v>
                </c:pt>
                <c:pt idx="9">
                  <c:v>409</c:v>
                </c:pt>
                <c:pt idx="11">
                  <c:v>5764</c:v>
                </c:pt>
                <c:pt idx="12">
                  <c:v>25580</c:v>
                </c:pt>
                <c:pt idx="14">
                  <c:v>5637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31-457D-B574-C921967E735F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LATCH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2611</c:v>
                </c:pt>
                <c:pt idx="3">
                  <c:v>4267</c:v>
                </c:pt>
                <c:pt idx="4">
                  <c:v>25624</c:v>
                </c:pt>
                <c:pt idx="5">
                  <c:v>7472</c:v>
                </c:pt>
                <c:pt idx="6">
                  <c:v>2837</c:v>
                </c:pt>
                <c:pt idx="7">
                  <c:v>4808</c:v>
                </c:pt>
                <c:pt idx="8">
                  <c:v>550</c:v>
                </c:pt>
                <c:pt idx="9">
                  <c:v>409</c:v>
                </c:pt>
                <c:pt idx="10">
                  <c:v>12736</c:v>
                </c:pt>
                <c:pt idx="11">
                  <c:v>5764</c:v>
                </c:pt>
                <c:pt idx="12">
                  <c:v>25580</c:v>
                </c:pt>
                <c:pt idx="13">
                  <c:v>19704</c:v>
                </c:pt>
                <c:pt idx="14">
                  <c:v>5637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31-457D-B574-C921967E7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67%</c:v>
                </c:pt>
                <c:pt idx="3">
                  <c:v>0%</c:v>
                </c:pt>
                <c:pt idx="4">
                  <c:v>100%</c:v>
                </c:pt>
                <c:pt idx="5">
                  <c:v>79%</c:v>
                </c:pt>
                <c:pt idx="6">
                  <c:v>0%</c:v>
                </c:pt>
                <c:pt idx="7">
                  <c:v>0%</c:v>
                </c:pt>
                <c:pt idx="8">
                  <c:v>29%</c:v>
                </c:pt>
                <c:pt idx="9">
                  <c:v>25%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LATCH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</c:v>
                </c:pt>
                <c:pt idx="4">
                  <c:v>1</c:v>
                </c:pt>
                <c:pt idx="5">
                  <c:v>0.79166666666666663</c:v>
                </c:pt>
                <c:pt idx="6">
                  <c:v>0</c:v>
                </c:pt>
                <c:pt idx="7">
                  <c:v>0</c:v>
                </c:pt>
                <c:pt idx="8">
                  <c:v>0.29166666666666669</c:v>
                </c:pt>
                <c:pt idx="9">
                  <c:v>0.25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C3-418C-9625-BFC9A7C8732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4C3-418C-9625-BFC9A7C8732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LATCH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A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C3-418C-9625-BFC9A7C87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F54-4967-8763-02F0F69721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54-4967-8763-02F0F6972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F54-4967-8763-02F0F69721E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54-4967-8763-02F0F6972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2">
                  <c:v>793</c:v>
                </c:pt>
                <c:pt idx="4">
                  <c:v>22984</c:v>
                </c:pt>
                <c:pt idx="5">
                  <c:v>1962</c:v>
                </c:pt>
                <c:pt idx="8">
                  <c:v>640</c:v>
                </c:pt>
                <c:pt idx="9">
                  <c:v>3042</c:v>
                </c:pt>
                <c:pt idx="11">
                  <c:v>23824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FF-4983-96E4-719133463CE1}"/>
            </c:ext>
          </c:extLst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793</c:v>
                </c:pt>
                <c:pt idx="3">
                  <c:v>4267</c:v>
                </c:pt>
                <c:pt idx="4">
                  <c:v>22984</c:v>
                </c:pt>
                <c:pt idx="5">
                  <c:v>1962</c:v>
                </c:pt>
                <c:pt idx="6">
                  <c:v>2837</c:v>
                </c:pt>
                <c:pt idx="7">
                  <c:v>4808</c:v>
                </c:pt>
                <c:pt idx="8">
                  <c:v>640</c:v>
                </c:pt>
                <c:pt idx="9">
                  <c:v>3042</c:v>
                </c:pt>
                <c:pt idx="10">
                  <c:v>5764</c:v>
                </c:pt>
                <c:pt idx="11">
                  <c:v>23824</c:v>
                </c:pt>
                <c:pt idx="12">
                  <c:v>19704</c:v>
                </c:pt>
                <c:pt idx="13">
                  <c:v>5637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FF-4983-96E4-719133463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21%</c:v>
                </c:pt>
                <c:pt idx="3">
                  <c:v>0%</c:v>
                </c:pt>
                <c:pt idx="4">
                  <c:v>100%</c:v>
                </c:pt>
                <c:pt idx="5">
                  <c:v>42%</c:v>
                </c:pt>
                <c:pt idx="6">
                  <c:v>0%</c:v>
                </c:pt>
                <c:pt idx="7">
                  <c:v>0%</c:v>
                </c:pt>
                <c:pt idx="8">
                  <c:v>29%</c:v>
                </c:pt>
                <c:pt idx="9">
                  <c:v>58%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0.20833333333333334</c:v>
                </c:pt>
                <c:pt idx="3">
                  <c:v>0</c:v>
                </c:pt>
                <c:pt idx="4">
                  <c:v>1</c:v>
                </c:pt>
                <c:pt idx="5">
                  <c:v>0.41666666666666669</c:v>
                </c:pt>
                <c:pt idx="6">
                  <c:v>0</c:v>
                </c:pt>
                <c:pt idx="7">
                  <c:v>0</c:v>
                </c:pt>
                <c:pt idx="8">
                  <c:v>0.29166666666666669</c:v>
                </c:pt>
                <c:pt idx="9">
                  <c:v>0.58333333333333337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9C-4E82-A26F-B807E8630A8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9C-4E82-A26F-B807E8630A8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0.23333333333333334</c:v>
                </c:pt>
                <c:pt idx="1">
                  <c:v>0.23333333333333334</c:v>
                </c:pt>
                <c:pt idx="2">
                  <c:v>0.23333333333333334</c:v>
                </c:pt>
                <c:pt idx="3">
                  <c:v>0.23333333333333334</c:v>
                </c:pt>
                <c:pt idx="4">
                  <c:v>0.23333333333333334</c:v>
                </c:pt>
                <c:pt idx="5">
                  <c:v>0.23333333333333334</c:v>
                </c:pt>
                <c:pt idx="6">
                  <c:v>0.23333333333333334</c:v>
                </c:pt>
                <c:pt idx="7">
                  <c:v>0.23333333333333334</c:v>
                </c:pt>
                <c:pt idx="8">
                  <c:v>0.23333333333333334</c:v>
                </c:pt>
                <c:pt idx="9">
                  <c:v>0.23333333333333334</c:v>
                </c:pt>
                <c:pt idx="10">
                  <c:v>0.23333333333333334</c:v>
                </c:pt>
                <c:pt idx="11">
                  <c:v>0.23333333333333334</c:v>
                </c:pt>
                <c:pt idx="12">
                  <c:v>0.23333333333333334</c:v>
                </c:pt>
                <c:pt idx="13">
                  <c:v>0.23333333333333334</c:v>
                </c:pt>
                <c:pt idx="14">
                  <c:v>0.23333333333333334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9C-4E82-A26F-B807E8630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2">
                  <c:v>793</c:v>
                </c:pt>
                <c:pt idx="4">
                  <c:v>22984</c:v>
                </c:pt>
                <c:pt idx="5">
                  <c:v>1962</c:v>
                </c:pt>
                <c:pt idx="8">
                  <c:v>640</c:v>
                </c:pt>
                <c:pt idx="9">
                  <c:v>3042</c:v>
                </c:pt>
                <c:pt idx="11">
                  <c:v>23824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4B-476C-A69E-D6ACFB6B1A59}"/>
            </c:ext>
          </c:extLst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793</c:v>
                </c:pt>
                <c:pt idx="3">
                  <c:v>4267</c:v>
                </c:pt>
                <c:pt idx="4">
                  <c:v>22984</c:v>
                </c:pt>
                <c:pt idx="5">
                  <c:v>1962</c:v>
                </c:pt>
                <c:pt idx="6">
                  <c:v>2837</c:v>
                </c:pt>
                <c:pt idx="7">
                  <c:v>4808</c:v>
                </c:pt>
                <c:pt idx="8">
                  <c:v>640</c:v>
                </c:pt>
                <c:pt idx="9">
                  <c:v>3042</c:v>
                </c:pt>
                <c:pt idx="10">
                  <c:v>5764</c:v>
                </c:pt>
                <c:pt idx="11">
                  <c:v>23824</c:v>
                </c:pt>
                <c:pt idx="12">
                  <c:v>19704</c:v>
                </c:pt>
                <c:pt idx="13">
                  <c:v>5637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4B-476C-A69E-D6ACFB6B1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21%</c:v>
                </c:pt>
                <c:pt idx="3">
                  <c:v>0%</c:v>
                </c:pt>
                <c:pt idx="4">
                  <c:v>100%</c:v>
                </c:pt>
                <c:pt idx="5">
                  <c:v>42%</c:v>
                </c:pt>
                <c:pt idx="6">
                  <c:v>0%</c:v>
                </c:pt>
                <c:pt idx="7">
                  <c:v>0%</c:v>
                </c:pt>
                <c:pt idx="8">
                  <c:v>29%</c:v>
                </c:pt>
                <c:pt idx="9">
                  <c:v>58%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0.20833333333333334</c:v>
                </c:pt>
                <c:pt idx="3">
                  <c:v>0</c:v>
                </c:pt>
                <c:pt idx="4">
                  <c:v>1</c:v>
                </c:pt>
                <c:pt idx="5">
                  <c:v>0.41666666666666669</c:v>
                </c:pt>
                <c:pt idx="6">
                  <c:v>0</c:v>
                </c:pt>
                <c:pt idx="7">
                  <c:v>0</c:v>
                </c:pt>
                <c:pt idx="8">
                  <c:v>0.29166666666666669</c:v>
                </c:pt>
                <c:pt idx="9">
                  <c:v>0.58333333333333337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BE-49DF-A222-6859017A109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BE-49DF-A222-6859017A109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0.23333333333333334</c:v>
                </c:pt>
                <c:pt idx="1">
                  <c:v>0.23333333333333334</c:v>
                </c:pt>
                <c:pt idx="2">
                  <c:v>0.23333333333333334</c:v>
                </c:pt>
                <c:pt idx="3">
                  <c:v>0.23333333333333334</c:v>
                </c:pt>
                <c:pt idx="4">
                  <c:v>0.23333333333333334</c:v>
                </c:pt>
                <c:pt idx="5">
                  <c:v>0.23333333333333334</c:v>
                </c:pt>
                <c:pt idx="6">
                  <c:v>0.23333333333333334</c:v>
                </c:pt>
                <c:pt idx="7">
                  <c:v>0.23333333333333334</c:v>
                </c:pt>
                <c:pt idx="8">
                  <c:v>0.23333333333333334</c:v>
                </c:pt>
                <c:pt idx="9">
                  <c:v>0.23333333333333334</c:v>
                </c:pt>
                <c:pt idx="10">
                  <c:v>0.23333333333333334</c:v>
                </c:pt>
                <c:pt idx="11">
                  <c:v>0.23333333333333334</c:v>
                </c:pt>
                <c:pt idx="12">
                  <c:v>0.23333333333333334</c:v>
                </c:pt>
                <c:pt idx="13">
                  <c:v>0.23333333333333334</c:v>
                </c:pt>
                <c:pt idx="14">
                  <c:v>0.23333333333333334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BE-49DF-A222-6859017A1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1E2-4F88-B1B4-E7C1523C08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E2-4F88-B1B4-E7C1523C0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1E2-4F88-B1B4-E7C1523C089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E2-4F88-B1B4-E7C1523C0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4">
                  <c:v>10488</c:v>
                </c:pt>
                <c:pt idx="5">
                  <c:v>3055</c:v>
                </c:pt>
                <c:pt idx="7">
                  <c:v>2086</c:v>
                </c:pt>
                <c:pt idx="9">
                  <c:v>7558</c:v>
                </c:pt>
                <c:pt idx="10">
                  <c:v>9052</c:v>
                </c:pt>
                <c:pt idx="11">
                  <c:v>24452</c:v>
                </c:pt>
                <c:pt idx="12">
                  <c:v>9284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01-44E6-9F6F-4AC5028371FE}"/>
            </c:ext>
          </c:extLst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793</c:v>
                </c:pt>
                <c:pt idx="3">
                  <c:v>4267</c:v>
                </c:pt>
                <c:pt idx="4">
                  <c:v>10488</c:v>
                </c:pt>
                <c:pt idx="5">
                  <c:v>3055</c:v>
                </c:pt>
                <c:pt idx="6">
                  <c:v>2837</c:v>
                </c:pt>
                <c:pt idx="7">
                  <c:v>2086</c:v>
                </c:pt>
                <c:pt idx="8">
                  <c:v>640</c:v>
                </c:pt>
                <c:pt idx="9">
                  <c:v>7558</c:v>
                </c:pt>
                <c:pt idx="10">
                  <c:v>9052</c:v>
                </c:pt>
                <c:pt idx="11">
                  <c:v>24452</c:v>
                </c:pt>
                <c:pt idx="12">
                  <c:v>9284</c:v>
                </c:pt>
                <c:pt idx="13">
                  <c:v>5637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01-44E6-9F6F-4AC502837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58%</c:v>
                </c:pt>
                <c:pt idx="5">
                  <c:v>63%</c:v>
                </c:pt>
                <c:pt idx="6">
                  <c:v>0%</c:v>
                </c:pt>
                <c:pt idx="7">
                  <c:v>83%</c:v>
                </c:pt>
                <c:pt idx="8">
                  <c:v>0%</c:v>
                </c:pt>
                <c:pt idx="9">
                  <c:v>100%</c:v>
                </c:pt>
                <c:pt idx="10">
                  <c:v>88%</c:v>
                </c:pt>
                <c:pt idx="11">
                  <c:v>100%</c:v>
                </c:pt>
                <c:pt idx="12">
                  <c:v>54%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0.58333333333333337</c:v>
                </c:pt>
                <c:pt idx="5">
                  <c:v>0.625</c:v>
                </c:pt>
                <c:pt idx="6">
                  <c:v>0</c:v>
                </c:pt>
                <c:pt idx="7">
                  <c:v>0.83333333333333337</c:v>
                </c:pt>
                <c:pt idx="8">
                  <c:v>0</c:v>
                </c:pt>
                <c:pt idx="9">
                  <c:v>1</c:v>
                </c:pt>
                <c:pt idx="10">
                  <c:v>0.875</c:v>
                </c:pt>
                <c:pt idx="11">
                  <c:v>1</c:v>
                </c:pt>
                <c:pt idx="12">
                  <c:v>0.54166666666666663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FC-4457-9F27-85057CE078F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FC-4457-9F27-85057CE078F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0.36388888888888893</c:v>
                </c:pt>
                <c:pt idx="1">
                  <c:v>0.36388888888888893</c:v>
                </c:pt>
                <c:pt idx="2">
                  <c:v>0.36388888888888893</c:v>
                </c:pt>
                <c:pt idx="3">
                  <c:v>0.36388888888888893</c:v>
                </c:pt>
                <c:pt idx="4">
                  <c:v>0.36388888888888893</c:v>
                </c:pt>
                <c:pt idx="5">
                  <c:v>0.36388888888888893</c:v>
                </c:pt>
                <c:pt idx="6">
                  <c:v>0.36388888888888893</c:v>
                </c:pt>
                <c:pt idx="7">
                  <c:v>0.36388888888888893</c:v>
                </c:pt>
                <c:pt idx="8">
                  <c:v>0.36388888888888893</c:v>
                </c:pt>
                <c:pt idx="9">
                  <c:v>0.36388888888888893</c:v>
                </c:pt>
                <c:pt idx="10">
                  <c:v>0.36388888888888893</c:v>
                </c:pt>
                <c:pt idx="11">
                  <c:v>0.36388888888888893</c:v>
                </c:pt>
                <c:pt idx="12">
                  <c:v>0.36388888888888893</c:v>
                </c:pt>
                <c:pt idx="13">
                  <c:v>0.36388888888888893</c:v>
                </c:pt>
                <c:pt idx="14">
                  <c:v>0.36388888888888893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FC-4457-9F27-85057CE07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4">
                  <c:v>10488</c:v>
                </c:pt>
                <c:pt idx="5">
                  <c:v>3055</c:v>
                </c:pt>
                <c:pt idx="7">
                  <c:v>2086</c:v>
                </c:pt>
                <c:pt idx="9">
                  <c:v>7558</c:v>
                </c:pt>
                <c:pt idx="10">
                  <c:v>9052</c:v>
                </c:pt>
                <c:pt idx="11">
                  <c:v>24452</c:v>
                </c:pt>
                <c:pt idx="12">
                  <c:v>9284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54-4598-9803-DE3903BAB892}"/>
            </c:ext>
          </c:extLst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793</c:v>
                </c:pt>
                <c:pt idx="3">
                  <c:v>4267</c:v>
                </c:pt>
                <c:pt idx="4">
                  <c:v>10488</c:v>
                </c:pt>
                <c:pt idx="5">
                  <c:v>3055</c:v>
                </c:pt>
                <c:pt idx="6">
                  <c:v>2837</c:v>
                </c:pt>
                <c:pt idx="7">
                  <c:v>2086</c:v>
                </c:pt>
                <c:pt idx="8">
                  <c:v>640</c:v>
                </c:pt>
                <c:pt idx="9">
                  <c:v>7558</c:v>
                </c:pt>
                <c:pt idx="10">
                  <c:v>9052</c:v>
                </c:pt>
                <c:pt idx="11">
                  <c:v>24452</c:v>
                </c:pt>
                <c:pt idx="12">
                  <c:v>9284</c:v>
                </c:pt>
                <c:pt idx="13">
                  <c:v>5637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54-4598-9803-DE3903BAB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58%</c:v>
                </c:pt>
                <c:pt idx="5">
                  <c:v>63%</c:v>
                </c:pt>
                <c:pt idx="6">
                  <c:v>0%</c:v>
                </c:pt>
                <c:pt idx="7">
                  <c:v>83%</c:v>
                </c:pt>
                <c:pt idx="8">
                  <c:v>0%</c:v>
                </c:pt>
                <c:pt idx="9">
                  <c:v>100%</c:v>
                </c:pt>
                <c:pt idx="10">
                  <c:v>88%</c:v>
                </c:pt>
                <c:pt idx="11">
                  <c:v>100%</c:v>
                </c:pt>
                <c:pt idx="12">
                  <c:v>54%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0.58333333333333337</c:v>
                </c:pt>
                <c:pt idx="5">
                  <c:v>0.625</c:v>
                </c:pt>
                <c:pt idx="6">
                  <c:v>0</c:v>
                </c:pt>
                <c:pt idx="7">
                  <c:v>0.83333333333333337</c:v>
                </c:pt>
                <c:pt idx="8">
                  <c:v>0</c:v>
                </c:pt>
                <c:pt idx="9">
                  <c:v>1</c:v>
                </c:pt>
                <c:pt idx="10">
                  <c:v>0.875</c:v>
                </c:pt>
                <c:pt idx="11">
                  <c:v>1</c:v>
                </c:pt>
                <c:pt idx="12">
                  <c:v>0.54166666666666663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7B-4D7D-A217-B571BE5B703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7B-4D7D-A217-B571BE5B703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0.36388888888888893</c:v>
                </c:pt>
                <c:pt idx="1">
                  <c:v>0.36388888888888893</c:v>
                </c:pt>
                <c:pt idx="2">
                  <c:v>0.36388888888888893</c:v>
                </c:pt>
                <c:pt idx="3">
                  <c:v>0.36388888888888893</c:v>
                </c:pt>
                <c:pt idx="4">
                  <c:v>0.36388888888888893</c:v>
                </c:pt>
                <c:pt idx="5">
                  <c:v>0.36388888888888893</c:v>
                </c:pt>
                <c:pt idx="6">
                  <c:v>0.36388888888888893</c:v>
                </c:pt>
                <c:pt idx="7">
                  <c:v>0.36388888888888893</c:v>
                </c:pt>
                <c:pt idx="8">
                  <c:v>0.36388888888888893</c:v>
                </c:pt>
                <c:pt idx="9">
                  <c:v>0.36388888888888893</c:v>
                </c:pt>
                <c:pt idx="10">
                  <c:v>0.36388888888888893</c:v>
                </c:pt>
                <c:pt idx="11">
                  <c:v>0.36388888888888893</c:v>
                </c:pt>
                <c:pt idx="12">
                  <c:v>0.36388888888888893</c:v>
                </c:pt>
                <c:pt idx="13">
                  <c:v>0.36388888888888893</c:v>
                </c:pt>
                <c:pt idx="14">
                  <c:v>0.36388888888888893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7B-4D7D-A217-B571BE5B7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3BB-436B-9D32-FF6B1925FF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BB-436B-9D32-FF6B1925F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3BB-436B-9D32-FF6B1925FFA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BB-436B-9D32-FF6B1925F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4">
                  <c:v>22848</c:v>
                </c:pt>
                <c:pt idx="5">
                  <c:v>2201</c:v>
                </c:pt>
                <c:pt idx="9">
                  <c:v>2381</c:v>
                </c:pt>
                <c:pt idx="10">
                  <c:v>14066</c:v>
                </c:pt>
                <c:pt idx="11">
                  <c:v>25360</c:v>
                </c:pt>
                <c:pt idx="12">
                  <c:v>22304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A-4C82-B2DB-2880E02AABAB}"/>
            </c:ext>
          </c:extLst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793</c:v>
                </c:pt>
                <c:pt idx="3">
                  <c:v>4267</c:v>
                </c:pt>
                <c:pt idx="4">
                  <c:v>22848</c:v>
                </c:pt>
                <c:pt idx="5">
                  <c:v>2201</c:v>
                </c:pt>
                <c:pt idx="6">
                  <c:v>2837</c:v>
                </c:pt>
                <c:pt idx="7">
                  <c:v>2086</c:v>
                </c:pt>
                <c:pt idx="8">
                  <c:v>640</c:v>
                </c:pt>
                <c:pt idx="9">
                  <c:v>2381</c:v>
                </c:pt>
                <c:pt idx="10">
                  <c:v>14066</c:v>
                </c:pt>
                <c:pt idx="11">
                  <c:v>25360</c:v>
                </c:pt>
                <c:pt idx="12">
                  <c:v>22304</c:v>
                </c:pt>
                <c:pt idx="13">
                  <c:v>5637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1A-4C82-B2DB-2880E02AA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100%</c:v>
                </c:pt>
                <c:pt idx="5">
                  <c:v>42%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42%</c:v>
                </c:pt>
                <c:pt idx="10">
                  <c:v>100%</c:v>
                </c:pt>
                <c:pt idx="11">
                  <c:v>100%</c:v>
                </c:pt>
                <c:pt idx="12">
                  <c:v>96%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0.41666666666666669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0.41666666666666669</c:v>
                </c:pt>
                <c:pt idx="10">
                  <c:v>1</c:v>
                </c:pt>
                <c:pt idx="11">
                  <c:v>1</c:v>
                </c:pt>
                <c:pt idx="12">
                  <c:v>0.95833333333333337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41-4E1B-A938-4F0285E9B13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41-4E1B-A938-4F0285E9B13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0.31944444444444448</c:v>
                </c:pt>
                <c:pt idx="1">
                  <c:v>0.31944444444444448</c:v>
                </c:pt>
                <c:pt idx="2">
                  <c:v>0.31944444444444448</c:v>
                </c:pt>
                <c:pt idx="3">
                  <c:v>0.31944444444444448</c:v>
                </c:pt>
                <c:pt idx="4">
                  <c:v>0.31944444444444448</c:v>
                </c:pt>
                <c:pt idx="5">
                  <c:v>0.31944444444444448</c:v>
                </c:pt>
                <c:pt idx="6">
                  <c:v>0.31944444444444448</c:v>
                </c:pt>
                <c:pt idx="7">
                  <c:v>0.31944444444444448</c:v>
                </c:pt>
                <c:pt idx="8">
                  <c:v>0.31944444444444448</c:v>
                </c:pt>
                <c:pt idx="9">
                  <c:v>0.31944444444444448</c:v>
                </c:pt>
                <c:pt idx="10">
                  <c:v>0.31944444444444448</c:v>
                </c:pt>
                <c:pt idx="11">
                  <c:v>0.31944444444444448</c:v>
                </c:pt>
                <c:pt idx="12">
                  <c:v>0.31944444444444448</c:v>
                </c:pt>
                <c:pt idx="13">
                  <c:v>0.31944444444444448</c:v>
                </c:pt>
                <c:pt idx="14">
                  <c:v>0.31944444444444448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41-4E1B-A938-4F0285E9B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4">
                  <c:v>22848</c:v>
                </c:pt>
                <c:pt idx="5">
                  <c:v>2201</c:v>
                </c:pt>
                <c:pt idx="9">
                  <c:v>2381</c:v>
                </c:pt>
                <c:pt idx="10">
                  <c:v>14066</c:v>
                </c:pt>
                <c:pt idx="11">
                  <c:v>25360</c:v>
                </c:pt>
                <c:pt idx="12">
                  <c:v>22304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1-4F38-AABD-F3D01500A1D7}"/>
            </c:ext>
          </c:extLst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793</c:v>
                </c:pt>
                <c:pt idx="3">
                  <c:v>4267</c:v>
                </c:pt>
                <c:pt idx="4">
                  <c:v>22848</c:v>
                </c:pt>
                <c:pt idx="5">
                  <c:v>2201</c:v>
                </c:pt>
                <c:pt idx="6">
                  <c:v>2837</c:v>
                </c:pt>
                <c:pt idx="7">
                  <c:v>2086</c:v>
                </c:pt>
                <c:pt idx="8">
                  <c:v>640</c:v>
                </c:pt>
                <c:pt idx="9">
                  <c:v>2381</c:v>
                </c:pt>
                <c:pt idx="10">
                  <c:v>14066</c:v>
                </c:pt>
                <c:pt idx="11">
                  <c:v>25360</c:v>
                </c:pt>
                <c:pt idx="12">
                  <c:v>22304</c:v>
                </c:pt>
                <c:pt idx="13">
                  <c:v>5637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61-4F38-AABD-F3D01500A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100%</c:v>
                </c:pt>
                <c:pt idx="5">
                  <c:v>42%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42%</c:v>
                </c:pt>
                <c:pt idx="10">
                  <c:v>100%</c:v>
                </c:pt>
                <c:pt idx="11">
                  <c:v>100%</c:v>
                </c:pt>
                <c:pt idx="12">
                  <c:v>96%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0.41666666666666669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0.41666666666666669</c:v>
                </c:pt>
                <c:pt idx="10">
                  <c:v>1</c:v>
                </c:pt>
                <c:pt idx="11">
                  <c:v>1</c:v>
                </c:pt>
                <c:pt idx="12">
                  <c:v>0.95833333333333337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00-45EB-92F0-8219CF5BF53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0-45EB-92F0-8219CF5BF53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0.31944444444444448</c:v>
                </c:pt>
                <c:pt idx="1">
                  <c:v>0.31944444444444448</c:v>
                </c:pt>
                <c:pt idx="2">
                  <c:v>0.31944444444444448</c:v>
                </c:pt>
                <c:pt idx="3">
                  <c:v>0.31944444444444448</c:v>
                </c:pt>
                <c:pt idx="4">
                  <c:v>0.31944444444444448</c:v>
                </c:pt>
                <c:pt idx="5">
                  <c:v>0.31944444444444448</c:v>
                </c:pt>
                <c:pt idx="6">
                  <c:v>0.31944444444444448</c:v>
                </c:pt>
                <c:pt idx="7">
                  <c:v>0.31944444444444448</c:v>
                </c:pt>
                <c:pt idx="8">
                  <c:v>0.31944444444444448</c:v>
                </c:pt>
                <c:pt idx="9">
                  <c:v>0.31944444444444448</c:v>
                </c:pt>
                <c:pt idx="10">
                  <c:v>0.31944444444444448</c:v>
                </c:pt>
                <c:pt idx="11">
                  <c:v>0.31944444444444448</c:v>
                </c:pt>
                <c:pt idx="12">
                  <c:v>0.31944444444444448</c:v>
                </c:pt>
                <c:pt idx="13">
                  <c:v>0.31944444444444448</c:v>
                </c:pt>
                <c:pt idx="14">
                  <c:v>0.31944444444444448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00-45EB-92F0-8219CF5BF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0CF-49A6-BCCD-A79B668AB5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CF-49A6-BCCD-A79B668AB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0CF-49A6-BCCD-A79B668AB5D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CF-49A6-BCCD-A79B668AB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'21'!$L$6:$L$20</c:f>
              <c:numCache>
                <c:formatCode>_(* #,##0_);_(* \(#,##0\);_(* "-"_);_(@_)</c:formatCode>
                <c:ptCount val="15"/>
                <c:pt idx="4">
                  <c:v>8370</c:v>
                </c:pt>
                <c:pt idx="7">
                  <c:v>2961</c:v>
                </c:pt>
                <c:pt idx="8">
                  <c:v>375</c:v>
                </c:pt>
                <c:pt idx="10">
                  <c:v>13010</c:v>
                </c:pt>
                <c:pt idx="11">
                  <c:v>22764</c:v>
                </c:pt>
                <c:pt idx="12">
                  <c:v>15876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1-4DB4-A833-C56BDF3D4E1D}"/>
            </c:ext>
          </c:extLst>
        </c:ser>
        <c:ser>
          <c:idx val="1"/>
          <c:order val="1"/>
          <c:tx>
            <c:v>계획</c:v>
          </c:tx>
          <c:cat>
            <c:strRef>
              <c:f>'21'!$D$6:$D$20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793</c:v>
                </c:pt>
                <c:pt idx="3">
                  <c:v>4267</c:v>
                </c:pt>
                <c:pt idx="4">
                  <c:v>8370</c:v>
                </c:pt>
                <c:pt idx="5">
                  <c:v>2201</c:v>
                </c:pt>
                <c:pt idx="6">
                  <c:v>2837</c:v>
                </c:pt>
                <c:pt idx="7">
                  <c:v>2961</c:v>
                </c:pt>
                <c:pt idx="8">
                  <c:v>375</c:v>
                </c:pt>
                <c:pt idx="9">
                  <c:v>2381</c:v>
                </c:pt>
                <c:pt idx="10">
                  <c:v>13010</c:v>
                </c:pt>
                <c:pt idx="11">
                  <c:v>22764</c:v>
                </c:pt>
                <c:pt idx="12">
                  <c:v>15876</c:v>
                </c:pt>
                <c:pt idx="13">
                  <c:v>5637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1-4DB4-A833-C56BDF3D4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83%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92%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0.83333333333333337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0.91666666666666663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8-4484-817D-0D6378C73E0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E48-4484-817D-0D6378C73E0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'21'!$AE$6:$AE$20</c:f>
              <c:numCache>
                <c:formatCode>0%</c:formatCode>
                <c:ptCount val="15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48-4484-817D-0D6378C73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'21'!$L$6:$L$20</c:f>
              <c:numCache>
                <c:formatCode>_(* #,##0_);_(* \(#,##0\);_(* "-"_);_(@_)</c:formatCode>
                <c:ptCount val="15"/>
                <c:pt idx="4">
                  <c:v>8370</c:v>
                </c:pt>
                <c:pt idx="7">
                  <c:v>2961</c:v>
                </c:pt>
                <c:pt idx="8">
                  <c:v>375</c:v>
                </c:pt>
                <c:pt idx="10">
                  <c:v>13010</c:v>
                </c:pt>
                <c:pt idx="11">
                  <c:v>22764</c:v>
                </c:pt>
                <c:pt idx="12">
                  <c:v>15876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5-4310-AEE9-1A9AA6073700}"/>
            </c:ext>
          </c:extLst>
        </c:ser>
        <c:ser>
          <c:idx val="1"/>
          <c:order val="1"/>
          <c:tx>
            <c:v>계획</c:v>
          </c:tx>
          <c:cat>
            <c:strRef>
              <c:f>'21'!$D$6:$D$20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793</c:v>
                </c:pt>
                <c:pt idx="3">
                  <c:v>4267</c:v>
                </c:pt>
                <c:pt idx="4">
                  <c:v>8370</c:v>
                </c:pt>
                <c:pt idx="5">
                  <c:v>2201</c:v>
                </c:pt>
                <c:pt idx="6">
                  <c:v>2837</c:v>
                </c:pt>
                <c:pt idx="7">
                  <c:v>2961</c:v>
                </c:pt>
                <c:pt idx="8">
                  <c:v>375</c:v>
                </c:pt>
                <c:pt idx="9">
                  <c:v>2381</c:v>
                </c:pt>
                <c:pt idx="10">
                  <c:v>13010</c:v>
                </c:pt>
                <c:pt idx="11">
                  <c:v>22764</c:v>
                </c:pt>
                <c:pt idx="12">
                  <c:v>15876</c:v>
                </c:pt>
                <c:pt idx="13">
                  <c:v>5637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D5-4310-AEE9-1A9AA6073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83%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92%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0.83333333333333337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0.91666666666666663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1A-4D8D-9670-369EF601FF3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1A-4D8D-9670-369EF601FF3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Receptacle(GUIDE없음)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'21'!$AE$6:$AE$20</c:f>
              <c:numCache>
                <c:formatCode>0%</c:formatCode>
                <c:ptCount val="15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1A-4D8D-9670-369EF601F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63E-41FF-9699-7BAA8833D3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3E-41FF-9699-7BAA8833D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63E-41FF-9699-7BAA8833D3F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3E-41FF-9699-7BAA8833D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'22'!$L$6:$L$20</c:f>
              <c:numCache>
                <c:formatCode>_(* #,##0_);_(* \(#,##0\);_(* "-"_);_(@_)</c:formatCode>
                <c:ptCount val="15"/>
                <c:pt idx="6">
                  <c:v>1005</c:v>
                </c:pt>
                <c:pt idx="7">
                  <c:v>3418</c:v>
                </c:pt>
                <c:pt idx="10">
                  <c:v>14610</c:v>
                </c:pt>
                <c:pt idx="12">
                  <c:v>16404</c:v>
                </c:pt>
                <c:pt idx="14">
                  <c:v>10712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2-48E7-B90F-8FA674210874}"/>
            </c:ext>
          </c:extLst>
        </c:ser>
        <c:ser>
          <c:idx val="1"/>
          <c:order val="1"/>
          <c:tx>
            <c:v>계획</c:v>
          </c:tx>
          <c:cat>
            <c:strRef>
              <c:f>'22'!$D$6:$D$20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793</c:v>
                </c:pt>
                <c:pt idx="3">
                  <c:v>4267</c:v>
                </c:pt>
                <c:pt idx="4">
                  <c:v>8370</c:v>
                </c:pt>
                <c:pt idx="5">
                  <c:v>2201</c:v>
                </c:pt>
                <c:pt idx="6">
                  <c:v>1005</c:v>
                </c:pt>
                <c:pt idx="7">
                  <c:v>3418</c:v>
                </c:pt>
                <c:pt idx="8">
                  <c:v>375</c:v>
                </c:pt>
                <c:pt idx="9">
                  <c:v>2381</c:v>
                </c:pt>
                <c:pt idx="10">
                  <c:v>14610</c:v>
                </c:pt>
                <c:pt idx="11">
                  <c:v>22764</c:v>
                </c:pt>
                <c:pt idx="12">
                  <c:v>16404</c:v>
                </c:pt>
                <c:pt idx="13">
                  <c:v>5637</c:v>
                </c:pt>
                <c:pt idx="14">
                  <c:v>10712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12-48E7-B90F-8FA674210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29%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96%</c:v>
                </c:pt>
                <c:pt idx="13">
                  <c:v>0%</c:v>
                </c:pt>
                <c:pt idx="14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0.29166666666666669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0.95833333333333337</c:v>
                </c:pt>
                <c:pt idx="13">
                  <c:v>0</c:v>
                </c:pt>
                <c:pt idx="1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83-4083-9CCC-CB04C49B5F4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83-4083-9CCC-CB04C49B5F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'22'!$AE$6:$AE$20</c:f>
              <c:numCache>
                <c:formatCode>0%</c:formatCode>
                <c:ptCount val="15"/>
                <c:pt idx="0">
                  <c:v>0.2388888888888889</c:v>
                </c:pt>
                <c:pt idx="1">
                  <c:v>0.2388888888888889</c:v>
                </c:pt>
                <c:pt idx="2">
                  <c:v>0.2388888888888889</c:v>
                </c:pt>
                <c:pt idx="3">
                  <c:v>0.2388888888888889</c:v>
                </c:pt>
                <c:pt idx="4">
                  <c:v>0.2388888888888889</c:v>
                </c:pt>
                <c:pt idx="5">
                  <c:v>0.2388888888888889</c:v>
                </c:pt>
                <c:pt idx="6">
                  <c:v>0.2388888888888889</c:v>
                </c:pt>
                <c:pt idx="7">
                  <c:v>0.2388888888888889</c:v>
                </c:pt>
                <c:pt idx="8">
                  <c:v>0.2388888888888889</c:v>
                </c:pt>
                <c:pt idx="9">
                  <c:v>0.2388888888888889</c:v>
                </c:pt>
                <c:pt idx="10">
                  <c:v>0.2388888888888889</c:v>
                </c:pt>
                <c:pt idx="11">
                  <c:v>0.2388888888888889</c:v>
                </c:pt>
                <c:pt idx="12">
                  <c:v>0.2388888888888889</c:v>
                </c:pt>
                <c:pt idx="13">
                  <c:v>0.2388888888888889</c:v>
                </c:pt>
                <c:pt idx="14">
                  <c:v>0.2388888888888889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83-4083-9CCC-CB04C49B5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'22'!$L$6:$L$20</c:f>
              <c:numCache>
                <c:formatCode>_(* #,##0_);_(* \(#,##0\);_(* "-"_);_(@_)</c:formatCode>
                <c:ptCount val="15"/>
                <c:pt idx="6">
                  <c:v>1005</c:v>
                </c:pt>
                <c:pt idx="7">
                  <c:v>3418</c:v>
                </c:pt>
                <c:pt idx="10">
                  <c:v>14610</c:v>
                </c:pt>
                <c:pt idx="12">
                  <c:v>16404</c:v>
                </c:pt>
                <c:pt idx="14">
                  <c:v>10712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23-4247-84D8-4431AC69CF41}"/>
            </c:ext>
          </c:extLst>
        </c:ser>
        <c:ser>
          <c:idx val="1"/>
          <c:order val="1"/>
          <c:tx>
            <c:v>계획</c:v>
          </c:tx>
          <c:cat>
            <c:strRef>
              <c:f>'22'!$D$6:$D$20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793</c:v>
                </c:pt>
                <c:pt idx="3">
                  <c:v>4267</c:v>
                </c:pt>
                <c:pt idx="4">
                  <c:v>8370</c:v>
                </c:pt>
                <c:pt idx="5">
                  <c:v>2201</c:v>
                </c:pt>
                <c:pt idx="6">
                  <c:v>1005</c:v>
                </c:pt>
                <c:pt idx="7">
                  <c:v>3418</c:v>
                </c:pt>
                <c:pt idx="8">
                  <c:v>375</c:v>
                </c:pt>
                <c:pt idx="9">
                  <c:v>2381</c:v>
                </c:pt>
                <c:pt idx="10">
                  <c:v>14610</c:v>
                </c:pt>
                <c:pt idx="11">
                  <c:v>22764</c:v>
                </c:pt>
                <c:pt idx="12">
                  <c:v>16404</c:v>
                </c:pt>
                <c:pt idx="13">
                  <c:v>5637</c:v>
                </c:pt>
                <c:pt idx="14">
                  <c:v>10712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23-4247-84D8-4431AC69C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29%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96%</c:v>
                </c:pt>
                <c:pt idx="13">
                  <c:v>0%</c:v>
                </c:pt>
                <c:pt idx="14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0.29166666666666669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0.95833333333333337</c:v>
                </c:pt>
                <c:pt idx="13">
                  <c:v>0</c:v>
                </c:pt>
                <c:pt idx="1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1-449A-B050-4B2C8BDF1DF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51-449A-B050-4B2C8BDF1DF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'22'!$D$6:$D$20</c:f>
              <c:strCache>
                <c:ptCount val="14"/>
                <c:pt idx="2">
                  <c:v>TOP/BOTTOM</c:v>
                </c:pt>
                <c:pt idx="3">
                  <c:v>BODY</c:v>
                </c:pt>
                <c:pt idx="4">
                  <c:v>STOPPER</c:v>
                </c:pt>
                <c:pt idx="5">
                  <c:v>ACTUATOR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'22'!$AE$6:$AE$20</c:f>
              <c:numCache>
                <c:formatCode>0%</c:formatCode>
                <c:ptCount val="15"/>
                <c:pt idx="0">
                  <c:v>0.2388888888888889</c:v>
                </c:pt>
                <c:pt idx="1">
                  <c:v>0.2388888888888889</c:v>
                </c:pt>
                <c:pt idx="2">
                  <c:v>0.2388888888888889</c:v>
                </c:pt>
                <c:pt idx="3">
                  <c:v>0.2388888888888889</c:v>
                </c:pt>
                <c:pt idx="4">
                  <c:v>0.2388888888888889</c:v>
                </c:pt>
                <c:pt idx="5">
                  <c:v>0.2388888888888889</c:v>
                </c:pt>
                <c:pt idx="6">
                  <c:v>0.2388888888888889</c:v>
                </c:pt>
                <c:pt idx="7">
                  <c:v>0.2388888888888889</c:v>
                </c:pt>
                <c:pt idx="8">
                  <c:v>0.2388888888888889</c:v>
                </c:pt>
                <c:pt idx="9">
                  <c:v>0.2388888888888889</c:v>
                </c:pt>
                <c:pt idx="10">
                  <c:v>0.2388888888888889</c:v>
                </c:pt>
                <c:pt idx="11">
                  <c:v>0.2388888888888889</c:v>
                </c:pt>
                <c:pt idx="12">
                  <c:v>0.2388888888888889</c:v>
                </c:pt>
                <c:pt idx="13">
                  <c:v>0.2388888888888889</c:v>
                </c:pt>
                <c:pt idx="14">
                  <c:v>0.2388888888888889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51-449A-B050-4B2C8BDF1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F33-4833-8A43-9070FDD25F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33-4833-8A43-9070FDD25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F33-4833-8A43-9070FDD25FA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33-4833-8A43-9070FDD25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4"/>
                <c:pt idx="2">
                  <c:v>TOP/BOTTOM</c:v>
                </c:pt>
                <c:pt idx="3">
                  <c:v>SLIDER</c:v>
                </c:pt>
                <c:pt idx="4">
                  <c:v>STOPPER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3">
                  <c:v>3005</c:v>
                </c:pt>
                <c:pt idx="6">
                  <c:v>2891</c:v>
                </c:pt>
                <c:pt idx="11">
                  <c:v>20226</c:v>
                </c:pt>
                <c:pt idx="12">
                  <c:v>2524</c:v>
                </c:pt>
                <c:pt idx="13">
                  <c:v>16660</c:v>
                </c:pt>
                <c:pt idx="14">
                  <c:v>37244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6F-44E7-A5B1-EC1BAEF29395}"/>
            </c:ext>
          </c:extLst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4"/>
                <c:pt idx="2">
                  <c:v>TOP/BOTTOM</c:v>
                </c:pt>
                <c:pt idx="3">
                  <c:v>SLIDER</c:v>
                </c:pt>
                <c:pt idx="4">
                  <c:v>STOPPER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793</c:v>
                </c:pt>
                <c:pt idx="3">
                  <c:v>3005</c:v>
                </c:pt>
                <c:pt idx="4">
                  <c:v>8370</c:v>
                </c:pt>
                <c:pt idx="5">
                  <c:v>2201</c:v>
                </c:pt>
                <c:pt idx="6">
                  <c:v>2891</c:v>
                </c:pt>
                <c:pt idx="7">
                  <c:v>3418</c:v>
                </c:pt>
                <c:pt idx="8">
                  <c:v>375</c:v>
                </c:pt>
                <c:pt idx="9">
                  <c:v>2381</c:v>
                </c:pt>
                <c:pt idx="10">
                  <c:v>14610</c:v>
                </c:pt>
                <c:pt idx="11">
                  <c:v>20226</c:v>
                </c:pt>
                <c:pt idx="12">
                  <c:v>2524</c:v>
                </c:pt>
                <c:pt idx="13">
                  <c:v>16660</c:v>
                </c:pt>
                <c:pt idx="14">
                  <c:v>37244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6F-44E7-A5B1-EC1BAEF29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58%</c:v>
                </c:pt>
                <c:pt idx="4">
                  <c:v>0%</c:v>
                </c:pt>
                <c:pt idx="5">
                  <c:v>0%</c:v>
                </c:pt>
                <c:pt idx="6">
                  <c:v>71%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92%</c:v>
                </c:pt>
                <c:pt idx="12">
                  <c:v>58%</c:v>
                </c:pt>
                <c:pt idx="13">
                  <c:v>88%</c:v>
                </c:pt>
                <c:pt idx="14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2">
                  <c:v>TOP/BOTTOM</c:v>
                </c:pt>
                <c:pt idx="3">
                  <c:v>SLIDER</c:v>
                </c:pt>
                <c:pt idx="4">
                  <c:v>STOPPER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0.58333333333333337</c:v>
                </c:pt>
                <c:pt idx="4">
                  <c:v>0</c:v>
                </c:pt>
                <c:pt idx="5">
                  <c:v>0</c:v>
                </c:pt>
                <c:pt idx="6">
                  <c:v>0.70833333333333337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0.91666666666666663</c:v>
                </c:pt>
                <c:pt idx="12">
                  <c:v>0.58333333333333337</c:v>
                </c:pt>
                <c:pt idx="13">
                  <c:v>0.875</c:v>
                </c:pt>
                <c:pt idx="1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4F-4F18-BC10-93820D758D8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4F-4F18-BC10-93820D758D8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2">
                  <c:v>TOP/BOTTOM</c:v>
                </c:pt>
                <c:pt idx="3">
                  <c:v>SLIDER</c:v>
                </c:pt>
                <c:pt idx="4">
                  <c:v>STOPPER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0.27777777777777779</c:v>
                </c:pt>
                <c:pt idx="1">
                  <c:v>0.27777777777777779</c:v>
                </c:pt>
                <c:pt idx="2">
                  <c:v>0.27777777777777779</c:v>
                </c:pt>
                <c:pt idx="3">
                  <c:v>0.27777777777777779</c:v>
                </c:pt>
                <c:pt idx="4">
                  <c:v>0.27777777777777779</c:v>
                </c:pt>
                <c:pt idx="5">
                  <c:v>0.27777777777777779</c:v>
                </c:pt>
                <c:pt idx="6">
                  <c:v>0.27777777777777779</c:v>
                </c:pt>
                <c:pt idx="7">
                  <c:v>0.27777777777777779</c:v>
                </c:pt>
                <c:pt idx="8">
                  <c:v>0.27777777777777779</c:v>
                </c:pt>
                <c:pt idx="9">
                  <c:v>0.27777777777777779</c:v>
                </c:pt>
                <c:pt idx="10">
                  <c:v>0.27777777777777779</c:v>
                </c:pt>
                <c:pt idx="11">
                  <c:v>0.27777777777777779</c:v>
                </c:pt>
                <c:pt idx="12">
                  <c:v>0.27777777777777779</c:v>
                </c:pt>
                <c:pt idx="13">
                  <c:v>0.27777777777777779</c:v>
                </c:pt>
                <c:pt idx="14">
                  <c:v>0.27777777777777779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4F-4F18-BC10-93820D758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4"/>
                <c:pt idx="2">
                  <c:v>TOP/BOTTOM</c:v>
                </c:pt>
                <c:pt idx="3">
                  <c:v>SLIDER</c:v>
                </c:pt>
                <c:pt idx="4">
                  <c:v>STOPPER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3">
                  <c:v>3005</c:v>
                </c:pt>
                <c:pt idx="6">
                  <c:v>2891</c:v>
                </c:pt>
                <c:pt idx="11">
                  <c:v>20226</c:v>
                </c:pt>
                <c:pt idx="12">
                  <c:v>2524</c:v>
                </c:pt>
                <c:pt idx="13">
                  <c:v>16660</c:v>
                </c:pt>
                <c:pt idx="14">
                  <c:v>37244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A7-4D12-9601-EF070ED3F270}"/>
            </c:ext>
          </c:extLst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4"/>
                <c:pt idx="2">
                  <c:v>TOP/BOTTOM</c:v>
                </c:pt>
                <c:pt idx="3">
                  <c:v>SLIDER</c:v>
                </c:pt>
                <c:pt idx="4">
                  <c:v>STOPPER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793</c:v>
                </c:pt>
                <c:pt idx="3">
                  <c:v>3005</c:v>
                </c:pt>
                <c:pt idx="4">
                  <c:v>8370</c:v>
                </c:pt>
                <c:pt idx="5">
                  <c:v>2201</c:v>
                </c:pt>
                <c:pt idx="6">
                  <c:v>2891</c:v>
                </c:pt>
                <c:pt idx="7">
                  <c:v>3418</c:v>
                </c:pt>
                <c:pt idx="8">
                  <c:v>375</c:v>
                </c:pt>
                <c:pt idx="9">
                  <c:v>2381</c:v>
                </c:pt>
                <c:pt idx="10">
                  <c:v>14610</c:v>
                </c:pt>
                <c:pt idx="11">
                  <c:v>20226</c:v>
                </c:pt>
                <c:pt idx="12">
                  <c:v>2524</c:v>
                </c:pt>
                <c:pt idx="13">
                  <c:v>16660</c:v>
                </c:pt>
                <c:pt idx="14">
                  <c:v>37244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A7-4D12-9601-EF070ED3F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58%</c:v>
                </c:pt>
                <c:pt idx="4">
                  <c:v>0%</c:v>
                </c:pt>
                <c:pt idx="5">
                  <c:v>0%</c:v>
                </c:pt>
                <c:pt idx="6">
                  <c:v>71%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92%</c:v>
                </c:pt>
                <c:pt idx="12">
                  <c:v>58%</c:v>
                </c:pt>
                <c:pt idx="13">
                  <c:v>88%</c:v>
                </c:pt>
                <c:pt idx="14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2">
                  <c:v>TOP/BOTTOM</c:v>
                </c:pt>
                <c:pt idx="3">
                  <c:v>SLIDER</c:v>
                </c:pt>
                <c:pt idx="4">
                  <c:v>STOPPER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0.58333333333333337</c:v>
                </c:pt>
                <c:pt idx="4">
                  <c:v>0</c:v>
                </c:pt>
                <c:pt idx="5">
                  <c:v>0</c:v>
                </c:pt>
                <c:pt idx="6">
                  <c:v>0.70833333333333337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0.91666666666666663</c:v>
                </c:pt>
                <c:pt idx="12">
                  <c:v>0.58333333333333337</c:v>
                </c:pt>
                <c:pt idx="13">
                  <c:v>0.875</c:v>
                </c:pt>
                <c:pt idx="1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F-4079-8392-6AB5FBDD358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BEF-4079-8392-6AB5FBDD358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2">
                  <c:v>TOP/BOTTOM</c:v>
                </c:pt>
                <c:pt idx="3">
                  <c:v>SLIDER</c:v>
                </c:pt>
                <c:pt idx="4">
                  <c:v>STOPPER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0.27777777777777779</c:v>
                </c:pt>
                <c:pt idx="1">
                  <c:v>0.27777777777777779</c:v>
                </c:pt>
                <c:pt idx="2">
                  <c:v>0.27777777777777779</c:v>
                </c:pt>
                <c:pt idx="3">
                  <c:v>0.27777777777777779</c:v>
                </c:pt>
                <c:pt idx="4">
                  <c:v>0.27777777777777779</c:v>
                </c:pt>
                <c:pt idx="5">
                  <c:v>0.27777777777777779</c:v>
                </c:pt>
                <c:pt idx="6">
                  <c:v>0.27777777777777779</c:v>
                </c:pt>
                <c:pt idx="7">
                  <c:v>0.27777777777777779</c:v>
                </c:pt>
                <c:pt idx="8">
                  <c:v>0.27777777777777779</c:v>
                </c:pt>
                <c:pt idx="9">
                  <c:v>0.27777777777777779</c:v>
                </c:pt>
                <c:pt idx="10">
                  <c:v>0.27777777777777779</c:v>
                </c:pt>
                <c:pt idx="11">
                  <c:v>0.27777777777777779</c:v>
                </c:pt>
                <c:pt idx="12">
                  <c:v>0.27777777777777779</c:v>
                </c:pt>
                <c:pt idx="13">
                  <c:v>0.27777777777777779</c:v>
                </c:pt>
                <c:pt idx="14">
                  <c:v>0.27777777777777779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EF-4079-8392-6AB5FBDD3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82F-496C-9E6B-F032D1768C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2F-496C-9E6B-F032D1768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82F-496C-9E6B-F032D1768CC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2F-496C-9E6B-F032D1768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'24'!$D$6:$D$20</c:f>
              <c:strCache>
                <c:ptCount val="14"/>
                <c:pt idx="2">
                  <c:v>TOP/BOTTOM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'24'!$L$6:$L$20</c:f>
              <c:numCache>
                <c:formatCode>_(* #,##0_);_(* \(#,##0\);_(* "-"_);_(@_)</c:formatCode>
                <c:ptCount val="15"/>
                <c:pt idx="3">
                  <c:v>5082</c:v>
                </c:pt>
                <c:pt idx="5">
                  <c:v>1583</c:v>
                </c:pt>
                <c:pt idx="6">
                  <c:v>162624</c:v>
                </c:pt>
                <c:pt idx="11">
                  <c:v>21507</c:v>
                </c:pt>
                <c:pt idx="12">
                  <c:v>1666</c:v>
                </c:pt>
                <c:pt idx="13">
                  <c:v>17141</c:v>
                </c:pt>
                <c:pt idx="14">
                  <c:v>84476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91-4773-8DA6-2EAAC013247C}"/>
            </c:ext>
          </c:extLst>
        </c:ser>
        <c:ser>
          <c:idx val="1"/>
          <c:order val="1"/>
          <c:tx>
            <c:v>계획</c:v>
          </c:tx>
          <c:cat>
            <c:strRef>
              <c:f>'24'!$D$6:$D$20</c:f>
              <c:strCache>
                <c:ptCount val="14"/>
                <c:pt idx="2">
                  <c:v>TOP/BOTTOM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'24'!$J$6:$J$20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793</c:v>
                </c:pt>
                <c:pt idx="3">
                  <c:v>5082</c:v>
                </c:pt>
                <c:pt idx="4">
                  <c:v>8370</c:v>
                </c:pt>
                <c:pt idx="5">
                  <c:v>1583</c:v>
                </c:pt>
                <c:pt idx="6">
                  <c:v>162624</c:v>
                </c:pt>
                <c:pt idx="7">
                  <c:v>3418</c:v>
                </c:pt>
                <c:pt idx="8">
                  <c:v>375</c:v>
                </c:pt>
                <c:pt idx="9">
                  <c:v>2381</c:v>
                </c:pt>
                <c:pt idx="10">
                  <c:v>14610</c:v>
                </c:pt>
                <c:pt idx="11">
                  <c:v>21507</c:v>
                </c:pt>
                <c:pt idx="12">
                  <c:v>1666</c:v>
                </c:pt>
                <c:pt idx="13">
                  <c:v>17141</c:v>
                </c:pt>
                <c:pt idx="14">
                  <c:v>84476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91-4773-8DA6-2EAAC0132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38%</c:v>
                </c:pt>
                <c:pt idx="6">
                  <c:v>88%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25%</c:v>
                </c:pt>
                <c:pt idx="13">
                  <c:v>100%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'24'!$D$6:$D$20</c:f>
              <c:strCache>
                <c:ptCount val="14"/>
                <c:pt idx="2">
                  <c:v>TOP/BOTTOM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0.375</c:v>
                </c:pt>
                <c:pt idx="6">
                  <c:v>0.875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0.25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03-4CAA-ADB9-DA6631FAFF0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03-4CAA-ADB9-DA6631FAFF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'24'!$D$6:$D$20</c:f>
              <c:strCache>
                <c:ptCount val="14"/>
                <c:pt idx="2">
                  <c:v>TOP/BOTTOM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'24'!$AE$6:$AE$20</c:f>
              <c:numCache>
                <c:formatCode>0%</c:formatCode>
                <c:ptCount val="15"/>
                <c:pt idx="0">
                  <c:v>0.36666666666666664</c:v>
                </c:pt>
                <c:pt idx="1">
                  <c:v>0.36666666666666664</c:v>
                </c:pt>
                <c:pt idx="2">
                  <c:v>0.36666666666666664</c:v>
                </c:pt>
                <c:pt idx="3">
                  <c:v>0.36666666666666664</c:v>
                </c:pt>
                <c:pt idx="4">
                  <c:v>0.36666666666666664</c:v>
                </c:pt>
                <c:pt idx="5">
                  <c:v>0.36666666666666664</c:v>
                </c:pt>
                <c:pt idx="6">
                  <c:v>0.36666666666666664</c:v>
                </c:pt>
                <c:pt idx="7">
                  <c:v>0.36666666666666664</c:v>
                </c:pt>
                <c:pt idx="8">
                  <c:v>0.36666666666666664</c:v>
                </c:pt>
                <c:pt idx="9">
                  <c:v>0.36666666666666664</c:v>
                </c:pt>
                <c:pt idx="10">
                  <c:v>0.36666666666666664</c:v>
                </c:pt>
                <c:pt idx="11">
                  <c:v>0.36666666666666664</c:v>
                </c:pt>
                <c:pt idx="12">
                  <c:v>0.36666666666666664</c:v>
                </c:pt>
                <c:pt idx="13">
                  <c:v>0.36666666666666664</c:v>
                </c:pt>
                <c:pt idx="14">
                  <c:v>0.36666666666666664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03-4CAA-ADB9-DA6631FAF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'24'!$D$6:$D$20</c:f>
              <c:strCache>
                <c:ptCount val="14"/>
                <c:pt idx="2">
                  <c:v>TOP/BOTTOM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'24'!$L$6:$L$20</c:f>
              <c:numCache>
                <c:formatCode>_(* #,##0_);_(* \(#,##0\);_(* "-"_);_(@_)</c:formatCode>
                <c:ptCount val="15"/>
                <c:pt idx="3">
                  <c:v>5082</c:v>
                </c:pt>
                <c:pt idx="5">
                  <c:v>1583</c:v>
                </c:pt>
                <c:pt idx="6">
                  <c:v>162624</c:v>
                </c:pt>
                <c:pt idx="11">
                  <c:v>21507</c:v>
                </c:pt>
                <c:pt idx="12">
                  <c:v>1666</c:v>
                </c:pt>
                <c:pt idx="13">
                  <c:v>17141</c:v>
                </c:pt>
                <c:pt idx="14">
                  <c:v>84476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0-45C6-BFBD-CB3551E9AB17}"/>
            </c:ext>
          </c:extLst>
        </c:ser>
        <c:ser>
          <c:idx val="1"/>
          <c:order val="1"/>
          <c:tx>
            <c:v>계획</c:v>
          </c:tx>
          <c:cat>
            <c:strRef>
              <c:f>'24'!$D$6:$D$20</c:f>
              <c:strCache>
                <c:ptCount val="14"/>
                <c:pt idx="2">
                  <c:v>TOP/BOTTOM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'24'!$J$6:$J$20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793</c:v>
                </c:pt>
                <c:pt idx="3">
                  <c:v>5082</c:v>
                </c:pt>
                <c:pt idx="4">
                  <c:v>8370</c:v>
                </c:pt>
                <c:pt idx="5">
                  <c:v>1583</c:v>
                </c:pt>
                <c:pt idx="6">
                  <c:v>162624</c:v>
                </c:pt>
                <c:pt idx="7">
                  <c:v>3418</c:v>
                </c:pt>
                <c:pt idx="8">
                  <c:v>375</c:v>
                </c:pt>
                <c:pt idx="9">
                  <c:v>2381</c:v>
                </c:pt>
                <c:pt idx="10">
                  <c:v>14610</c:v>
                </c:pt>
                <c:pt idx="11">
                  <c:v>21507</c:v>
                </c:pt>
                <c:pt idx="12">
                  <c:v>1666</c:v>
                </c:pt>
                <c:pt idx="13">
                  <c:v>17141</c:v>
                </c:pt>
                <c:pt idx="14">
                  <c:v>84476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80-45C6-BFBD-CB3551E9A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38%</c:v>
                </c:pt>
                <c:pt idx="6">
                  <c:v>88%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25%</c:v>
                </c:pt>
                <c:pt idx="13">
                  <c:v>100%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'24'!$D$6:$D$20</c:f>
              <c:strCache>
                <c:ptCount val="14"/>
                <c:pt idx="2">
                  <c:v>TOP/BOTTOM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0.375</c:v>
                </c:pt>
                <c:pt idx="6">
                  <c:v>0.875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0.25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A5-48DA-87A4-D46EA6898F7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2A5-48DA-87A4-D46EA6898F7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'24'!$D$6:$D$20</c:f>
              <c:strCache>
                <c:ptCount val="14"/>
                <c:pt idx="2">
                  <c:v>TOP/BOTTOM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9">
                  <c:v>PLATE</c:v>
                </c:pt>
                <c:pt idx="10">
                  <c:v>22P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'24'!$AE$6:$AE$20</c:f>
              <c:numCache>
                <c:formatCode>0%</c:formatCode>
                <c:ptCount val="15"/>
                <c:pt idx="0">
                  <c:v>0.36666666666666664</c:v>
                </c:pt>
                <c:pt idx="1">
                  <c:v>0.36666666666666664</c:v>
                </c:pt>
                <c:pt idx="2">
                  <c:v>0.36666666666666664</c:v>
                </c:pt>
                <c:pt idx="3">
                  <c:v>0.36666666666666664</c:v>
                </c:pt>
                <c:pt idx="4">
                  <c:v>0.36666666666666664</c:v>
                </c:pt>
                <c:pt idx="5">
                  <c:v>0.36666666666666664</c:v>
                </c:pt>
                <c:pt idx="6">
                  <c:v>0.36666666666666664</c:v>
                </c:pt>
                <c:pt idx="7">
                  <c:v>0.36666666666666664</c:v>
                </c:pt>
                <c:pt idx="8">
                  <c:v>0.36666666666666664</c:v>
                </c:pt>
                <c:pt idx="9">
                  <c:v>0.36666666666666664</c:v>
                </c:pt>
                <c:pt idx="10">
                  <c:v>0.36666666666666664</c:v>
                </c:pt>
                <c:pt idx="11">
                  <c:v>0.36666666666666664</c:v>
                </c:pt>
                <c:pt idx="12">
                  <c:v>0.36666666666666664</c:v>
                </c:pt>
                <c:pt idx="13">
                  <c:v>0.36666666666666664</c:v>
                </c:pt>
                <c:pt idx="14">
                  <c:v>0.36666666666666664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A5-48DA-87A4-D46EA6898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633-448A-907B-70EAB611AE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33-448A-907B-70EAB611A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633-448A-907B-70EAB611AEB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33-448A-907B-70EAB611A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'25'!$D$6:$D$20</c:f>
              <c:strCache>
                <c:ptCount val="14"/>
                <c:pt idx="2">
                  <c:v>LATCH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10">
                  <c:v>LOCKER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'25'!$L$6:$L$20</c:f>
              <c:numCache>
                <c:formatCode>_(* #,##0_);_(* \(#,##0\);_(* "-"_);_(@_)</c:formatCode>
                <c:ptCount val="15"/>
                <c:pt idx="2">
                  <c:v>954</c:v>
                </c:pt>
                <c:pt idx="6">
                  <c:v>212320</c:v>
                </c:pt>
                <c:pt idx="9">
                  <c:v>3061</c:v>
                </c:pt>
                <c:pt idx="10">
                  <c:v>1022</c:v>
                </c:pt>
                <c:pt idx="11">
                  <c:v>22836</c:v>
                </c:pt>
                <c:pt idx="13">
                  <c:v>13660</c:v>
                </c:pt>
                <c:pt idx="14">
                  <c:v>45096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F-4D86-8368-EC46B7140B99}"/>
            </c:ext>
          </c:extLst>
        </c:ser>
        <c:ser>
          <c:idx val="1"/>
          <c:order val="1"/>
          <c:tx>
            <c:v>계획</c:v>
          </c:tx>
          <c:cat>
            <c:strRef>
              <c:f>'25'!$D$6:$D$20</c:f>
              <c:strCache>
                <c:ptCount val="14"/>
                <c:pt idx="2">
                  <c:v>LATCH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10">
                  <c:v>LOCKER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954</c:v>
                </c:pt>
                <c:pt idx="3">
                  <c:v>5082</c:v>
                </c:pt>
                <c:pt idx="4">
                  <c:v>8370</c:v>
                </c:pt>
                <c:pt idx="5">
                  <c:v>1583</c:v>
                </c:pt>
                <c:pt idx="6">
                  <c:v>212320</c:v>
                </c:pt>
                <c:pt idx="7">
                  <c:v>3418</c:v>
                </c:pt>
                <c:pt idx="8">
                  <c:v>375</c:v>
                </c:pt>
                <c:pt idx="9">
                  <c:v>3061</c:v>
                </c:pt>
                <c:pt idx="10">
                  <c:v>1022</c:v>
                </c:pt>
                <c:pt idx="11">
                  <c:v>22836</c:v>
                </c:pt>
                <c:pt idx="12">
                  <c:v>1666</c:v>
                </c:pt>
                <c:pt idx="13">
                  <c:v>13660</c:v>
                </c:pt>
                <c:pt idx="14">
                  <c:v>45096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F-4D86-8368-EC46B7140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17%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67%</c:v>
                </c:pt>
                <c:pt idx="10">
                  <c:v>42%</c:v>
                </c:pt>
                <c:pt idx="11">
                  <c:v>100%</c:v>
                </c:pt>
                <c:pt idx="12">
                  <c:v>0%</c:v>
                </c:pt>
                <c:pt idx="13">
                  <c:v>79%</c:v>
                </c:pt>
                <c:pt idx="14">
                  <c:v>71%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2">
                  <c:v>LATCH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10">
                  <c:v>LOCKER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0.66666666666666663</c:v>
                </c:pt>
                <c:pt idx="10">
                  <c:v>0.41666666666666669</c:v>
                </c:pt>
                <c:pt idx="11">
                  <c:v>1</c:v>
                </c:pt>
                <c:pt idx="12">
                  <c:v>0</c:v>
                </c:pt>
                <c:pt idx="13">
                  <c:v>0.79166666666666663</c:v>
                </c:pt>
                <c:pt idx="14">
                  <c:v>0.70833333333333337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6-4415-907A-AC6633D9683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96-4415-907A-AC6633D9683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2">
                  <c:v>LATCH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10">
                  <c:v>LOCKER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'25'!$AE$6:$AE$20</c:f>
              <c:numCache>
                <c:formatCode>0%</c:formatCode>
                <c:ptCount val="15"/>
                <c:pt idx="0">
                  <c:v>0.31666666666666665</c:v>
                </c:pt>
                <c:pt idx="1">
                  <c:v>0.31666666666666665</c:v>
                </c:pt>
                <c:pt idx="2">
                  <c:v>0.31666666666666665</c:v>
                </c:pt>
                <c:pt idx="3">
                  <c:v>0.31666666666666665</c:v>
                </c:pt>
                <c:pt idx="4">
                  <c:v>0.31666666666666665</c:v>
                </c:pt>
                <c:pt idx="5">
                  <c:v>0.31666666666666665</c:v>
                </c:pt>
                <c:pt idx="6">
                  <c:v>0.31666666666666665</c:v>
                </c:pt>
                <c:pt idx="7">
                  <c:v>0.31666666666666665</c:v>
                </c:pt>
                <c:pt idx="8">
                  <c:v>0.31666666666666665</c:v>
                </c:pt>
                <c:pt idx="9">
                  <c:v>0.31666666666666665</c:v>
                </c:pt>
                <c:pt idx="10">
                  <c:v>0.31666666666666665</c:v>
                </c:pt>
                <c:pt idx="11">
                  <c:v>0.31666666666666665</c:v>
                </c:pt>
                <c:pt idx="12">
                  <c:v>0.31666666666666665</c:v>
                </c:pt>
                <c:pt idx="13">
                  <c:v>0.31666666666666665</c:v>
                </c:pt>
                <c:pt idx="14">
                  <c:v>0.31666666666666665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96-4415-907A-AC6633D96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'25'!$D$6:$D$20</c:f>
              <c:strCache>
                <c:ptCount val="14"/>
                <c:pt idx="2">
                  <c:v>LATCH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10">
                  <c:v>LOCKER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'25'!$L$6:$L$20</c:f>
              <c:numCache>
                <c:formatCode>_(* #,##0_);_(* \(#,##0\);_(* "-"_);_(@_)</c:formatCode>
                <c:ptCount val="15"/>
                <c:pt idx="2">
                  <c:v>954</c:v>
                </c:pt>
                <c:pt idx="6">
                  <c:v>212320</c:v>
                </c:pt>
                <c:pt idx="9">
                  <c:v>3061</c:v>
                </c:pt>
                <c:pt idx="10">
                  <c:v>1022</c:v>
                </c:pt>
                <c:pt idx="11">
                  <c:v>22836</c:v>
                </c:pt>
                <c:pt idx="13">
                  <c:v>13660</c:v>
                </c:pt>
                <c:pt idx="14">
                  <c:v>45096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6-4AF1-ABD9-61FCEE62460B}"/>
            </c:ext>
          </c:extLst>
        </c:ser>
        <c:ser>
          <c:idx val="1"/>
          <c:order val="1"/>
          <c:tx>
            <c:v>계획</c:v>
          </c:tx>
          <c:cat>
            <c:strRef>
              <c:f>'25'!$D$6:$D$20</c:f>
              <c:strCache>
                <c:ptCount val="14"/>
                <c:pt idx="2">
                  <c:v>LATCH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10">
                  <c:v>LOCKER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954</c:v>
                </c:pt>
                <c:pt idx="3">
                  <c:v>5082</c:v>
                </c:pt>
                <c:pt idx="4">
                  <c:v>8370</c:v>
                </c:pt>
                <c:pt idx="5">
                  <c:v>1583</c:v>
                </c:pt>
                <c:pt idx="6">
                  <c:v>212320</c:v>
                </c:pt>
                <c:pt idx="7">
                  <c:v>3418</c:v>
                </c:pt>
                <c:pt idx="8">
                  <c:v>375</c:v>
                </c:pt>
                <c:pt idx="9">
                  <c:v>3061</c:v>
                </c:pt>
                <c:pt idx="10">
                  <c:v>1022</c:v>
                </c:pt>
                <c:pt idx="11">
                  <c:v>22836</c:v>
                </c:pt>
                <c:pt idx="12">
                  <c:v>1666</c:v>
                </c:pt>
                <c:pt idx="13">
                  <c:v>13660</c:v>
                </c:pt>
                <c:pt idx="14">
                  <c:v>45096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6-4AF1-ABD9-61FCEE624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17%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67%</c:v>
                </c:pt>
                <c:pt idx="10">
                  <c:v>42%</c:v>
                </c:pt>
                <c:pt idx="11">
                  <c:v>100%</c:v>
                </c:pt>
                <c:pt idx="12">
                  <c:v>0%</c:v>
                </c:pt>
                <c:pt idx="13">
                  <c:v>79%</c:v>
                </c:pt>
                <c:pt idx="14">
                  <c:v>71%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2">
                  <c:v>LATCH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10">
                  <c:v>LOCKER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0.66666666666666663</c:v>
                </c:pt>
                <c:pt idx="10">
                  <c:v>0.41666666666666669</c:v>
                </c:pt>
                <c:pt idx="11">
                  <c:v>1</c:v>
                </c:pt>
                <c:pt idx="12">
                  <c:v>0</c:v>
                </c:pt>
                <c:pt idx="13">
                  <c:v>0.79166666666666663</c:v>
                </c:pt>
                <c:pt idx="14">
                  <c:v>0.70833333333333337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B2-4113-95D3-D3F21CC643D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B2-4113-95D3-D3F21CC643D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2">
                  <c:v>LATCH</c:v>
                </c:pt>
                <c:pt idx="3">
                  <c:v>SLIDER</c:v>
                </c:pt>
                <c:pt idx="4">
                  <c:v>STOPPER</c:v>
                </c:pt>
                <c:pt idx="5">
                  <c:v>ADAPTER</c:v>
                </c:pt>
                <c:pt idx="6">
                  <c:v>SHAFT</c:v>
                </c:pt>
                <c:pt idx="7">
                  <c:v>BASE</c:v>
                </c:pt>
                <c:pt idx="8">
                  <c:v>BASE</c:v>
                </c:pt>
                <c:pt idx="10">
                  <c:v>LOCKER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'25'!$AE$6:$AE$20</c:f>
              <c:numCache>
                <c:formatCode>0%</c:formatCode>
                <c:ptCount val="15"/>
                <c:pt idx="0">
                  <c:v>0.31666666666666665</c:v>
                </c:pt>
                <c:pt idx="1">
                  <c:v>0.31666666666666665</c:v>
                </c:pt>
                <c:pt idx="2">
                  <c:v>0.31666666666666665</c:v>
                </c:pt>
                <c:pt idx="3">
                  <c:v>0.31666666666666665</c:v>
                </c:pt>
                <c:pt idx="4">
                  <c:v>0.31666666666666665</c:v>
                </c:pt>
                <c:pt idx="5">
                  <c:v>0.31666666666666665</c:v>
                </c:pt>
                <c:pt idx="6">
                  <c:v>0.31666666666666665</c:v>
                </c:pt>
                <c:pt idx="7">
                  <c:v>0.31666666666666665</c:v>
                </c:pt>
                <c:pt idx="8">
                  <c:v>0.31666666666666665</c:v>
                </c:pt>
                <c:pt idx="9">
                  <c:v>0.31666666666666665</c:v>
                </c:pt>
                <c:pt idx="10">
                  <c:v>0.31666666666666665</c:v>
                </c:pt>
                <c:pt idx="11">
                  <c:v>0.31666666666666665</c:v>
                </c:pt>
                <c:pt idx="12">
                  <c:v>0.31666666666666665</c:v>
                </c:pt>
                <c:pt idx="13">
                  <c:v>0.31666666666666665</c:v>
                </c:pt>
                <c:pt idx="14">
                  <c:v>0.31666666666666665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B2-4113-95D3-D3F21CC64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899-4D78-9BD0-5AD8894782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99-4D78-9BD0-5AD889478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99-4D78-9BD0-5AD88947821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99-4D78-9BD0-5AD889478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5">
                  <c:v>F/ADAPTER</c:v>
                </c:pt>
                <c:pt idx="11">
                  <c:v>INNER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5">
                  <c:v>2321</c:v>
                </c:pt>
                <c:pt idx="11">
                  <c:v>14754</c:v>
                </c:pt>
                <c:pt idx="12">
                  <c:v>880</c:v>
                </c:pt>
                <c:pt idx="13">
                  <c:v>19120</c:v>
                </c:pt>
                <c:pt idx="14">
                  <c:v>32180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45-48B7-B0CE-1F01690D38E1}"/>
            </c:ext>
          </c:extLst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5">
                  <c:v>F/ADAPTER</c:v>
                </c:pt>
                <c:pt idx="11">
                  <c:v>INNER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2321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14754</c:v>
                </c:pt>
                <c:pt idx="12">
                  <c:v>880</c:v>
                </c:pt>
                <c:pt idx="13">
                  <c:v>19120</c:v>
                </c:pt>
                <c:pt idx="14">
                  <c:v>32180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45-48B7-B0CE-1F01690D3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58%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67%</c:v>
                </c:pt>
                <c:pt idx="13">
                  <c:v>100%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5">
                  <c:v>F/ADAPTER</c:v>
                </c:pt>
                <c:pt idx="11">
                  <c:v>INNER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0.58333333333333337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0.66666666666666663</c:v>
                </c:pt>
                <c:pt idx="13">
                  <c:v>1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D2-43F1-9940-618DA019F3F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D2-43F1-9940-618DA019F3F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5">
                  <c:v>F/ADAPTER</c:v>
                </c:pt>
                <c:pt idx="11">
                  <c:v>INNER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0.25555555555555559</c:v>
                </c:pt>
                <c:pt idx="1">
                  <c:v>0.25555555555555559</c:v>
                </c:pt>
                <c:pt idx="2">
                  <c:v>0.25555555555555559</c:v>
                </c:pt>
                <c:pt idx="3">
                  <c:v>0.25555555555555559</c:v>
                </c:pt>
                <c:pt idx="4">
                  <c:v>0.25555555555555559</c:v>
                </c:pt>
                <c:pt idx="5">
                  <c:v>0.25555555555555559</c:v>
                </c:pt>
                <c:pt idx="6">
                  <c:v>0.25555555555555559</c:v>
                </c:pt>
                <c:pt idx="7">
                  <c:v>0.25555555555555559</c:v>
                </c:pt>
                <c:pt idx="8">
                  <c:v>0.25555555555555559</c:v>
                </c:pt>
                <c:pt idx="9">
                  <c:v>0.25555555555555559</c:v>
                </c:pt>
                <c:pt idx="10">
                  <c:v>0.25555555555555559</c:v>
                </c:pt>
                <c:pt idx="11">
                  <c:v>0.25555555555555559</c:v>
                </c:pt>
                <c:pt idx="12">
                  <c:v>0.25555555555555559</c:v>
                </c:pt>
                <c:pt idx="13">
                  <c:v>0.25555555555555559</c:v>
                </c:pt>
                <c:pt idx="14">
                  <c:v>0.25555555555555559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D2-43F1-9940-618DA019F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5">
                  <c:v>F/ADAPTER</c:v>
                </c:pt>
                <c:pt idx="11">
                  <c:v>INNER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5">
                  <c:v>2321</c:v>
                </c:pt>
                <c:pt idx="11">
                  <c:v>14754</c:v>
                </c:pt>
                <c:pt idx="12">
                  <c:v>880</c:v>
                </c:pt>
                <c:pt idx="13">
                  <c:v>19120</c:v>
                </c:pt>
                <c:pt idx="14">
                  <c:v>32180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4D-42C6-9F61-1B178263EB98}"/>
            </c:ext>
          </c:extLst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5">
                  <c:v>F/ADAPTER</c:v>
                </c:pt>
                <c:pt idx="11">
                  <c:v>INNER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2321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14754</c:v>
                </c:pt>
                <c:pt idx="12">
                  <c:v>880</c:v>
                </c:pt>
                <c:pt idx="13">
                  <c:v>19120</c:v>
                </c:pt>
                <c:pt idx="14">
                  <c:v>32180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4D-42C6-9F61-1B178263E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58%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67%</c:v>
                </c:pt>
                <c:pt idx="13">
                  <c:v>100%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5">
                  <c:v>F/ADAPTER</c:v>
                </c:pt>
                <c:pt idx="11">
                  <c:v>INNER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0.58333333333333337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0.66666666666666663</c:v>
                </c:pt>
                <c:pt idx="13">
                  <c:v>1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20-42A0-8B17-30DB51D40B5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20-42A0-8B17-30DB51D40B5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5">
                  <c:v>F/ADAPTER</c:v>
                </c:pt>
                <c:pt idx="11">
                  <c:v>INNER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0.25555555555555559</c:v>
                </c:pt>
                <c:pt idx="1">
                  <c:v>0.25555555555555559</c:v>
                </c:pt>
                <c:pt idx="2">
                  <c:v>0.25555555555555559</c:v>
                </c:pt>
                <c:pt idx="3">
                  <c:v>0.25555555555555559</c:v>
                </c:pt>
                <c:pt idx="4">
                  <c:v>0.25555555555555559</c:v>
                </c:pt>
                <c:pt idx="5">
                  <c:v>0.25555555555555559</c:v>
                </c:pt>
                <c:pt idx="6">
                  <c:v>0.25555555555555559</c:v>
                </c:pt>
                <c:pt idx="7">
                  <c:v>0.25555555555555559</c:v>
                </c:pt>
                <c:pt idx="8">
                  <c:v>0.25555555555555559</c:v>
                </c:pt>
                <c:pt idx="9">
                  <c:v>0.25555555555555559</c:v>
                </c:pt>
                <c:pt idx="10">
                  <c:v>0.25555555555555559</c:v>
                </c:pt>
                <c:pt idx="11">
                  <c:v>0.25555555555555559</c:v>
                </c:pt>
                <c:pt idx="12">
                  <c:v>0.25555555555555559</c:v>
                </c:pt>
                <c:pt idx="13">
                  <c:v>0.25555555555555559</c:v>
                </c:pt>
                <c:pt idx="14">
                  <c:v>0.25555555555555559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20-42A0-8B17-30DB51D40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546-44F2-90D2-CE3DB8D09F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46-44F2-90D2-CE3DB8D09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46-44F2-90D2-CE3DB8D09F2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46-44F2-90D2-CE3DB8D09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'29'!$D$6:$D$20</c:f>
              <c:strCache>
                <c:ptCount val="14"/>
                <c:pt idx="5">
                  <c:v>FLOATING</c:v>
                </c:pt>
                <c:pt idx="6">
                  <c:v>BASE</c:v>
                </c:pt>
                <c:pt idx="7">
                  <c:v>BASE</c:v>
                </c:pt>
                <c:pt idx="12">
                  <c:v>BOTTOM</c:v>
                </c:pt>
                <c:pt idx="13">
                  <c:v>BASE</c:v>
                </c:pt>
              </c:strCache>
            </c:strRef>
          </c:cat>
          <c:val>
            <c:numRef>
              <c:f>'29'!$L$6:$L$20</c:f>
              <c:numCache>
                <c:formatCode>_(* #,##0_);_(* \(#,##0\);_(* "-"_);_(@_)</c:formatCode>
                <c:ptCount val="15"/>
                <c:pt idx="4">
                  <c:v>3196</c:v>
                </c:pt>
                <c:pt idx="5">
                  <c:v>1440</c:v>
                </c:pt>
                <c:pt idx="6">
                  <c:v>749</c:v>
                </c:pt>
                <c:pt idx="7">
                  <c:v>339</c:v>
                </c:pt>
                <c:pt idx="12">
                  <c:v>1424</c:v>
                </c:pt>
                <c:pt idx="13">
                  <c:v>18700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26-4766-AE98-B0E4AA122FA0}"/>
            </c:ext>
          </c:extLst>
        </c:ser>
        <c:ser>
          <c:idx val="1"/>
          <c:order val="1"/>
          <c:tx>
            <c:v>계획</c:v>
          </c:tx>
          <c:cat>
            <c:strRef>
              <c:f>'29'!$D$6:$D$20</c:f>
              <c:strCache>
                <c:ptCount val="14"/>
                <c:pt idx="5">
                  <c:v>FLOATING</c:v>
                </c:pt>
                <c:pt idx="6">
                  <c:v>BASE</c:v>
                </c:pt>
                <c:pt idx="7">
                  <c:v>BASE</c:v>
                </c:pt>
                <c:pt idx="12">
                  <c:v>BOTTOM</c:v>
                </c:pt>
                <c:pt idx="13">
                  <c:v>BASE</c:v>
                </c:pt>
              </c:strCache>
            </c:strRef>
          </c:cat>
          <c:val>
            <c:numRef>
              <c:f>'29'!$J$6:$J$20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3196</c:v>
                </c:pt>
                <c:pt idx="5">
                  <c:v>1440</c:v>
                </c:pt>
                <c:pt idx="6">
                  <c:v>750</c:v>
                </c:pt>
                <c:pt idx="7">
                  <c:v>340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1424</c:v>
                </c:pt>
                <c:pt idx="13">
                  <c:v>18700</c:v>
                </c:pt>
                <c:pt idx="14">
                  <c:v>32180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26-4766-AE98-B0E4AA122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79%</c:v>
                </c:pt>
                <c:pt idx="5">
                  <c:v>50%</c:v>
                </c:pt>
                <c:pt idx="6">
                  <c:v>33%</c:v>
                </c:pt>
                <c:pt idx="7">
                  <c:v>29%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50%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5">
                  <c:v>FLOATING</c:v>
                </c:pt>
                <c:pt idx="6">
                  <c:v>BASE</c:v>
                </c:pt>
                <c:pt idx="7">
                  <c:v>BASE</c:v>
                </c:pt>
                <c:pt idx="12">
                  <c:v>BOTTOM</c:v>
                </c:pt>
                <c:pt idx="13">
                  <c:v>BASE</c:v>
                </c:pt>
              </c:strCache>
            </c:strRef>
          </c:cat>
          <c:val>
            <c:numRef>
              <c:f>'29'!$AD$6:$AD$20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0.79166666666666663</c:v>
                </c:pt>
                <c:pt idx="5">
                  <c:v>0.5</c:v>
                </c:pt>
                <c:pt idx="6">
                  <c:v>0.3328888888888889</c:v>
                </c:pt>
                <c:pt idx="7">
                  <c:v>0.29080882352941179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92-4C35-A518-1F917266991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92-4C35-A518-1F917266991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5">
                  <c:v>FLOATING</c:v>
                </c:pt>
                <c:pt idx="6">
                  <c:v>BASE</c:v>
                </c:pt>
                <c:pt idx="7">
                  <c:v>BASE</c:v>
                </c:pt>
                <c:pt idx="12">
                  <c:v>BOTTOM</c:v>
                </c:pt>
                <c:pt idx="13">
                  <c:v>BASE</c:v>
                </c:pt>
              </c:strCache>
            </c:strRef>
          </c:cat>
          <c:val>
            <c:numRef>
              <c:f>'29'!$AE$6:$AE$20</c:f>
              <c:numCache>
                <c:formatCode>0%</c:formatCode>
                <c:ptCount val="15"/>
                <c:pt idx="0">
                  <c:v>0.22769095860566449</c:v>
                </c:pt>
                <c:pt idx="1">
                  <c:v>0.22769095860566449</c:v>
                </c:pt>
                <c:pt idx="2">
                  <c:v>0.22769095860566449</c:v>
                </c:pt>
                <c:pt idx="3">
                  <c:v>0.22769095860566449</c:v>
                </c:pt>
                <c:pt idx="4">
                  <c:v>0.22769095860566449</c:v>
                </c:pt>
                <c:pt idx="5">
                  <c:v>0.22769095860566449</c:v>
                </c:pt>
                <c:pt idx="6">
                  <c:v>0.22769095860566449</c:v>
                </c:pt>
                <c:pt idx="7">
                  <c:v>0.22769095860566449</c:v>
                </c:pt>
                <c:pt idx="8">
                  <c:v>0.22769095860566449</c:v>
                </c:pt>
                <c:pt idx="9">
                  <c:v>0.22769095860566449</c:v>
                </c:pt>
                <c:pt idx="10">
                  <c:v>0.22769095860566449</c:v>
                </c:pt>
                <c:pt idx="11">
                  <c:v>0.22769095860566449</c:v>
                </c:pt>
                <c:pt idx="12">
                  <c:v>0.22769095860566449</c:v>
                </c:pt>
                <c:pt idx="13">
                  <c:v>0.22769095860566449</c:v>
                </c:pt>
                <c:pt idx="14">
                  <c:v>0.22769095860566449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92-4C35-A518-1F9172669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'29'!$D$6:$D$20</c:f>
              <c:strCache>
                <c:ptCount val="14"/>
                <c:pt idx="5">
                  <c:v>FLOATING</c:v>
                </c:pt>
                <c:pt idx="6">
                  <c:v>BASE</c:v>
                </c:pt>
                <c:pt idx="7">
                  <c:v>BASE</c:v>
                </c:pt>
                <c:pt idx="12">
                  <c:v>BOTTOM</c:v>
                </c:pt>
                <c:pt idx="13">
                  <c:v>BASE</c:v>
                </c:pt>
              </c:strCache>
            </c:strRef>
          </c:cat>
          <c:val>
            <c:numRef>
              <c:f>'29'!$L$6:$L$20</c:f>
              <c:numCache>
                <c:formatCode>_(* #,##0_);_(* \(#,##0\);_(* "-"_);_(@_)</c:formatCode>
                <c:ptCount val="15"/>
                <c:pt idx="4">
                  <c:v>3196</c:v>
                </c:pt>
                <c:pt idx="5">
                  <c:v>1440</c:v>
                </c:pt>
                <c:pt idx="6">
                  <c:v>749</c:v>
                </c:pt>
                <c:pt idx="7">
                  <c:v>339</c:v>
                </c:pt>
                <c:pt idx="12">
                  <c:v>1424</c:v>
                </c:pt>
                <c:pt idx="13">
                  <c:v>18700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5-40F7-9B8A-31F7528A50EC}"/>
            </c:ext>
          </c:extLst>
        </c:ser>
        <c:ser>
          <c:idx val="1"/>
          <c:order val="1"/>
          <c:tx>
            <c:v>계획</c:v>
          </c:tx>
          <c:cat>
            <c:strRef>
              <c:f>'29'!$D$6:$D$20</c:f>
              <c:strCache>
                <c:ptCount val="14"/>
                <c:pt idx="5">
                  <c:v>FLOATING</c:v>
                </c:pt>
                <c:pt idx="6">
                  <c:v>BASE</c:v>
                </c:pt>
                <c:pt idx="7">
                  <c:v>BASE</c:v>
                </c:pt>
                <c:pt idx="12">
                  <c:v>BOTTOM</c:v>
                </c:pt>
                <c:pt idx="13">
                  <c:v>BASE</c:v>
                </c:pt>
              </c:strCache>
            </c:strRef>
          </c:cat>
          <c:val>
            <c:numRef>
              <c:f>'29'!$J$6:$J$20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3196</c:v>
                </c:pt>
                <c:pt idx="5">
                  <c:v>1440</c:v>
                </c:pt>
                <c:pt idx="6">
                  <c:v>750</c:v>
                </c:pt>
                <c:pt idx="7">
                  <c:v>340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1424</c:v>
                </c:pt>
                <c:pt idx="13">
                  <c:v>18700</c:v>
                </c:pt>
                <c:pt idx="14">
                  <c:v>32180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75-40F7-9B8A-31F7528A5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79%</c:v>
                </c:pt>
                <c:pt idx="5">
                  <c:v>50%</c:v>
                </c:pt>
                <c:pt idx="6">
                  <c:v>33%</c:v>
                </c:pt>
                <c:pt idx="7">
                  <c:v>29%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50%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5">
                  <c:v>FLOATING</c:v>
                </c:pt>
                <c:pt idx="6">
                  <c:v>BASE</c:v>
                </c:pt>
                <c:pt idx="7">
                  <c:v>BASE</c:v>
                </c:pt>
                <c:pt idx="12">
                  <c:v>BOTTOM</c:v>
                </c:pt>
                <c:pt idx="13">
                  <c:v>BASE</c:v>
                </c:pt>
              </c:strCache>
            </c:strRef>
          </c:cat>
          <c:val>
            <c:numRef>
              <c:f>'29'!$AD$6:$AD$20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0.79166666666666663</c:v>
                </c:pt>
                <c:pt idx="5">
                  <c:v>0.5</c:v>
                </c:pt>
                <c:pt idx="6">
                  <c:v>0.3328888888888889</c:v>
                </c:pt>
                <c:pt idx="7">
                  <c:v>0.29080882352941179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3F-496C-A856-144FF3F9595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3F-496C-A856-144FF3F9595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5">
                  <c:v>FLOATING</c:v>
                </c:pt>
                <c:pt idx="6">
                  <c:v>BASE</c:v>
                </c:pt>
                <c:pt idx="7">
                  <c:v>BASE</c:v>
                </c:pt>
                <c:pt idx="12">
                  <c:v>BOTTOM</c:v>
                </c:pt>
                <c:pt idx="13">
                  <c:v>BASE</c:v>
                </c:pt>
              </c:strCache>
            </c:strRef>
          </c:cat>
          <c:val>
            <c:numRef>
              <c:f>'29'!$AE$6:$AE$20</c:f>
              <c:numCache>
                <c:formatCode>0%</c:formatCode>
                <c:ptCount val="15"/>
                <c:pt idx="0">
                  <c:v>0.22769095860566449</c:v>
                </c:pt>
                <c:pt idx="1">
                  <c:v>0.22769095860566449</c:v>
                </c:pt>
                <c:pt idx="2">
                  <c:v>0.22769095860566449</c:v>
                </c:pt>
                <c:pt idx="3">
                  <c:v>0.22769095860566449</c:v>
                </c:pt>
                <c:pt idx="4">
                  <c:v>0.22769095860566449</c:v>
                </c:pt>
                <c:pt idx="5">
                  <c:v>0.22769095860566449</c:v>
                </c:pt>
                <c:pt idx="6">
                  <c:v>0.22769095860566449</c:v>
                </c:pt>
                <c:pt idx="7">
                  <c:v>0.22769095860566449</c:v>
                </c:pt>
                <c:pt idx="8">
                  <c:v>0.22769095860566449</c:v>
                </c:pt>
                <c:pt idx="9">
                  <c:v>0.22769095860566449</c:v>
                </c:pt>
                <c:pt idx="10">
                  <c:v>0.22769095860566449</c:v>
                </c:pt>
                <c:pt idx="11">
                  <c:v>0.22769095860566449</c:v>
                </c:pt>
                <c:pt idx="12">
                  <c:v>0.22769095860566449</c:v>
                </c:pt>
                <c:pt idx="13">
                  <c:v>0.22769095860566449</c:v>
                </c:pt>
                <c:pt idx="14">
                  <c:v>0.22769095860566449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3F-496C-A856-144FF3F95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B25-4B4D-BBDE-B6EDAB67FF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25-4B4D-BBDE-B6EDAB67F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B25-4B4D-BBDE-B6EDAB67FF3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25-4B4D-BBDE-B6EDAB67F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4"/>
                <c:pt idx="6">
                  <c:v>BASE</c:v>
                </c:pt>
                <c:pt idx="7">
                  <c:v>END PLATE</c:v>
                </c:pt>
                <c:pt idx="12">
                  <c:v>LID</c:v>
                </c:pt>
                <c:pt idx="13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4">
                  <c:v>5249</c:v>
                </c:pt>
                <c:pt idx="6">
                  <c:v>738</c:v>
                </c:pt>
                <c:pt idx="7">
                  <c:v>3005</c:v>
                </c:pt>
                <c:pt idx="10">
                  <c:v>5204</c:v>
                </c:pt>
                <c:pt idx="12">
                  <c:v>3158</c:v>
                </c:pt>
                <c:pt idx="13">
                  <c:v>19248</c:v>
                </c:pt>
                <c:pt idx="14">
                  <c:v>23256</c:v>
                </c:pt>
                <c:pt idx="15">
                  <c:v>38852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7-4422-8CE3-A81DC2AD365B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4"/>
                <c:pt idx="6">
                  <c:v>BASE</c:v>
                </c:pt>
                <c:pt idx="7">
                  <c:v>END PLATE</c:v>
                </c:pt>
                <c:pt idx="12">
                  <c:v>LID</c:v>
                </c:pt>
                <c:pt idx="13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5249</c:v>
                </c:pt>
                <c:pt idx="6">
                  <c:v>738</c:v>
                </c:pt>
                <c:pt idx="7">
                  <c:v>3005</c:v>
                </c:pt>
                <c:pt idx="8">
                  <c:v>0</c:v>
                </c:pt>
                <c:pt idx="9">
                  <c:v>0</c:v>
                </c:pt>
                <c:pt idx="10">
                  <c:v>5204</c:v>
                </c:pt>
                <c:pt idx="12">
                  <c:v>3158</c:v>
                </c:pt>
                <c:pt idx="13">
                  <c:v>19248</c:v>
                </c:pt>
                <c:pt idx="14">
                  <c:v>23256</c:v>
                </c:pt>
                <c:pt idx="15">
                  <c:v>38852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67-4422-8CE3-A81DC2AD3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21%</c:v>
                </c:pt>
                <c:pt idx="7">
                  <c:v>67%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83%</c:v>
                </c:pt>
                <c:pt idx="13">
                  <c:v>100%</c:v>
                </c:pt>
                <c:pt idx="14">
                  <c:v>42%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4"/>
                <c:pt idx="6">
                  <c:v>BASE</c:v>
                </c:pt>
                <c:pt idx="7">
                  <c:v>END PLATE</c:v>
                </c:pt>
                <c:pt idx="12">
                  <c:v>LID</c:v>
                </c:pt>
                <c:pt idx="13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0.20833333333333334</c:v>
                </c:pt>
                <c:pt idx="7">
                  <c:v>0.66666666666666663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0.83333333333333337</c:v>
                </c:pt>
                <c:pt idx="13">
                  <c:v>1</c:v>
                </c:pt>
                <c:pt idx="14">
                  <c:v>0.41666666666666669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61-4354-B38B-CFE72F8112C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61-4354-B38B-CFE72F8112C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4"/>
                <c:pt idx="6">
                  <c:v>BASE</c:v>
                </c:pt>
                <c:pt idx="7">
                  <c:v>END PLATE</c:v>
                </c:pt>
                <c:pt idx="12">
                  <c:v>LID</c:v>
                </c:pt>
                <c:pt idx="13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0.37500000000000006</c:v>
                </c:pt>
                <c:pt idx="1">
                  <c:v>0.37500000000000006</c:v>
                </c:pt>
                <c:pt idx="2">
                  <c:v>0.37500000000000006</c:v>
                </c:pt>
                <c:pt idx="3">
                  <c:v>0.37500000000000006</c:v>
                </c:pt>
                <c:pt idx="4">
                  <c:v>0.37500000000000006</c:v>
                </c:pt>
                <c:pt idx="5">
                  <c:v>0.37500000000000006</c:v>
                </c:pt>
                <c:pt idx="6">
                  <c:v>0.37500000000000006</c:v>
                </c:pt>
                <c:pt idx="7">
                  <c:v>0.37500000000000006</c:v>
                </c:pt>
                <c:pt idx="8">
                  <c:v>0.37500000000000006</c:v>
                </c:pt>
                <c:pt idx="9">
                  <c:v>0.37500000000000006</c:v>
                </c:pt>
                <c:pt idx="10">
                  <c:v>0.37500000000000006</c:v>
                </c:pt>
                <c:pt idx="11">
                  <c:v>0.37500000000000006</c:v>
                </c:pt>
                <c:pt idx="12">
                  <c:v>0.37500000000000006</c:v>
                </c:pt>
                <c:pt idx="13">
                  <c:v>0.37500000000000006</c:v>
                </c:pt>
                <c:pt idx="14">
                  <c:v>0.37500000000000006</c:v>
                </c:pt>
                <c:pt idx="15">
                  <c:v>0.37500000000000006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61-4354-B38B-CFE72F811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4"/>
                <c:pt idx="6">
                  <c:v>BASE</c:v>
                </c:pt>
                <c:pt idx="7">
                  <c:v>END PLATE</c:v>
                </c:pt>
                <c:pt idx="12">
                  <c:v>LID</c:v>
                </c:pt>
                <c:pt idx="13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4">
                  <c:v>5249</c:v>
                </c:pt>
                <c:pt idx="6">
                  <c:v>738</c:v>
                </c:pt>
                <c:pt idx="7">
                  <c:v>3005</c:v>
                </c:pt>
                <c:pt idx="10">
                  <c:v>5204</c:v>
                </c:pt>
                <c:pt idx="12">
                  <c:v>3158</c:v>
                </c:pt>
                <c:pt idx="13">
                  <c:v>19248</c:v>
                </c:pt>
                <c:pt idx="14">
                  <c:v>23256</c:v>
                </c:pt>
                <c:pt idx="15">
                  <c:v>38852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7-450D-A112-F89AB14F214F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4"/>
                <c:pt idx="6">
                  <c:v>BASE</c:v>
                </c:pt>
                <c:pt idx="7">
                  <c:v>END PLATE</c:v>
                </c:pt>
                <c:pt idx="12">
                  <c:v>LID</c:v>
                </c:pt>
                <c:pt idx="13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5249</c:v>
                </c:pt>
                <c:pt idx="6">
                  <c:v>738</c:v>
                </c:pt>
                <c:pt idx="7">
                  <c:v>3005</c:v>
                </c:pt>
                <c:pt idx="8">
                  <c:v>0</c:v>
                </c:pt>
                <c:pt idx="9">
                  <c:v>0</c:v>
                </c:pt>
                <c:pt idx="10">
                  <c:v>5204</c:v>
                </c:pt>
                <c:pt idx="12">
                  <c:v>3158</c:v>
                </c:pt>
                <c:pt idx="13">
                  <c:v>19248</c:v>
                </c:pt>
                <c:pt idx="14">
                  <c:v>23256</c:v>
                </c:pt>
                <c:pt idx="15">
                  <c:v>38852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87-450D-A112-F89AB14F2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21%</c:v>
                </c:pt>
                <c:pt idx="7">
                  <c:v>67%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83%</c:v>
                </c:pt>
                <c:pt idx="13">
                  <c:v>100%</c:v>
                </c:pt>
                <c:pt idx="14">
                  <c:v>42%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4"/>
                <c:pt idx="6">
                  <c:v>BASE</c:v>
                </c:pt>
                <c:pt idx="7">
                  <c:v>END PLATE</c:v>
                </c:pt>
                <c:pt idx="12">
                  <c:v>LID</c:v>
                </c:pt>
                <c:pt idx="13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0.20833333333333334</c:v>
                </c:pt>
                <c:pt idx="7">
                  <c:v>0.66666666666666663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0.83333333333333337</c:v>
                </c:pt>
                <c:pt idx="13">
                  <c:v>1</c:v>
                </c:pt>
                <c:pt idx="14">
                  <c:v>0.41666666666666669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7B-4362-AADE-4743D7EF622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7B-4362-AADE-4743D7EF622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4"/>
                <c:pt idx="6">
                  <c:v>BASE</c:v>
                </c:pt>
                <c:pt idx="7">
                  <c:v>END PLATE</c:v>
                </c:pt>
                <c:pt idx="12">
                  <c:v>LID</c:v>
                </c:pt>
                <c:pt idx="13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0.37500000000000006</c:v>
                </c:pt>
                <c:pt idx="1">
                  <c:v>0.37500000000000006</c:v>
                </c:pt>
                <c:pt idx="2">
                  <c:v>0.37500000000000006</c:v>
                </c:pt>
                <c:pt idx="3">
                  <c:v>0.37500000000000006</c:v>
                </c:pt>
                <c:pt idx="4">
                  <c:v>0.37500000000000006</c:v>
                </c:pt>
                <c:pt idx="5">
                  <c:v>0.37500000000000006</c:v>
                </c:pt>
                <c:pt idx="6">
                  <c:v>0.37500000000000006</c:v>
                </c:pt>
                <c:pt idx="7">
                  <c:v>0.37500000000000006</c:v>
                </c:pt>
                <c:pt idx="8">
                  <c:v>0.37500000000000006</c:v>
                </c:pt>
                <c:pt idx="9">
                  <c:v>0.37500000000000006</c:v>
                </c:pt>
                <c:pt idx="10">
                  <c:v>0.37500000000000006</c:v>
                </c:pt>
                <c:pt idx="11">
                  <c:v>0.37500000000000006</c:v>
                </c:pt>
                <c:pt idx="12">
                  <c:v>0.37500000000000006</c:v>
                </c:pt>
                <c:pt idx="13">
                  <c:v>0.37500000000000006</c:v>
                </c:pt>
                <c:pt idx="14">
                  <c:v>0.37500000000000006</c:v>
                </c:pt>
                <c:pt idx="15">
                  <c:v>0.37500000000000006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7B-4362-AADE-4743D7EF6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40C-4860-92FA-F88FCBA2CF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0C-4860-92FA-F88FCBA2C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40C-4860-92FA-F88FCBA2CFF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0C-4860-92FA-F88FCBA2C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'31'!$D$6:$D$20</c:f>
              <c:strCache>
                <c:ptCount val="14"/>
                <c:pt idx="2">
                  <c:v>BASE/FLANGE</c:v>
                </c:pt>
                <c:pt idx="5">
                  <c:v>LATCH</c:v>
                </c:pt>
                <c:pt idx="7">
                  <c:v>END PLATE</c:v>
                </c:pt>
                <c:pt idx="11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'31'!$L$6:$L$20</c:f>
              <c:numCache>
                <c:formatCode>_(* #,##0_);_(* \(#,##0\);_(* "-"_);_(@_)</c:formatCode>
                <c:ptCount val="15"/>
                <c:pt idx="2">
                  <c:v>1570</c:v>
                </c:pt>
                <c:pt idx="4">
                  <c:v>6301</c:v>
                </c:pt>
                <c:pt idx="5">
                  <c:v>12728</c:v>
                </c:pt>
                <c:pt idx="7">
                  <c:v>3272</c:v>
                </c:pt>
                <c:pt idx="10">
                  <c:v>3121</c:v>
                </c:pt>
                <c:pt idx="11">
                  <c:v>6451</c:v>
                </c:pt>
                <c:pt idx="12">
                  <c:v>6954</c:v>
                </c:pt>
                <c:pt idx="13">
                  <c:v>17176</c:v>
                </c:pt>
                <c:pt idx="14">
                  <c:v>82568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94-490E-B6D3-3B48A058290D}"/>
            </c:ext>
          </c:extLst>
        </c:ser>
        <c:ser>
          <c:idx val="1"/>
          <c:order val="1"/>
          <c:tx>
            <c:v>계획</c:v>
          </c:tx>
          <c:cat>
            <c:strRef>
              <c:f>'31'!$D$6:$D$20</c:f>
              <c:strCache>
                <c:ptCount val="14"/>
                <c:pt idx="2">
                  <c:v>BASE/FLANGE</c:v>
                </c:pt>
                <c:pt idx="5">
                  <c:v>LATCH</c:v>
                </c:pt>
                <c:pt idx="7">
                  <c:v>END PLATE</c:v>
                </c:pt>
                <c:pt idx="11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1570</c:v>
                </c:pt>
                <c:pt idx="3">
                  <c:v>0</c:v>
                </c:pt>
                <c:pt idx="4">
                  <c:v>6301</c:v>
                </c:pt>
                <c:pt idx="5">
                  <c:v>12728</c:v>
                </c:pt>
                <c:pt idx="7">
                  <c:v>3272</c:v>
                </c:pt>
                <c:pt idx="8">
                  <c:v>0</c:v>
                </c:pt>
                <c:pt idx="9">
                  <c:v>0</c:v>
                </c:pt>
                <c:pt idx="10">
                  <c:v>3121</c:v>
                </c:pt>
                <c:pt idx="11">
                  <c:v>6451</c:v>
                </c:pt>
                <c:pt idx="12">
                  <c:v>6954</c:v>
                </c:pt>
                <c:pt idx="13">
                  <c:v>17176</c:v>
                </c:pt>
                <c:pt idx="14">
                  <c:v>82568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94-490E-B6D3-3B48A0582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0%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71%</c:v>
                </c:pt>
                <c:pt idx="8">
                  <c:v>0%</c:v>
                </c:pt>
                <c:pt idx="9">
                  <c:v>0%</c:v>
                </c:pt>
                <c:pt idx="10">
                  <c:v>75%</c:v>
                </c:pt>
                <c:pt idx="11">
                  <c:v>100%</c:v>
                </c:pt>
                <c:pt idx="12">
                  <c:v>96%</c:v>
                </c:pt>
                <c:pt idx="13">
                  <c:v>100%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'31'!$D$6:$D$20</c:f>
              <c:strCache>
                <c:ptCount val="14"/>
                <c:pt idx="2">
                  <c:v>BASE/FLANGE</c:v>
                </c:pt>
                <c:pt idx="5">
                  <c:v>LATCH</c:v>
                </c:pt>
                <c:pt idx="7">
                  <c:v>END PLATE</c:v>
                </c:pt>
                <c:pt idx="11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0.70833333333333337</c:v>
                </c:pt>
                <c:pt idx="8">
                  <c:v>0</c:v>
                </c:pt>
                <c:pt idx="9">
                  <c:v>0</c:v>
                </c:pt>
                <c:pt idx="10">
                  <c:v>0.75</c:v>
                </c:pt>
                <c:pt idx="11">
                  <c:v>1</c:v>
                </c:pt>
                <c:pt idx="12">
                  <c:v>0.95833333333333337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8-49C8-80A8-34B56C0337F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58-49C8-80A8-34B56C0337F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'31'!$D$6:$D$20</c:f>
              <c:strCache>
                <c:ptCount val="14"/>
                <c:pt idx="2">
                  <c:v>BASE/FLANGE</c:v>
                </c:pt>
                <c:pt idx="5">
                  <c:v>LATCH</c:v>
                </c:pt>
                <c:pt idx="7">
                  <c:v>END PLATE</c:v>
                </c:pt>
                <c:pt idx="11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'31'!$AE$6:$AE$20</c:f>
              <c:numCache>
                <c:formatCode>0%</c:formatCode>
                <c:ptCount val="15"/>
                <c:pt idx="0">
                  <c:v>0.52222222222222225</c:v>
                </c:pt>
                <c:pt idx="1">
                  <c:v>0.52222222222222225</c:v>
                </c:pt>
                <c:pt idx="2">
                  <c:v>0.52222222222222225</c:v>
                </c:pt>
                <c:pt idx="3">
                  <c:v>0.52222222222222225</c:v>
                </c:pt>
                <c:pt idx="4">
                  <c:v>0.52222222222222225</c:v>
                </c:pt>
                <c:pt idx="5">
                  <c:v>0.52222222222222225</c:v>
                </c:pt>
                <c:pt idx="6">
                  <c:v>0.52222222222222225</c:v>
                </c:pt>
                <c:pt idx="7">
                  <c:v>0.52222222222222225</c:v>
                </c:pt>
                <c:pt idx="8">
                  <c:v>0.52222222222222225</c:v>
                </c:pt>
                <c:pt idx="9">
                  <c:v>0.52222222222222225</c:v>
                </c:pt>
                <c:pt idx="10">
                  <c:v>0.52222222222222225</c:v>
                </c:pt>
                <c:pt idx="11">
                  <c:v>0.52222222222222225</c:v>
                </c:pt>
                <c:pt idx="12">
                  <c:v>0.52222222222222225</c:v>
                </c:pt>
                <c:pt idx="13">
                  <c:v>0.52222222222222225</c:v>
                </c:pt>
                <c:pt idx="14">
                  <c:v>0.52222222222222225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58-49C8-80A8-34B56C033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'31'!$D$6:$D$20</c:f>
              <c:strCache>
                <c:ptCount val="14"/>
                <c:pt idx="2">
                  <c:v>BASE/FLANGE</c:v>
                </c:pt>
                <c:pt idx="5">
                  <c:v>LATCH</c:v>
                </c:pt>
                <c:pt idx="7">
                  <c:v>END PLATE</c:v>
                </c:pt>
                <c:pt idx="11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'31'!$L$6:$L$20</c:f>
              <c:numCache>
                <c:formatCode>_(* #,##0_);_(* \(#,##0\);_(* "-"_);_(@_)</c:formatCode>
                <c:ptCount val="15"/>
                <c:pt idx="2">
                  <c:v>1570</c:v>
                </c:pt>
                <c:pt idx="4">
                  <c:v>6301</c:v>
                </c:pt>
                <c:pt idx="5">
                  <c:v>12728</c:v>
                </c:pt>
                <c:pt idx="7">
                  <c:v>3272</c:v>
                </c:pt>
                <c:pt idx="10">
                  <c:v>3121</c:v>
                </c:pt>
                <c:pt idx="11">
                  <c:v>6451</c:v>
                </c:pt>
                <c:pt idx="12">
                  <c:v>6954</c:v>
                </c:pt>
                <c:pt idx="13">
                  <c:v>17176</c:v>
                </c:pt>
                <c:pt idx="14">
                  <c:v>82568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FE-4811-9DD7-7389D261C709}"/>
            </c:ext>
          </c:extLst>
        </c:ser>
        <c:ser>
          <c:idx val="1"/>
          <c:order val="1"/>
          <c:tx>
            <c:v>계획</c:v>
          </c:tx>
          <c:cat>
            <c:strRef>
              <c:f>'31'!$D$6:$D$20</c:f>
              <c:strCache>
                <c:ptCount val="14"/>
                <c:pt idx="2">
                  <c:v>BASE/FLANGE</c:v>
                </c:pt>
                <c:pt idx="5">
                  <c:v>LATCH</c:v>
                </c:pt>
                <c:pt idx="7">
                  <c:v>END PLATE</c:v>
                </c:pt>
                <c:pt idx="11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1570</c:v>
                </c:pt>
                <c:pt idx="3">
                  <c:v>0</c:v>
                </c:pt>
                <c:pt idx="4">
                  <c:v>6301</c:v>
                </c:pt>
                <c:pt idx="5">
                  <c:v>12728</c:v>
                </c:pt>
                <c:pt idx="7">
                  <c:v>3272</c:v>
                </c:pt>
                <c:pt idx="8">
                  <c:v>0</c:v>
                </c:pt>
                <c:pt idx="9">
                  <c:v>0</c:v>
                </c:pt>
                <c:pt idx="10">
                  <c:v>3121</c:v>
                </c:pt>
                <c:pt idx="11">
                  <c:v>6451</c:v>
                </c:pt>
                <c:pt idx="12">
                  <c:v>6954</c:v>
                </c:pt>
                <c:pt idx="13">
                  <c:v>17176</c:v>
                </c:pt>
                <c:pt idx="14">
                  <c:v>82568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FE-4811-9DD7-7389D261C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0%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71%</c:v>
                </c:pt>
                <c:pt idx="8">
                  <c:v>0%</c:v>
                </c:pt>
                <c:pt idx="9">
                  <c:v>0%</c:v>
                </c:pt>
                <c:pt idx="10">
                  <c:v>75%</c:v>
                </c:pt>
                <c:pt idx="11">
                  <c:v>100%</c:v>
                </c:pt>
                <c:pt idx="12">
                  <c:v>96%</c:v>
                </c:pt>
                <c:pt idx="13">
                  <c:v>100%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'31'!$D$6:$D$20</c:f>
              <c:strCache>
                <c:ptCount val="14"/>
                <c:pt idx="2">
                  <c:v>BASE/FLANGE</c:v>
                </c:pt>
                <c:pt idx="5">
                  <c:v>LATCH</c:v>
                </c:pt>
                <c:pt idx="7">
                  <c:v>END PLATE</c:v>
                </c:pt>
                <c:pt idx="11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0.70833333333333337</c:v>
                </c:pt>
                <c:pt idx="8">
                  <c:v>0</c:v>
                </c:pt>
                <c:pt idx="9">
                  <c:v>0</c:v>
                </c:pt>
                <c:pt idx="10">
                  <c:v>0.75</c:v>
                </c:pt>
                <c:pt idx="11">
                  <c:v>1</c:v>
                </c:pt>
                <c:pt idx="12">
                  <c:v>0.95833333333333337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4D-452D-BF42-FBD9B369060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4D-452D-BF42-FBD9B369060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'31'!$D$6:$D$20</c:f>
              <c:strCache>
                <c:ptCount val="14"/>
                <c:pt idx="2">
                  <c:v>BASE/FLANGE</c:v>
                </c:pt>
                <c:pt idx="5">
                  <c:v>LATCH</c:v>
                </c:pt>
                <c:pt idx="7">
                  <c:v>END PLATE</c:v>
                </c:pt>
                <c:pt idx="11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'31'!$AE$6:$AE$20</c:f>
              <c:numCache>
                <c:formatCode>0%</c:formatCode>
                <c:ptCount val="15"/>
                <c:pt idx="0">
                  <c:v>0.52222222222222225</c:v>
                </c:pt>
                <c:pt idx="1">
                  <c:v>0.52222222222222225</c:v>
                </c:pt>
                <c:pt idx="2">
                  <c:v>0.52222222222222225</c:v>
                </c:pt>
                <c:pt idx="3">
                  <c:v>0.52222222222222225</c:v>
                </c:pt>
                <c:pt idx="4">
                  <c:v>0.52222222222222225</c:v>
                </c:pt>
                <c:pt idx="5">
                  <c:v>0.52222222222222225</c:v>
                </c:pt>
                <c:pt idx="6">
                  <c:v>0.52222222222222225</c:v>
                </c:pt>
                <c:pt idx="7">
                  <c:v>0.52222222222222225</c:v>
                </c:pt>
                <c:pt idx="8">
                  <c:v>0.52222222222222225</c:v>
                </c:pt>
                <c:pt idx="9">
                  <c:v>0.52222222222222225</c:v>
                </c:pt>
                <c:pt idx="10">
                  <c:v>0.52222222222222225</c:v>
                </c:pt>
                <c:pt idx="11">
                  <c:v>0.52222222222222225</c:v>
                </c:pt>
                <c:pt idx="12">
                  <c:v>0.52222222222222225</c:v>
                </c:pt>
                <c:pt idx="13">
                  <c:v>0.52222222222222225</c:v>
                </c:pt>
                <c:pt idx="14">
                  <c:v>0.52222222222222225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4D-452D-BF42-FBD9B3690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BC8-40BD-B738-8731F3EB49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0.56944444444444453</c:v>
                </c:pt>
                <c:pt idx="1">
                  <c:v>0.47499999999999998</c:v>
                </c:pt>
                <c:pt idx="2">
                  <c:v>0.45277777777777772</c:v>
                </c:pt>
                <c:pt idx="3">
                  <c:v>0.54166666666666663</c:v>
                </c:pt>
                <c:pt idx="6">
                  <c:v>0.47499999999999998</c:v>
                </c:pt>
                <c:pt idx="7">
                  <c:v>0.36388888888888893</c:v>
                </c:pt>
                <c:pt idx="8">
                  <c:v>0.41388888888888886</c:v>
                </c:pt>
                <c:pt idx="9">
                  <c:v>0.42222222222222222</c:v>
                </c:pt>
                <c:pt idx="10">
                  <c:v>0.53332078853046594</c:v>
                </c:pt>
                <c:pt idx="13">
                  <c:v>0.49444444444444441</c:v>
                </c:pt>
                <c:pt idx="14">
                  <c:v>0.4</c:v>
                </c:pt>
                <c:pt idx="15">
                  <c:v>0.23333333333333334</c:v>
                </c:pt>
                <c:pt idx="16">
                  <c:v>0.36388888888888893</c:v>
                </c:pt>
                <c:pt idx="17">
                  <c:v>0.31944444444444448</c:v>
                </c:pt>
                <c:pt idx="20">
                  <c:v>0.25</c:v>
                </c:pt>
                <c:pt idx="21">
                  <c:v>0.2388888888888889</c:v>
                </c:pt>
                <c:pt idx="22">
                  <c:v>0.27777777777777779</c:v>
                </c:pt>
                <c:pt idx="23">
                  <c:v>0.36666666666666664</c:v>
                </c:pt>
                <c:pt idx="24">
                  <c:v>0.31666666666666665</c:v>
                </c:pt>
                <c:pt idx="27">
                  <c:v>0.25555555555555559</c:v>
                </c:pt>
                <c:pt idx="28">
                  <c:v>0.22769095860566449</c:v>
                </c:pt>
                <c:pt idx="29">
                  <c:v>0.37500000000000006</c:v>
                </c:pt>
                <c:pt idx="30">
                  <c:v>0.52222222222222225</c:v>
                </c:pt>
                <c:pt idx="31">
                  <c:v>0.28673514596496474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C8-40BD-B738-8731F3EB4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BC8-40BD-B738-8731F3EB496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8-40BD-B738-8731F3EB4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7.xml"/><Relationship Id="rId5" Type="http://schemas.openxmlformats.org/officeDocument/2006/relationships/chart" Target="../charts/chart106.xml"/><Relationship Id="rId4" Type="http://schemas.openxmlformats.org/officeDocument/2006/relationships/chart" Target="../charts/chart105.xml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9.xml"/><Relationship Id="rId1" Type="http://schemas.openxmlformats.org/officeDocument/2006/relationships/chart" Target="../charts/chart108.xml"/><Relationship Id="rId6" Type="http://schemas.openxmlformats.org/officeDocument/2006/relationships/chart" Target="../charts/chart112.xml"/><Relationship Id="rId5" Type="http://schemas.openxmlformats.org/officeDocument/2006/relationships/chart" Target="../charts/chart111.xml"/><Relationship Id="rId4" Type="http://schemas.openxmlformats.org/officeDocument/2006/relationships/chart" Target="../charts/chart110.xml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4.xml"/><Relationship Id="rId1" Type="http://schemas.openxmlformats.org/officeDocument/2006/relationships/chart" Target="../charts/chart113.xml"/><Relationship Id="rId6" Type="http://schemas.openxmlformats.org/officeDocument/2006/relationships/chart" Target="../charts/chart117.xml"/><Relationship Id="rId5" Type="http://schemas.openxmlformats.org/officeDocument/2006/relationships/chart" Target="../charts/chart116.xml"/><Relationship Id="rId4" Type="http://schemas.openxmlformats.org/officeDocument/2006/relationships/chart" Target="../charts/chart1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4AA4E59-29D4-44E8-B92B-F90D6175F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9355595-C2D4-4AE7-9CE0-CDF087B33A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E7920CC-0D69-4156-AD56-E36366EA7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257677D-5DB7-46AF-999A-3CA25E8B2B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18CBFC7-D28F-4ECF-8032-02AF9328DB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4AE2C20-88C7-469E-BB8F-EC741315A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1579594-429F-4954-97F8-BF6681233B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09B9949-CF2C-4751-8861-C1BDB8ABA3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D349CF8-9C01-4FE8-8500-327C680BC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CB061F7-E33A-41C6-A24E-FFDDC1FF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715B67C-8F56-4A40-811A-9CFC77A9D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CB094C5-D8D2-46B7-9DAB-32AC54CC0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65F8BF7-6F5E-4CDF-B8C7-6D2FF0060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7F3D7F8-55E1-4E01-A653-8A251F4FE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505853D-BC72-4490-93EA-C7F3C1CD4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B4CCE60-759B-42C7-9E6C-08C069946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F73A2DE-2E6F-4573-AFB3-FB772140A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E2D1D54-BF49-4C98-BE39-8F53604B1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25C5221-11EE-42ED-8E7E-390C57CE3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CA81CCD-75EB-4859-8637-F14873F16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F394FAD-A6D9-4085-A496-6B2A51AB4B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A6E8703-20BF-4FE9-91E6-2FE9930AD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3DE513B-C48F-4824-929A-7575400DF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DC64BAE-18A4-4832-AD64-DFB59A1FB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7BEEF6B-85AC-4696-AB66-9BC4A8B429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D0E28DA-FACE-4D12-9E7D-77C9B35D9A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B27E9A6-598A-4848-BD30-9973A9194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DA9AB0B-F61E-4169-931E-441B41A29B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9E45834-18DC-4920-9673-B8F9428545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3D64DD5-9B87-43F6-B2A4-155741178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F67B4A0-98D0-4A72-BB65-BC3001FF4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EB7634B-CB29-4E2A-985C-6838F9711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2A469A6-6E32-4F58-931F-4389E3B9AA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392E95B-45F3-410C-A0C9-818E7BB5F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662ACF4-71C7-4ECB-AA68-C0F51D017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9B7F83B-82FC-4C56-B2B1-B42B0D8DC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92CFA58-B78F-4BA6-BBFD-6303AED8DB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1C5626C-96D0-4FC0-9488-E146BECF3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EA29E19-1EB8-4761-9419-5BB832F3D2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F9040E6-C920-4066-AB92-EC590D3E3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F4268A5-B4F3-45F8-874C-2C79FC892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BD00E1A-CB08-489D-BF8D-EE48F0AB6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CB9697A-54D8-460E-A4CC-DFA2FB4ED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2872F4F-83CF-4D30-B015-26A342900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981CC11-CEA7-4665-B5E2-8E3EC47F1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35EBAA7-FE2E-4064-8951-B29A0AE77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0D038D9-02F2-4A3C-BFFD-192296C77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C6FBE81-AE8F-4919-AA7D-44249ADA3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79CA71A-C023-4C6B-A62B-39F8B1A929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45A75A7-0A3E-47B6-8E53-26FDAF8CA2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8F19F61-B56C-4E50-B1A5-B1CAEABA34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DE71F80-1A1E-47A7-BBC8-4CA41EC41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FADF04D-DECB-4C8F-9CAC-6044CFDD8F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5D24EF7-6F1C-41B8-92CC-D98132814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4076446-B1A0-4E6A-9080-785A05E51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6C26328-0254-4A6A-BBB5-3491BCDE0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227E98D-A3E6-404E-8CF8-E7D6C8A76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3B03234-74E0-409C-AD98-972953C9DC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770075B-8F77-43E5-8778-FB6D8CDE7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C8F1BE0-5396-4DE3-9379-AD06526C3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26616A5-28A1-4D22-A975-2C6D4EC847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475E6A8-F653-4036-A686-DF0C52BF3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A00B756-1CAF-4D37-95B7-B48B639AE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3FE930B-A90D-46E4-A30D-31423F09C5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EE5F96F-E4A9-4B64-AE69-12745B1D79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7F5DA1A-8F24-430A-868E-187132477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5C96A67-2DF7-49DB-B373-2BC19FA4E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B01FB7C-B19B-4F88-B6CE-B51381485E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19F50D7-8AF3-4C1F-B6B9-7C2E7DF13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AB4716E-FD77-4C13-AFCC-90D97ADB4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9DEFD52-18DF-4828-A856-CDB71C6A3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702123A-F293-4B56-BCB4-7682962A21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C3A1607-D7DF-43E3-8435-1DD44BCF4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2624B38-7FBD-41F8-A4A7-BC8CE385A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8BDAF9A-BFA5-44C0-8B8F-A1DD2C9539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C5AF1CB-8166-4BC9-AE5F-725B401AB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C82E629-1A57-42E3-B3BB-6F9E08C25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91C1762-2276-4ABE-92A3-4B2D5A9AF5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38E8544-5F72-429B-9F4C-BA25849DB0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2FEC406-61C2-44CE-AA44-423F79257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D62358E-27D3-4DC8-B4BC-5E3928976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AF09CC5-9397-4ECE-B779-21DD1FC3D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EF18AAF-9F20-494B-9DDE-F19183642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92A5C85-461D-4695-8306-168BF70D97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0B49D18-54BC-4453-9343-CAC30CFC2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73587A7-0392-4730-860F-6B48769B86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6EE8DE2-6622-4389-8D9E-4DD742884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AF6A6C7-2C2E-46F7-85DE-E8F3AFB71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2240090-72A6-41D5-BED3-68C0C5C698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BCFFF73-AFA1-4B92-896E-53E90ACB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2F38AEE-18E4-41AF-9683-0D48EB6DCB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26458</xdr:colOff>
      <xdr:row>50</xdr:row>
      <xdr:rowOff>224896</xdr:rowOff>
    </xdr:from>
    <xdr:to>
      <xdr:col>25</xdr:col>
      <xdr:colOff>158750</xdr:colOff>
      <xdr:row>53</xdr:row>
      <xdr:rowOff>132292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2E786CC-DBA2-4C99-85FF-8987BCDA3352}"/>
            </a:ext>
          </a:extLst>
        </xdr:cNvPr>
        <xdr:cNvSpPr txBox="1"/>
      </xdr:nvSpPr>
      <xdr:spPr>
        <a:xfrm>
          <a:off x="14552083" y="15861771"/>
          <a:ext cx="5265209" cy="9392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/>
            <a:t>SST</a:t>
          </a:r>
          <a:r>
            <a:rPr lang="en-US" altLang="ko-KR" sz="2000" baseline="0"/>
            <a:t> </a:t>
          </a:r>
          <a:r>
            <a:rPr lang="ko-KR" altLang="en-US" sz="2000" baseline="0"/>
            <a:t>셈플작업</a:t>
          </a:r>
          <a:r>
            <a:rPr lang="en-US" altLang="ko-KR" sz="2000" baseline="0"/>
            <a:t>(7</a:t>
          </a:r>
          <a:r>
            <a:rPr lang="ko-KR" altLang="en-US" sz="2000" baseline="0"/>
            <a:t>벌</a:t>
          </a:r>
          <a:r>
            <a:rPr lang="en-US" altLang="ko-KR" sz="2000" baseline="0"/>
            <a:t>)</a:t>
          </a:r>
          <a:endParaRPr lang="ko-KR" altLang="en-US" sz="2000"/>
        </a:p>
      </xdr:txBody>
    </xdr:sp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F561935-9912-4793-883C-DA6DF1624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C4E967B-D3D5-4730-94E5-90EBB6609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5BD3A90-7BF2-41D6-96BE-1D148A708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92A81F8-BE9C-48B2-9BB3-ABB154502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DBC33B4-2721-477B-86F5-95FF38048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82675DD-6EFA-492D-9DD8-194320F18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014C4D7-1D5D-43F7-B1C8-C5C0073BA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954E8FF-EB22-4854-9428-B264A3932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2B7AEEE-B469-4DA9-A3A2-18B9229D1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63D2946-603C-4896-A799-775562F65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ABAEDB4-225D-47D3-A5F8-4B1E477F9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2D29213-0C99-42F0-A9EA-42C4E920D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073169A-10F2-4602-9226-FB3A00DD6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37AF0FD-3AE8-4CE5-BC00-492F436E2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86B3B11-3A50-49CF-9003-31D83E836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CDEC91D-2292-4A5E-A3F8-DBFC0A3D5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8E2F879-DDD3-41D8-AAC2-4E0DDD60F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38352A0-E030-4D8A-B598-91F25CD8A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49E7721-5B46-49EF-9BD3-D6734F5F3B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D8B88B8-E9DA-4A9A-8903-009123FC5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D8397EA-BCDD-4E87-AD0D-65DDAA368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4AC126F-5651-47E4-BE9C-468748170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19BF3D1-4EBC-421C-84C5-FDB6079E2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7838BA7-B6BE-4D7C-94C1-8A702CE1E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4A47BF8-FFDE-4646-837D-9308D67CC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2B3F40D-6677-4AC9-B971-C35B63EEB9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F624232-A09B-4672-9154-56C34901A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05107C1-39A8-44E8-BCD2-7FAD9B134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4E722C3-B813-47EC-9CB5-67674F018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C4D4FFE-BB92-4D4B-A1C0-56007E0EAB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C94ECCF-19BA-4C49-AA13-AD96523D8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738ABF5-C6A0-422C-9D24-FAC23CE061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774AE10-C5E1-497F-B17C-575E1094A8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916E095-7458-4A11-82AA-002932CD6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55C6EFA-1E2A-43F0-B798-02E8AEB95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23CA1EA-7253-4412-AF6D-3E207F034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7DDA130-69CB-466A-A355-ABF8508C7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57482E7-C438-4552-94B8-EF7073192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0E8D61C-78A7-4F7A-9366-DE8B98D1E7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4980AD6-34D7-464A-8779-D624FFE7CA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51B470B-BFF7-4DD7-9809-04239D4B1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FA4251F-57A7-4F75-8C77-2E6F4AE4A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6402B69-5018-419B-B0AA-2187FCEC3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5DF106A-5573-444A-8E15-F7AA6F3B26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0103105-35FE-47AC-97E7-5697DEDE5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1110A42-CDBA-4EF0-AEED-54E17B537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7143051-EA5B-4A82-8DBA-BABAFA859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802B46F-CE69-443D-B45C-C727574B3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095CDA8-E0C9-4F7C-B813-7B247143F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2D641FC-6BF0-45FA-9D3A-16FBD46FC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F3C6BB2-40A2-4EE0-95F4-C7D22C91E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3B2F7D4-CE46-4A8B-9AA2-36EE89ED8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05AAFAD-D453-487B-8E9D-4405650D67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578DF49-BA12-4D65-82FF-A123C18A9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D7D2C30-E706-4DBE-866F-91B4E9F1C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6D81EAE-90D9-4818-BDD5-03C553CBB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410F28C-4ABC-4962-A3F5-E476F9C84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CE702CA-BD89-4C88-9625-1B20E4D7A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A7AC5C0-A289-4BE7-9B4D-550F5E1FF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8EC0BFA-56B7-42D6-A8F1-125B97723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72AA838-86BC-4591-B89B-A6C08A9E2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E0FE51F-FE64-47F2-86F0-AA3447CAB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9623AB1-DBFC-4922-B3AB-3F005C373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E7FE84A-24A0-4D53-B80D-B5A2CCA65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9A49635-E2AA-4FCB-9B70-6825D50F69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4307178-8B65-44A0-8D8A-FD8E0814C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5215F98-9216-4160-8BB2-FCD11B5C8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686E041-47D4-4F38-A312-9A10682E91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055A127-034B-49E3-9319-FC7E43B41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D9E4B9C-6962-4291-8051-B0EE197101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I11" sqref="AI11"/>
    </sheetView>
  </sheetViews>
  <sheetFormatPr defaultRowHeight="13.5"/>
  <cols>
    <col min="1" max="1" width="7.5" style="74" bestFit="1" customWidth="1"/>
    <col min="2" max="17" width="5.5" style="74" bestFit="1" customWidth="1"/>
    <col min="18" max="18" width="6" style="74" customWidth="1"/>
    <col min="19" max="33" width="5.5" style="74" bestFit="1" customWidth="1"/>
    <col min="34" max="16384" width="9" style="74"/>
  </cols>
  <sheetData>
    <row r="1" spans="1:33" ht="33.75" customHeight="1" thickBot="1">
      <c r="A1" s="375" t="s">
        <v>163</v>
      </c>
      <c r="B1" s="375"/>
      <c r="C1" s="375"/>
      <c r="D1" s="375"/>
      <c r="E1" s="375"/>
      <c r="F1" s="375"/>
      <c r="G1" s="375"/>
      <c r="H1" s="375"/>
    </row>
    <row r="2" spans="1:33" ht="21.75" customHeight="1" thickBot="1">
      <c r="A2" s="95" t="s">
        <v>59</v>
      </c>
      <c r="B2" s="97" t="s">
        <v>74</v>
      </c>
      <c r="C2" s="98" t="s">
        <v>75</v>
      </c>
      <c r="D2" s="98" t="s">
        <v>76</v>
      </c>
      <c r="E2" s="98" t="s">
        <v>77</v>
      </c>
      <c r="F2" s="98" t="s">
        <v>78</v>
      </c>
      <c r="G2" s="98" t="s">
        <v>79</v>
      </c>
      <c r="H2" s="98" t="s">
        <v>80</v>
      </c>
      <c r="I2" s="98" t="s">
        <v>81</v>
      </c>
      <c r="J2" s="98" t="s">
        <v>82</v>
      </c>
      <c r="K2" s="98" t="s">
        <v>83</v>
      </c>
      <c r="L2" s="98" t="s">
        <v>84</v>
      </c>
      <c r="M2" s="98" t="s">
        <v>85</v>
      </c>
      <c r="N2" s="98" t="s">
        <v>86</v>
      </c>
      <c r="O2" s="98" t="s">
        <v>87</v>
      </c>
      <c r="P2" s="98" t="s">
        <v>88</v>
      </c>
      <c r="Q2" s="98" t="s">
        <v>89</v>
      </c>
      <c r="R2" s="98" t="s">
        <v>90</v>
      </c>
      <c r="S2" s="98" t="s">
        <v>91</v>
      </c>
      <c r="T2" s="98" t="s">
        <v>92</v>
      </c>
      <c r="U2" s="98" t="s">
        <v>93</v>
      </c>
      <c r="V2" s="98" t="s">
        <v>94</v>
      </c>
      <c r="W2" s="98" t="s">
        <v>95</v>
      </c>
      <c r="X2" s="98" t="s">
        <v>96</v>
      </c>
      <c r="Y2" s="98" t="s">
        <v>97</v>
      </c>
      <c r="Z2" s="98" t="s">
        <v>98</v>
      </c>
      <c r="AA2" s="98" t="s">
        <v>99</v>
      </c>
      <c r="AB2" s="98" t="s">
        <v>100</v>
      </c>
      <c r="AC2" s="98" t="s">
        <v>101</v>
      </c>
      <c r="AD2" s="98" t="s">
        <v>102</v>
      </c>
      <c r="AE2" s="98" t="s">
        <v>103</v>
      </c>
      <c r="AF2" s="99" t="s">
        <v>104</v>
      </c>
      <c r="AG2" s="95" t="s">
        <v>106</v>
      </c>
    </row>
    <row r="3" spans="1:33" ht="21.75" customHeight="1">
      <c r="A3" s="115" t="s">
        <v>60</v>
      </c>
      <c r="B3" s="110">
        <f>'01'!AD6</f>
        <v>0</v>
      </c>
      <c r="C3" s="110">
        <f>'02'!AD6</f>
        <v>0</v>
      </c>
      <c r="D3" s="103">
        <f>'03'!AD6</f>
        <v>0</v>
      </c>
      <c r="E3" s="103">
        <f>'04'!AD6</f>
        <v>0</v>
      </c>
      <c r="F3" s="103"/>
      <c r="G3" s="103"/>
      <c r="H3" s="103">
        <f>'07'!AD6</f>
        <v>0</v>
      </c>
      <c r="I3" s="103">
        <f>'08'!AD6</f>
        <v>0</v>
      </c>
      <c r="J3" s="103">
        <f>'09'!AD6</f>
        <v>0</v>
      </c>
      <c r="K3" s="103">
        <f>'10'!AD6</f>
        <v>0</v>
      </c>
      <c r="L3" s="103">
        <f>'11'!AD6</f>
        <v>0</v>
      </c>
      <c r="M3" s="103"/>
      <c r="N3" s="121"/>
      <c r="O3" s="103">
        <f>'14'!AD6</f>
        <v>0</v>
      </c>
      <c r="P3" s="103">
        <f>'15'!AD6</f>
        <v>0</v>
      </c>
      <c r="Q3" s="103">
        <f>'16'!AD6</f>
        <v>0</v>
      </c>
      <c r="R3" s="103">
        <f>'17'!AD6</f>
        <v>0</v>
      </c>
      <c r="S3" s="103">
        <f>'18'!AD6</f>
        <v>0</v>
      </c>
      <c r="T3" s="103"/>
      <c r="U3" s="103"/>
      <c r="V3" s="103">
        <f>'21'!AD6</f>
        <v>0</v>
      </c>
      <c r="W3" s="121">
        <f>'22'!AD6</f>
        <v>0</v>
      </c>
      <c r="X3" s="103">
        <f>'23'!AD6</f>
        <v>0</v>
      </c>
      <c r="Y3" s="103">
        <f>'24'!AD6</f>
        <v>0</v>
      </c>
      <c r="Z3" s="103">
        <f>'25'!AD6</f>
        <v>0</v>
      </c>
      <c r="AA3" s="103"/>
      <c r="AB3" s="103"/>
      <c r="AC3" s="103">
        <f>'28'!AD6</f>
        <v>0</v>
      </c>
      <c r="AD3" s="103">
        <f>'29'!AD6</f>
        <v>0</v>
      </c>
      <c r="AE3" s="103">
        <f>'30'!AD6</f>
        <v>0</v>
      </c>
      <c r="AF3" s="104">
        <f>'31'!AD6</f>
        <v>0</v>
      </c>
      <c r="AG3" s="106">
        <f>SUM(B3:AF3)/31</f>
        <v>0</v>
      </c>
    </row>
    <row r="4" spans="1:33" ht="21.75" customHeight="1">
      <c r="A4" s="116" t="s">
        <v>61</v>
      </c>
      <c r="B4" s="111">
        <f>'01'!AD7</f>
        <v>0</v>
      </c>
      <c r="C4" s="111">
        <f>'02'!AD7</f>
        <v>0</v>
      </c>
      <c r="D4" s="80">
        <f>'03'!AD7</f>
        <v>0</v>
      </c>
      <c r="E4" s="80">
        <f>'04'!AD7</f>
        <v>0</v>
      </c>
      <c r="F4" s="80"/>
      <c r="G4" s="80"/>
      <c r="H4" s="80">
        <f>'07'!AD7</f>
        <v>0</v>
      </c>
      <c r="I4" s="80">
        <f>'08'!AD7</f>
        <v>0</v>
      </c>
      <c r="J4" s="80">
        <f>'09'!AD7</f>
        <v>0</v>
      </c>
      <c r="K4" s="80">
        <f>'10'!AD7</f>
        <v>0</v>
      </c>
      <c r="L4" s="80">
        <f>'11'!AD7</f>
        <v>0</v>
      </c>
      <c r="M4" s="80"/>
      <c r="N4" s="80"/>
      <c r="O4" s="80">
        <f>'14'!AD7</f>
        <v>0</v>
      </c>
      <c r="P4" s="80">
        <f>'15'!AD7</f>
        <v>0</v>
      </c>
      <c r="Q4" s="80">
        <f>'16'!AD7</f>
        <v>0</v>
      </c>
      <c r="R4" s="80">
        <f>'17'!AD7</f>
        <v>0</v>
      </c>
      <c r="S4" s="80">
        <f>'18'!AD7</f>
        <v>0</v>
      </c>
      <c r="T4" s="80"/>
      <c r="U4" s="80"/>
      <c r="V4" s="80">
        <f>'21'!AD7</f>
        <v>0</v>
      </c>
      <c r="W4" s="80">
        <f>'22'!AD7</f>
        <v>0</v>
      </c>
      <c r="X4" s="80">
        <f>'23'!AD7</f>
        <v>0</v>
      </c>
      <c r="Y4" s="80">
        <f>'24'!AD7</f>
        <v>0</v>
      </c>
      <c r="Z4" s="80">
        <f>'25'!AD7</f>
        <v>0</v>
      </c>
      <c r="AA4" s="80"/>
      <c r="AB4" s="80"/>
      <c r="AC4" s="80">
        <f>'28'!AD7</f>
        <v>0</v>
      </c>
      <c r="AD4" s="80">
        <f>'29'!AD7</f>
        <v>0</v>
      </c>
      <c r="AE4" s="80">
        <f>'30'!AD7</f>
        <v>0</v>
      </c>
      <c r="AF4" s="81">
        <f>'31'!AD7</f>
        <v>0</v>
      </c>
      <c r="AG4" s="82">
        <f t="shared" ref="AG4:AG18" si="0">SUM(B4:AF4)/31</f>
        <v>0</v>
      </c>
    </row>
    <row r="5" spans="1:33" ht="21.75" customHeight="1">
      <c r="A5" s="117" t="s">
        <v>62</v>
      </c>
      <c r="B5" s="112">
        <f>'01'!AD8</f>
        <v>1</v>
      </c>
      <c r="C5" s="112">
        <f>'02'!AD8</f>
        <v>0</v>
      </c>
      <c r="D5" s="83">
        <f>'03'!AD8</f>
        <v>0.79166666666666663</v>
      </c>
      <c r="E5" s="83">
        <f>'04'!AD8</f>
        <v>0.79166666666666663</v>
      </c>
      <c r="F5" s="83"/>
      <c r="G5" s="83"/>
      <c r="H5" s="83">
        <f>'07'!AD8</f>
        <v>0.875</v>
      </c>
      <c r="I5" s="83">
        <f>'08'!AD8</f>
        <v>0.83333333333333337</v>
      </c>
      <c r="J5" s="83">
        <f>'09'!AD8</f>
        <v>0.95833333333333337</v>
      </c>
      <c r="K5" s="83">
        <f>'10'!AD8</f>
        <v>1</v>
      </c>
      <c r="L5" s="83">
        <f>'11'!AD8</f>
        <v>0.58333333333333337</v>
      </c>
      <c r="M5" s="83"/>
      <c r="N5" s="83"/>
      <c r="O5" s="83">
        <f>'14'!AD8</f>
        <v>0</v>
      </c>
      <c r="P5" s="83">
        <f>'15'!AD8</f>
        <v>0.66666666666666663</v>
      </c>
      <c r="Q5" s="83">
        <f>'16'!AD8</f>
        <v>0.20833333333333334</v>
      </c>
      <c r="R5" s="83">
        <f>'17'!AD8</f>
        <v>0</v>
      </c>
      <c r="S5" s="83">
        <f>'18'!AD8</f>
        <v>0</v>
      </c>
      <c r="T5" s="83"/>
      <c r="U5" s="83"/>
      <c r="V5" s="83">
        <f>'21'!AD8</f>
        <v>0</v>
      </c>
      <c r="W5" s="122">
        <f>'22'!AD8</f>
        <v>0</v>
      </c>
      <c r="X5" s="83">
        <f>'23'!AD8</f>
        <v>0</v>
      </c>
      <c r="Y5" s="83">
        <f>'24'!AD8</f>
        <v>0</v>
      </c>
      <c r="Z5" s="83">
        <f>'25'!AD8</f>
        <v>0.16666666666666666</v>
      </c>
      <c r="AA5" s="83"/>
      <c r="AB5" s="83"/>
      <c r="AC5" s="83">
        <f>'28'!AD8</f>
        <v>0</v>
      </c>
      <c r="AD5" s="83">
        <f>'29'!AD8</f>
        <v>0</v>
      </c>
      <c r="AE5" s="83">
        <f>'30'!AD8</f>
        <v>0</v>
      </c>
      <c r="AF5" s="84">
        <f>'31'!AD8</f>
        <v>0.41666666666666669</v>
      </c>
      <c r="AG5" s="85">
        <f t="shared" si="0"/>
        <v>0.26747311827956988</v>
      </c>
    </row>
    <row r="6" spans="1:33" ht="21.75" customHeight="1">
      <c r="A6" s="118" t="s">
        <v>63</v>
      </c>
      <c r="B6" s="113">
        <f>'01'!AD9</f>
        <v>1</v>
      </c>
      <c r="C6" s="113">
        <f>'02'!AD9+'02'!AD10</f>
        <v>0.75</v>
      </c>
      <c r="D6" s="86">
        <f>'03'!AD9</f>
        <v>0.75</v>
      </c>
      <c r="E6" s="86">
        <f>'04'!AD9</f>
        <v>0.79166666666666663</v>
      </c>
      <c r="F6" s="86"/>
      <c r="G6" s="86"/>
      <c r="H6" s="86">
        <f>'07'!AD9</f>
        <v>0.33333333333333331</v>
      </c>
      <c r="I6" s="86">
        <f>'08'!AD9</f>
        <v>0</v>
      </c>
      <c r="J6" s="86">
        <f>'09'!AD9</f>
        <v>0.875</v>
      </c>
      <c r="K6" s="86">
        <f>'10'!AD9</f>
        <v>0</v>
      </c>
      <c r="L6" s="86">
        <f>'11'!AD9</f>
        <v>0</v>
      </c>
      <c r="M6" s="86"/>
      <c r="N6" s="86"/>
      <c r="O6" s="86">
        <f>'14'!AD9</f>
        <v>0</v>
      </c>
      <c r="P6" s="86">
        <f>'15'!AD9</f>
        <v>0</v>
      </c>
      <c r="Q6" s="86">
        <f>'16'!AD9</f>
        <v>0</v>
      </c>
      <c r="R6" s="86">
        <f>'17'!AD9</f>
        <v>0</v>
      </c>
      <c r="S6" s="86">
        <f>'18'!AD9</f>
        <v>0</v>
      </c>
      <c r="T6" s="86"/>
      <c r="U6" s="86"/>
      <c r="V6" s="86">
        <f>'21'!AD9</f>
        <v>0</v>
      </c>
      <c r="W6" s="86">
        <f>'22'!AD9</f>
        <v>0</v>
      </c>
      <c r="X6" s="86">
        <f>'23'!AD9</f>
        <v>0.58333333333333337</v>
      </c>
      <c r="Y6" s="86">
        <f>'24'!AD9</f>
        <v>1</v>
      </c>
      <c r="Z6" s="86">
        <f>'25'!AD9</f>
        <v>0</v>
      </c>
      <c r="AA6" s="86"/>
      <c r="AB6" s="86"/>
      <c r="AC6" s="86">
        <f>'28'!AD9</f>
        <v>0</v>
      </c>
      <c r="AD6" s="86">
        <f>'29'!AD9</f>
        <v>0</v>
      </c>
      <c r="AE6" s="86">
        <f>'30'!AD9</f>
        <v>0</v>
      </c>
      <c r="AF6" s="87">
        <f>'31'!AD9</f>
        <v>0</v>
      </c>
      <c r="AG6" s="88">
        <f t="shared" si="0"/>
        <v>0.19623655913978494</v>
      </c>
    </row>
    <row r="7" spans="1:33" ht="21.75" customHeight="1">
      <c r="A7" s="118" t="s">
        <v>64</v>
      </c>
      <c r="B7" s="113">
        <f>'01'!AD10</f>
        <v>0.875</v>
      </c>
      <c r="C7" s="113">
        <f>'02'!AD11</f>
        <v>0.83333333333333337</v>
      </c>
      <c r="D7" s="86">
        <f>'03'!AD10</f>
        <v>0.875</v>
      </c>
      <c r="E7" s="86">
        <f>'04'!AD10</f>
        <v>1</v>
      </c>
      <c r="F7" s="86"/>
      <c r="G7" s="86"/>
      <c r="H7" s="86">
        <f>'07'!AD10</f>
        <v>1</v>
      </c>
      <c r="I7" s="86">
        <f>'08'!AD10</f>
        <v>0.875</v>
      </c>
      <c r="J7" s="86">
        <f>'09'!AD10</f>
        <v>1</v>
      </c>
      <c r="K7" s="86">
        <f>'10'!AD10</f>
        <v>1</v>
      </c>
      <c r="L7" s="86">
        <f>'11'!AD10</f>
        <v>1</v>
      </c>
      <c r="M7" s="86"/>
      <c r="N7" s="86"/>
      <c r="O7" s="86">
        <f>'14'!AD10</f>
        <v>1</v>
      </c>
      <c r="P7" s="86">
        <f>'15'!AD10</f>
        <v>1</v>
      </c>
      <c r="Q7" s="86">
        <f>'16'!AD10</f>
        <v>1</v>
      </c>
      <c r="R7" s="86">
        <f>'17'!AD10</f>
        <v>0.58333333333333337</v>
      </c>
      <c r="S7" s="86">
        <f>'18'!AD10</f>
        <v>1</v>
      </c>
      <c r="T7" s="86"/>
      <c r="U7" s="86"/>
      <c r="V7" s="86">
        <f>'21'!AD10</f>
        <v>0.83333333333333337</v>
      </c>
      <c r="W7" s="86">
        <f>'22'!AD10</f>
        <v>0</v>
      </c>
      <c r="X7" s="86">
        <f>'23'!AD10</f>
        <v>0</v>
      </c>
      <c r="Y7" s="86">
        <f>'24'!AD10</f>
        <v>0</v>
      </c>
      <c r="Z7" s="86">
        <f>'25'!AD10</f>
        <v>0</v>
      </c>
      <c r="AA7" s="86"/>
      <c r="AB7" s="86"/>
      <c r="AC7" s="86">
        <f>'28'!AD10</f>
        <v>0</v>
      </c>
      <c r="AD7" s="86">
        <f>'29'!AD10</f>
        <v>0.79166666666666663</v>
      </c>
      <c r="AE7" s="86">
        <f>'30'!AD10</f>
        <v>1</v>
      </c>
      <c r="AF7" s="87">
        <f>'31'!AD10</f>
        <v>1</v>
      </c>
      <c r="AG7" s="88">
        <f t="shared" si="0"/>
        <v>0.53763440860215062</v>
      </c>
    </row>
    <row r="8" spans="1:33" ht="21.75" customHeight="1">
      <c r="A8" s="118" t="s">
        <v>65</v>
      </c>
      <c r="B8" s="113">
        <f>'01'!AD11</f>
        <v>0.83333333333333337</v>
      </c>
      <c r="C8" s="113">
        <f>'02'!AD12</f>
        <v>1</v>
      </c>
      <c r="D8" s="86">
        <f>'03'!AD11</f>
        <v>0.25</v>
      </c>
      <c r="E8" s="86">
        <f>'04'!AD11</f>
        <v>0</v>
      </c>
      <c r="F8" s="86"/>
      <c r="G8" s="86"/>
      <c r="H8" s="86">
        <f>'07'!AD11</f>
        <v>0</v>
      </c>
      <c r="I8" s="86">
        <f>'08'!AD11</f>
        <v>0</v>
      </c>
      <c r="J8" s="86">
        <f>'09'!AD11</f>
        <v>0</v>
      </c>
      <c r="K8" s="86">
        <f>'10'!AD11</f>
        <v>0</v>
      </c>
      <c r="L8" s="86">
        <f>'11'!AD11</f>
        <v>0.875</v>
      </c>
      <c r="M8" s="86"/>
      <c r="N8" s="86"/>
      <c r="O8" s="86">
        <f>'14'!AD11+'14'!AD12</f>
        <v>0.91666666666666674</v>
      </c>
      <c r="P8" s="86">
        <f>'15'!AD11</f>
        <v>0.79166666666666663</v>
      </c>
      <c r="Q8" s="86">
        <f>'16'!AD11</f>
        <v>0.41666666666666669</v>
      </c>
      <c r="R8" s="86">
        <f>'17'!AD11</f>
        <v>0.625</v>
      </c>
      <c r="S8" s="86">
        <f>'18'!AD11</f>
        <v>0.41666666666666669</v>
      </c>
      <c r="T8" s="86"/>
      <c r="U8" s="86"/>
      <c r="V8" s="86">
        <f>'21'!AD11</f>
        <v>0</v>
      </c>
      <c r="W8" s="86">
        <f>'22'!AD11</f>
        <v>0</v>
      </c>
      <c r="X8" s="86">
        <f>'23'!AD11</f>
        <v>0</v>
      </c>
      <c r="Y8" s="86">
        <f>'24'!AD11</f>
        <v>0.375</v>
      </c>
      <c r="Z8" s="86">
        <f>'25'!AD11</f>
        <v>0</v>
      </c>
      <c r="AA8" s="86"/>
      <c r="AB8" s="86"/>
      <c r="AC8" s="86">
        <f>'28'!AD11</f>
        <v>0.58333333333333337</v>
      </c>
      <c r="AD8" s="86">
        <f>'29'!AD11</f>
        <v>0.5</v>
      </c>
      <c r="AE8" s="86">
        <f>'30'!AD11</f>
        <v>0</v>
      </c>
      <c r="AF8" s="87">
        <f>'31'!AD11</f>
        <v>1</v>
      </c>
      <c r="AG8" s="88">
        <f t="shared" si="0"/>
        <v>0.27688172043010756</v>
      </c>
    </row>
    <row r="9" spans="1:33" ht="21.75" customHeight="1">
      <c r="A9" s="118" t="s">
        <v>66</v>
      </c>
      <c r="B9" s="113">
        <f>'01'!AD12</f>
        <v>1</v>
      </c>
      <c r="C9" s="113">
        <f>'02'!AD13</f>
        <v>0.54166666666666663</v>
      </c>
      <c r="D9" s="86">
        <f>'03'!AD12</f>
        <v>1</v>
      </c>
      <c r="E9" s="86">
        <f>'04'!AD12+'04'!AD13</f>
        <v>0.5</v>
      </c>
      <c r="F9" s="86"/>
      <c r="G9" s="86"/>
      <c r="H9" s="86">
        <f>'07'!AD12</f>
        <v>0.875</v>
      </c>
      <c r="I9" s="86">
        <f>'08'!AD12</f>
        <v>0.83333333333333337</v>
      </c>
      <c r="J9" s="86">
        <f>'09'!AD12</f>
        <v>0.41666666666666669</v>
      </c>
      <c r="K9" s="86">
        <f>'10'!AD12</f>
        <v>0.5</v>
      </c>
      <c r="L9" s="86">
        <f>'11'!AD12</f>
        <v>0.58314516129032257</v>
      </c>
      <c r="M9" s="86"/>
      <c r="N9" s="86"/>
      <c r="O9" s="86">
        <f>'14'!AD13</f>
        <v>0.58333333333333337</v>
      </c>
      <c r="P9" s="86">
        <f>'15'!AD12</f>
        <v>0</v>
      </c>
      <c r="Q9" s="86">
        <f>'16'!AD12</f>
        <v>0</v>
      </c>
      <c r="R9" s="86">
        <f>'17'!AD12</f>
        <v>0</v>
      </c>
      <c r="S9" s="86">
        <f>'18'!AD12</f>
        <v>0</v>
      </c>
      <c r="T9" s="86"/>
      <c r="U9" s="86"/>
      <c r="V9" s="86">
        <f>'21'!AD12</f>
        <v>0</v>
      </c>
      <c r="W9" s="86">
        <f>'22'!AD12</f>
        <v>0.29166666666666669</v>
      </c>
      <c r="X9" s="86">
        <f>'23'!AD12</f>
        <v>0.70833333333333337</v>
      </c>
      <c r="Y9" s="86">
        <f>'24'!AD12</f>
        <v>0.875</v>
      </c>
      <c r="Z9" s="86">
        <f>'25'!AD12</f>
        <v>1</v>
      </c>
      <c r="AA9" s="86"/>
      <c r="AB9" s="86"/>
      <c r="AC9" s="86">
        <f>'28'!AD12</f>
        <v>0</v>
      </c>
      <c r="AD9" s="86">
        <f>'29'!AD12</f>
        <v>0.3328888888888889</v>
      </c>
      <c r="AE9" s="86">
        <f>'30'!AD12</f>
        <v>0.20833333333333334</v>
      </c>
      <c r="AF9" s="87">
        <f>'31'!AD12</f>
        <v>0</v>
      </c>
      <c r="AG9" s="88">
        <f t="shared" si="0"/>
        <v>0.33062475430685623</v>
      </c>
    </row>
    <row r="10" spans="1:33" ht="21.75" customHeight="1">
      <c r="A10" s="118" t="s">
        <v>67</v>
      </c>
      <c r="B10" s="113">
        <f>'01'!AD13</f>
        <v>0</v>
      </c>
      <c r="C10" s="113">
        <f>'02'!AD14</f>
        <v>0</v>
      </c>
      <c r="D10" s="86">
        <f>'03'!AD13</f>
        <v>0</v>
      </c>
      <c r="E10" s="86">
        <f>'04'!AD14</f>
        <v>0.79166666666666663</v>
      </c>
      <c r="F10" s="86"/>
      <c r="G10" s="86"/>
      <c r="H10" s="86">
        <f>'07'!AD13</f>
        <v>0.79166666666666663</v>
      </c>
      <c r="I10" s="86">
        <f>'08'!AD13</f>
        <v>0</v>
      </c>
      <c r="J10" s="86">
        <f>'09'!AD13</f>
        <v>0</v>
      </c>
      <c r="K10" s="86">
        <f>'10'!AD13</f>
        <v>0</v>
      </c>
      <c r="L10" s="86">
        <f>'11'!AD13</f>
        <v>0.75</v>
      </c>
      <c r="M10" s="86"/>
      <c r="N10" s="86"/>
      <c r="O10" s="86">
        <f>'14'!AD14</f>
        <v>0.75</v>
      </c>
      <c r="P10" s="86">
        <f>'15'!AD13</f>
        <v>0</v>
      </c>
      <c r="Q10" s="86">
        <f>'16'!AD13</f>
        <v>0</v>
      </c>
      <c r="R10" s="86">
        <f>'17'!AD13</f>
        <v>0.83333333333333337</v>
      </c>
      <c r="S10" s="86">
        <f>'18'!AD13</f>
        <v>0</v>
      </c>
      <c r="T10" s="86"/>
      <c r="U10" s="86"/>
      <c r="V10" s="86">
        <f>'21'!AD13</f>
        <v>0</v>
      </c>
      <c r="W10" s="86">
        <f>'22'!AD13</f>
        <v>0.83333333333333337</v>
      </c>
      <c r="X10" s="86">
        <f>'23'!AD13</f>
        <v>0</v>
      </c>
      <c r="Y10" s="86">
        <f>'24'!AD13</f>
        <v>0</v>
      </c>
      <c r="Z10" s="86">
        <f>'25'!AD13</f>
        <v>0</v>
      </c>
      <c r="AA10" s="86"/>
      <c r="AB10" s="86"/>
      <c r="AC10" s="86">
        <f>'28'!AD13</f>
        <v>0</v>
      </c>
      <c r="AD10" s="86">
        <f>'29'!AD13</f>
        <v>0.29080882352941179</v>
      </c>
      <c r="AE10" s="86">
        <f>'30'!AD13</f>
        <v>0.66666666666666663</v>
      </c>
      <c r="AF10" s="87">
        <f>'31'!AD13</f>
        <v>0.70833333333333337</v>
      </c>
      <c r="AG10" s="88">
        <f t="shared" si="0"/>
        <v>0.20696157495256168</v>
      </c>
    </row>
    <row r="11" spans="1:33" ht="21.75" customHeight="1">
      <c r="A11" s="249" t="s">
        <v>68</v>
      </c>
      <c r="B11" s="250">
        <f>'01'!AD14</f>
        <v>0</v>
      </c>
      <c r="C11" s="250">
        <f>'02'!AD15</f>
        <v>0</v>
      </c>
      <c r="D11" s="251">
        <f>'03'!AD14</f>
        <v>0</v>
      </c>
      <c r="E11" s="251">
        <f>'04'!AD15</f>
        <v>0</v>
      </c>
      <c r="F11" s="251"/>
      <c r="G11" s="251"/>
      <c r="H11" s="251">
        <f>'07'!AD14</f>
        <v>0</v>
      </c>
      <c r="I11" s="251">
        <f>'08'!AD14</f>
        <v>0.45833333333333331</v>
      </c>
      <c r="J11" s="251">
        <f>'09'!AD14</f>
        <v>0.29166666666666669</v>
      </c>
      <c r="K11" s="251">
        <f>'10'!AD14</f>
        <v>0.45833333333333331</v>
      </c>
      <c r="L11" s="251">
        <f>'11'!AD14</f>
        <v>0.25</v>
      </c>
      <c r="M11" s="251"/>
      <c r="N11" s="251"/>
      <c r="O11" s="251">
        <f>'14'!AD15</f>
        <v>0.16666666666666666</v>
      </c>
      <c r="P11" s="251">
        <f>'15'!AD14+'15'!AD15</f>
        <v>0.54166666666666674</v>
      </c>
      <c r="Q11" s="251">
        <f>'16'!AD14</f>
        <v>0.29166666666666669</v>
      </c>
      <c r="R11" s="251">
        <f>'17'!AD14</f>
        <v>0</v>
      </c>
      <c r="S11" s="251">
        <f>'18'!AD14</f>
        <v>0</v>
      </c>
      <c r="T11" s="251"/>
      <c r="U11" s="251"/>
      <c r="V11" s="251">
        <f>'21'!AD14</f>
        <v>0</v>
      </c>
      <c r="W11" s="251">
        <f>'22'!AD14</f>
        <v>0</v>
      </c>
      <c r="X11" s="251">
        <f>'23'!AD14</f>
        <v>0</v>
      </c>
      <c r="Y11" s="251">
        <f>'24'!AD14</f>
        <v>0</v>
      </c>
      <c r="Z11" s="251">
        <f>'25'!AD14</f>
        <v>0</v>
      </c>
      <c r="AA11" s="251"/>
      <c r="AB11" s="251"/>
      <c r="AC11" s="251">
        <f>'28'!AD14</f>
        <v>0</v>
      </c>
      <c r="AD11" s="251">
        <f>'29'!AD14</f>
        <v>0</v>
      </c>
      <c r="AE11" s="251">
        <f>'30'!AD14</f>
        <v>0</v>
      </c>
      <c r="AF11" s="252">
        <f>'31'!AD14</f>
        <v>0</v>
      </c>
      <c r="AG11" s="253">
        <f t="shared" si="0"/>
        <v>7.9301075268817203E-2</v>
      </c>
    </row>
    <row r="12" spans="1:33" ht="21.75" customHeight="1">
      <c r="A12" s="117" t="s">
        <v>69</v>
      </c>
      <c r="B12" s="112">
        <f>'01'!AD15</f>
        <v>0</v>
      </c>
      <c r="C12" s="112">
        <f>'02'!AD16</f>
        <v>0</v>
      </c>
      <c r="D12" s="83">
        <f>'03'!AD15</f>
        <v>0.875</v>
      </c>
      <c r="E12" s="83">
        <f>'04'!AD16</f>
        <v>1</v>
      </c>
      <c r="F12" s="83"/>
      <c r="G12" s="83"/>
      <c r="H12" s="83">
        <f>'07'!AD15</f>
        <v>0.54166666666666663</v>
      </c>
      <c r="I12" s="83">
        <f>'08'!AD15</f>
        <v>0</v>
      </c>
      <c r="J12" s="83">
        <f>'09'!AD15</f>
        <v>0</v>
      </c>
      <c r="K12" s="83">
        <f>'10'!AD15</f>
        <v>0</v>
      </c>
      <c r="L12" s="83">
        <f>'11'!AD15</f>
        <v>0</v>
      </c>
      <c r="M12" s="83"/>
      <c r="N12" s="83"/>
      <c r="O12" s="83">
        <f>'14'!AD16</f>
        <v>0</v>
      </c>
      <c r="P12" s="83">
        <f>'15'!AD16</f>
        <v>0</v>
      </c>
      <c r="Q12" s="83">
        <f>'16'!AD15</f>
        <v>0.58333333333333337</v>
      </c>
      <c r="R12" s="83">
        <f>'17'!AD15</f>
        <v>1</v>
      </c>
      <c r="S12" s="83">
        <f>'18'!AD15</f>
        <v>0.41666666666666669</v>
      </c>
      <c r="T12" s="83"/>
      <c r="U12" s="83"/>
      <c r="V12" s="83">
        <f>'21'!AD15</f>
        <v>0</v>
      </c>
      <c r="W12" s="83">
        <f>'22'!AD15</f>
        <v>0</v>
      </c>
      <c r="X12" s="83">
        <f>'23'!AD15</f>
        <v>0</v>
      </c>
      <c r="Y12" s="83">
        <f>'24'!AD15</f>
        <v>0</v>
      </c>
      <c r="Z12" s="83">
        <f>'25'!AD15</f>
        <v>0.66666666666666663</v>
      </c>
      <c r="AA12" s="83"/>
      <c r="AB12" s="83"/>
      <c r="AC12" s="83">
        <f>'28'!AD15</f>
        <v>0</v>
      </c>
      <c r="AD12" s="83">
        <f>'29'!AD15</f>
        <v>0</v>
      </c>
      <c r="AE12" s="83">
        <f>'30'!AD15</f>
        <v>0</v>
      </c>
      <c r="AF12" s="84">
        <f>'31'!AD15</f>
        <v>0</v>
      </c>
      <c r="AG12" s="85">
        <f t="shared" si="0"/>
        <v>0.16397849462365593</v>
      </c>
    </row>
    <row r="13" spans="1:33" ht="21.75" customHeight="1">
      <c r="A13" s="117" t="s">
        <v>70</v>
      </c>
      <c r="B13" s="112">
        <f>'01'!AD16</f>
        <v>0</v>
      </c>
      <c r="C13" s="112">
        <f>'02'!AD17</f>
        <v>0</v>
      </c>
      <c r="D13" s="83">
        <f>'03'!AD16</f>
        <v>0</v>
      </c>
      <c r="E13" s="83">
        <f>'04'!AD17</f>
        <v>0.41666666666666669</v>
      </c>
      <c r="F13" s="83"/>
      <c r="G13" s="83"/>
      <c r="H13" s="83">
        <f>'07'!AD16</f>
        <v>0.16666666666666666</v>
      </c>
      <c r="I13" s="83">
        <f>'08'!AD16</f>
        <v>0.79166666666666663</v>
      </c>
      <c r="J13" s="83">
        <f>'09'!AD16</f>
        <v>0.95833333333333337</v>
      </c>
      <c r="K13" s="83">
        <f>'10'!AD16</f>
        <v>0.79166666666666663</v>
      </c>
      <c r="L13" s="83">
        <f>'11'!AD16</f>
        <v>0.95833333333333337</v>
      </c>
      <c r="M13" s="83"/>
      <c r="N13" s="83"/>
      <c r="O13" s="83">
        <f>'14'!AD17</f>
        <v>1</v>
      </c>
      <c r="P13" s="83">
        <f>'15'!AD17</f>
        <v>1</v>
      </c>
      <c r="Q13" s="83">
        <f>'16'!AD16</f>
        <v>0</v>
      </c>
      <c r="R13" s="83">
        <f>'17'!AD16</f>
        <v>0.875</v>
      </c>
      <c r="S13" s="83">
        <f>'18'!AD16</f>
        <v>1</v>
      </c>
      <c r="T13" s="83"/>
      <c r="U13" s="83"/>
      <c r="V13" s="83">
        <f>'21'!AD16</f>
        <v>1</v>
      </c>
      <c r="W13" s="83">
        <f>'22'!AD16</f>
        <v>1</v>
      </c>
      <c r="X13" s="83">
        <f>'23'!AD16</f>
        <v>0</v>
      </c>
      <c r="Y13" s="83">
        <f>'24'!AD16</f>
        <v>0</v>
      </c>
      <c r="Z13" s="83">
        <f>'25'!AD16</f>
        <v>0.41666666666666669</v>
      </c>
      <c r="AA13" s="83"/>
      <c r="AB13" s="83"/>
      <c r="AC13" s="83">
        <f>'28'!AD16</f>
        <v>0</v>
      </c>
      <c r="AD13" s="83">
        <f>'29'!AD16</f>
        <v>0</v>
      </c>
      <c r="AE13" s="83">
        <f>'30'!AD16</f>
        <v>1</v>
      </c>
      <c r="AF13" s="84">
        <f>'31'!AD16</f>
        <v>0.75</v>
      </c>
      <c r="AG13" s="85">
        <f t="shared" si="0"/>
        <v>0.39112903225806445</v>
      </c>
    </row>
    <row r="14" spans="1:33" ht="21.75" customHeight="1">
      <c r="A14" s="117" t="s">
        <v>71</v>
      </c>
      <c r="B14" s="112">
        <f>'01'!AD17</f>
        <v>1</v>
      </c>
      <c r="C14" s="112">
        <f>'02'!AD18</f>
        <v>1</v>
      </c>
      <c r="D14" s="83">
        <f>'03'!AD17</f>
        <v>0.66666666666666663</v>
      </c>
      <c r="E14" s="83">
        <f>'04'!AD18</f>
        <v>0.83333333333333337</v>
      </c>
      <c r="F14" s="83"/>
      <c r="G14" s="83"/>
      <c r="H14" s="83">
        <f>'07'!AD17</f>
        <v>1</v>
      </c>
      <c r="I14" s="83">
        <f>'08'!AD17</f>
        <v>1</v>
      </c>
      <c r="J14" s="83">
        <f>'09'!AD17</f>
        <v>1</v>
      </c>
      <c r="K14" s="83">
        <f>'10'!AD17</f>
        <v>1</v>
      </c>
      <c r="L14" s="83">
        <f>'11'!AD17</f>
        <v>1</v>
      </c>
      <c r="M14" s="83"/>
      <c r="N14" s="83"/>
      <c r="O14" s="83">
        <f>'14'!AD18</f>
        <v>1</v>
      </c>
      <c r="P14" s="83">
        <f>'15'!AD18</f>
        <v>1</v>
      </c>
      <c r="Q14" s="83">
        <f>'16'!AD17</f>
        <v>1</v>
      </c>
      <c r="R14" s="83">
        <f>'17'!AD17</f>
        <v>1</v>
      </c>
      <c r="S14" s="83">
        <f>'18'!AD17</f>
        <v>1</v>
      </c>
      <c r="T14" s="83"/>
      <c r="U14" s="83"/>
      <c r="V14" s="83">
        <f>'21'!AD17</f>
        <v>1</v>
      </c>
      <c r="W14" s="83">
        <f>'22'!AD17</f>
        <v>0</v>
      </c>
      <c r="X14" s="83">
        <f>'23'!AD17</f>
        <v>0.91666666666666663</v>
      </c>
      <c r="Y14" s="83">
        <f>'24'!AD17</f>
        <v>1</v>
      </c>
      <c r="Z14" s="83">
        <f>'25'!AD17</f>
        <v>1</v>
      </c>
      <c r="AA14" s="83"/>
      <c r="AB14" s="83"/>
      <c r="AC14" s="83">
        <f>'28'!AD17</f>
        <v>1</v>
      </c>
      <c r="AD14" s="83">
        <f>'29'!AD17</f>
        <v>0</v>
      </c>
      <c r="AE14" s="83">
        <f>'30'!AD17</f>
        <v>0</v>
      </c>
      <c r="AF14" s="84">
        <f>'31'!AD17</f>
        <v>1</v>
      </c>
      <c r="AG14" s="85">
        <f t="shared" si="0"/>
        <v>0.62634408602150526</v>
      </c>
    </row>
    <row r="15" spans="1:33" ht="21.75" customHeight="1">
      <c r="A15" s="118" t="s">
        <v>72</v>
      </c>
      <c r="B15" s="113">
        <f>'01'!AD18</f>
        <v>0.83333333333333337</v>
      </c>
      <c r="C15" s="113">
        <f>'02'!AD19</f>
        <v>1</v>
      </c>
      <c r="D15" s="86">
        <f>'03'!AD18</f>
        <v>1</v>
      </c>
      <c r="E15" s="86">
        <f>'04'!AD19</f>
        <v>1</v>
      </c>
      <c r="F15" s="86"/>
      <c r="G15" s="86"/>
      <c r="H15" s="86">
        <f>'07'!AD18</f>
        <v>1</v>
      </c>
      <c r="I15" s="86">
        <f>'08'!AD18</f>
        <v>0.66666666666666663</v>
      </c>
      <c r="J15" s="86">
        <f>'09'!AD18</f>
        <v>0.70833333333333337</v>
      </c>
      <c r="K15" s="86">
        <f>'10'!AD18</f>
        <v>1</v>
      </c>
      <c r="L15" s="86">
        <f>'11'!AD18</f>
        <v>1</v>
      </c>
      <c r="M15" s="86"/>
      <c r="N15" s="86"/>
      <c r="O15" s="86">
        <f>'14'!AD19</f>
        <v>1</v>
      </c>
      <c r="P15" s="86">
        <f>'15'!AD19</f>
        <v>0</v>
      </c>
      <c r="Q15" s="86">
        <f>'16'!AD18</f>
        <v>0</v>
      </c>
      <c r="R15" s="86">
        <f>'17'!AD18</f>
        <v>0.54166666666666663</v>
      </c>
      <c r="S15" s="86">
        <f>'18'!AD18</f>
        <v>0.95833333333333337</v>
      </c>
      <c r="T15" s="86"/>
      <c r="U15" s="86"/>
      <c r="V15" s="86">
        <f>'21'!AD18</f>
        <v>0.91666666666666663</v>
      </c>
      <c r="W15" s="86">
        <f>'22'!AD18</f>
        <v>0.95833333333333337</v>
      </c>
      <c r="X15" s="86">
        <f>'23'!AD18</f>
        <v>0.58333333333333337</v>
      </c>
      <c r="Y15" s="86">
        <f>'24'!AD18</f>
        <v>0.25</v>
      </c>
      <c r="Z15" s="86">
        <f>'25'!AD18</f>
        <v>0</v>
      </c>
      <c r="AA15" s="86"/>
      <c r="AB15" s="86"/>
      <c r="AC15" s="86">
        <f>'28'!AD18</f>
        <v>0.66666666666666663</v>
      </c>
      <c r="AD15" s="86">
        <f>'29'!AD18</f>
        <v>0.5</v>
      </c>
      <c r="AE15" s="86">
        <f>'30'!AD18</f>
        <v>0.83333333333333337</v>
      </c>
      <c r="AF15" s="87">
        <f>'31'!AD18</f>
        <v>0.95833333333333337</v>
      </c>
      <c r="AG15" s="88">
        <f t="shared" si="0"/>
        <v>0.52822580645161288</v>
      </c>
    </row>
    <row r="16" spans="1:33" ht="21.75" customHeight="1">
      <c r="A16" s="118" t="s">
        <v>73</v>
      </c>
      <c r="B16" s="113">
        <f>'01'!AD20</f>
        <v>1</v>
      </c>
      <c r="C16" s="113">
        <f>'02'!AD21</f>
        <v>1</v>
      </c>
      <c r="D16" s="86">
        <f>'03'!AD19</f>
        <v>0.58333333333333337</v>
      </c>
      <c r="E16" s="86">
        <f>'04'!AD20</f>
        <v>1</v>
      </c>
      <c r="F16" s="86"/>
      <c r="G16" s="86"/>
      <c r="H16" s="86">
        <f>'07'!AD19+'07'!AD20</f>
        <v>0.54166666666666663</v>
      </c>
      <c r="I16" s="86">
        <f>'08'!AD19</f>
        <v>0</v>
      </c>
      <c r="J16" s="86">
        <f>'09'!AD19</f>
        <v>0</v>
      </c>
      <c r="K16" s="86">
        <f>'10'!AD19</f>
        <v>0.58333333333333337</v>
      </c>
      <c r="L16" s="86">
        <f>'11'!AD19</f>
        <v>1</v>
      </c>
      <c r="M16" s="86"/>
      <c r="N16" s="86"/>
      <c r="O16" s="86">
        <f>'14'!AD20</f>
        <v>1</v>
      </c>
      <c r="P16" s="86">
        <f>'15'!AD20</f>
        <v>1</v>
      </c>
      <c r="Q16" s="86">
        <f>'16'!AD19</f>
        <v>0</v>
      </c>
      <c r="R16" s="86">
        <f>'17'!AD19</f>
        <v>0</v>
      </c>
      <c r="S16" s="86">
        <f>'18'!AD19</f>
        <v>0</v>
      </c>
      <c r="T16" s="86"/>
      <c r="U16" s="86"/>
      <c r="V16" s="86">
        <f>'21'!AD19</f>
        <v>0</v>
      </c>
      <c r="W16" s="86">
        <f>'22'!AD19</f>
        <v>0</v>
      </c>
      <c r="X16" s="86">
        <f>'23'!AD19</f>
        <v>0.875</v>
      </c>
      <c r="Y16" s="86">
        <f>'24'!AD19</f>
        <v>1</v>
      </c>
      <c r="Z16" s="86">
        <f>'25'!AD19</f>
        <v>0.79166666666666663</v>
      </c>
      <c r="AA16" s="86"/>
      <c r="AB16" s="86"/>
      <c r="AC16" s="86">
        <f>'28'!AD19</f>
        <v>1</v>
      </c>
      <c r="AD16" s="86">
        <f>'29'!AD19</f>
        <v>1</v>
      </c>
      <c r="AE16" s="86">
        <f>'30'!AD19</f>
        <v>1</v>
      </c>
      <c r="AF16" s="87">
        <f>'31'!AD19</f>
        <v>1</v>
      </c>
      <c r="AG16" s="88">
        <f t="shared" si="0"/>
        <v>0.46370967741935476</v>
      </c>
    </row>
    <row r="17" spans="1:33" ht="21.75" customHeight="1" thickBot="1">
      <c r="A17" s="119" t="s">
        <v>111</v>
      </c>
      <c r="B17" s="114">
        <f>'01'!AD21</f>
        <v>0</v>
      </c>
      <c r="C17" s="114">
        <f>'02'!AD22</f>
        <v>0</v>
      </c>
      <c r="D17" s="89">
        <f>'03'!AD20</f>
        <v>0</v>
      </c>
      <c r="E17" s="89">
        <f>'04'!AD21</f>
        <v>0</v>
      </c>
      <c r="F17" s="89"/>
      <c r="G17" s="89"/>
      <c r="H17" s="89">
        <f>'07'!AD21</f>
        <v>0</v>
      </c>
      <c r="I17" s="89">
        <f>'08'!AD20</f>
        <v>0</v>
      </c>
      <c r="J17" s="89">
        <f>'09'!AD20</f>
        <v>0</v>
      </c>
      <c r="K17" s="89">
        <f>'10'!AD20</f>
        <v>0</v>
      </c>
      <c r="L17" s="89">
        <f>'11'!AD20</f>
        <v>0</v>
      </c>
      <c r="M17" s="89"/>
      <c r="N17" s="89"/>
      <c r="O17" s="89">
        <f>'14'!AD21</f>
        <v>0</v>
      </c>
      <c r="P17" s="89">
        <f>'15'!AD21</f>
        <v>0</v>
      </c>
      <c r="Q17" s="89">
        <f>'16'!AD20</f>
        <v>0</v>
      </c>
      <c r="R17" s="89">
        <f>'17'!AD20</f>
        <v>0</v>
      </c>
      <c r="S17" s="89">
        <f>'18'!AD20</f>
        <v>0</v>
      </c>
      <c r="T17" s="89"/>
      <c r="U17" s="89"/>
      <c r="V17" s="89">
        <f>'21'!AD20</f>
        <v>0</v>
      </c>
      <c r="W17" s="89">
        <f>'22'!AD20</f>
        <v>0.5</v>
      </c>
      <c r="X17" s="89">
        <f>'23'!AD20</f>
        <v>0.5</v>
      </c>
      <c r="Y17" s="89">
        <f>'24'!AD20</f>
        <v>1</v>
      </c>
      <c r="Z17" s="89">
        <f>'25'!AD20</f>
        <v>0.70833333333333337</v>
      </c>
      <c r="AA17" s="89"/>
      <c r="AB17" s="89"/>
      <c r="AC17" s="89">
        <f>'28'!AD20</f>
        <v>0.58333333333333337</v>
      </c>
      <c r="AD17" s="89">
        <f>'29'!AD20</f>
        <v>0</v>
      </c>
      <c r="AE17" s="89">
        <f>'30'!AD20+'30'!AD21</f>
        <v>0.91666666666666674</v>
      </c>
      <c r="AF17" s="90">
        <f>'31'!AD20</f>
        <v>1</v>
      </c>
      <c r="AG17" s="91">
        <f t="shared" si="0"/>
        <v>0.16801075268817206</v>
      </c>
    </row>
    <row r="18" spans="1:33" s="92" customFormat="1" ht="21.75" customHeight="1">
      <c r="A18" s="96" t="s">
        <v>105</v>
      </c>
      <c r="B18" s="100">
        <f>'01'!AD22</f>
        <v>0.56944444444444453</v>
      </c>
      <c r="C18" s="100">
        <f>'02'!AD23</f>
        <v>0.47499999999999998</v>
      </c>
      <c r="D18" s="101">
        <f>'03'!AD21</f>
        <v>0.45277777777777772</v>
      </c>
      <c r="E18" s="101">
        <f>'04'!AD22</f>
        <v>0.54166666666666663</v>
      </c>
      <c r="F18" s="101"/>
      <c r="G18" s="101"/>
      <c r="H18" s="101">
        <f>'07'!AD22</f>
        <v>0.47499999999999998</v>
      </c>
      <c r="I18" s="101">
        <f>'08'!AD21</f>
        <v>0.36388888888888893</v>
      </c>
      <c r="J18" s="101">
        <f>'09'!AD21</f>
        <v>0.41388888888888886</v>
      </c>
      <c r="K18" s="101">
        <f>'10'!AD21</f>
        <v>0.42222222222222222</v>
      </c>
      <c r="L18" s="101">
        <f>'11'!AD21</f>
        <v>0.53332078853046594</v>
      </c>
      <c r="M18" s="101"/>
      <c r="N18" s="101"/>
      <c r="O18" s="101">
        <f>'14'!AD22</f>
        <v>0.49444444444444441</v>
      </c>
      <c r="P18" s="101">
        <f>'15'!AD22</f>
        <v>0.4</v>
      </c>
      <c r="Q18" s="101">
        <f>'16'!AD21</f>
        <v>0.23333333333333334</v>
      </c>
      <c r="R18" s="101">
        <f>'17'!AD21</f>
        <v>0.36388888888888893</v>
      </c>
      <c r="S18" s="101">
        <f>'18'!AD21</f>
        <v>0.31944444444444448</v>
      </c>
      <c r="T18" s="101"/>
      <c r="U18" s="101"/>
      <c r="V18" s="101">
        <f>'21'!AD21</f>
        <v>0.25</v>
      </c>
      <c r="W18" s="101">
        <f>'22'!AD21</f>
        <v>0.2388888888888889</v>
      </c>
      <c r="X18" s="101">
        <f>'23'!AD21</f>
        <v>0.27777777777777779</v>
      </c>
      <c r="Y18" s="101">
        <f>'24'!AD21</f>
        <v>0.36666666666666664</v>
      </c>
      <c r="Z18" s="101">
        <f>'25'!AD21</f>
        <v>0.31666666666666665</v>
      </c>
      <c r="AA18" s="101"/>
      <c r="AB18" s="101"/>
      <c r="AC18" s="101">
        <f>'28'!AD21</f>
        <v>0.25555555555555559</v>
      </c>
      <c r="AD18" s="101">
        <f>'29'!AD21</f>
        <v>0.22769095860566449</v>
      </c>
      <c r="AE18" s="101">
        <f>'30'!AD22</f>
        <v>0.37500000000000006</v>
      </c>
      <c r="AF18" s="102">
        <f>'31'!AD21</f>
        <v>0.52222222222222225</v>
      </c>
      <c r="AG18" s="105">
        <f t="shared" si="0"/>
        <v>0.28673514596496474</v>
      </c>
    </row>
    <row r="19" spans="1:33" ht="21.75" customHeight="1" thickBot="1">
      <c r="A19" s="75" t="s">
        <v>109</v>
      </c>
      <c r="B19" s="76">
        <v>0.7</v>
      </c>
      <c r="C19" s="77">
        <v>0.7</v>
      </c>
      <c r="D19" s="77">
        <v>0.7</v>
      </c>
      <c r="E19" s="77">
        <v>0.7</v>
      </c>
      <c r="F19" s="77">
        <v>0.7</v>
      </c>
      <c r="G19" s="77">
        <v>0.7</v>
      </c>
      <c r="H19" s="77">
        <v>0.7</v>
      </c>
      <c r="I19" s="77">
        <v>0.7</v>
      </c>
      <c r="J19" s="77">
        <v>0.7</v>
      </c>
      <c r="K19" s="77">
        <v>0.7</v>
      </c>
      <c r="L19" s="77">
        <v>0.7</v>
      </c>
      <c r="M19" s="77">
        <v>0.7</v>
      </c>
      <c r="N19" s="77">
        <v>0.7</v>
      </c>
      <c r="O19" s="77">
        <v>0.7</v>
      </c>
      <c r="P19" s="77">
        <v>0.7</v>
      </c>
      <c r="Q19" s="77">
        <v>0.7</v>
      </c>
      <c r="R19" s="77">
        <v>0.7</v>
      </c>
      <c r="S19" s="77">
        <v>0.7</v>
      </c>
      <c r="T19" s="77">
        <v>0.7</v>
      </c>
      <c r="U19" s="77">
        <v>0.7</v>
      </c>
      <c r="V19" s="77">
        <v>0.7</v>
      </c>
      <c r="W19" s="77">
        <v>0.7</v>
      </c>
      <c r="X19" s="77">
        <v>0.7</v>
      </c>
      <c r="Y19" s="77">
        <v>0.7</v>
      </c>
      <c r="Z19" s="77">
        <v>0.7</v>
      </c>
      <c r="AA19" s="77">
        <v>0.7</v>
      </c>
      <c r="AB19" s="77">
        <v>0.7</v>
      </c>
      <c r="AC19" s="77">
        <v>0.7</v>
      </c>
      <c r="AD19" s="77">
        <v>0.7</v>
      </c>
      <c r="AE19" s="77">
        <v>0.7</v>
      </c>
      <c r="AF19" s="78">
        <v>0.7</v>
      </c>
      <c r="AG19" s="79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B773-BEA8-4CA4-A6CF-07234EA7C346}">
  <sheetPr>
    <pageSetUpPr fitToPage="1"/>
  </sheetPr>
  <dimension ref="A1:AF87"/>
  <sheetViews>
    <sheetView zoomScale="72" zoomScaleNormal="72" zoomScaleSheetLayoutView="70" workbookViewId="0">
      <selection activeCell="AD23" sqref="AD2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162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136" t="s">
        <v>17</v>
      </c>
      <c r="L5" s="136" t="s">
        <v>18</v>
      </c>
      <c r="M5" s="136" t="s">
        <v>19</v>
      </c>
      <c r="N5" s="13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0.56944444444444453</v>
      </c>
      <c r="AF6" s="93">
        <f t="shared" ref="AF6:AF21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0.56944444444444453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123</v>
      </c>
      <c r="D8" s="55" t="s">
        <v>125</v>
      </c>
      <c r="E8" s="57" t="s">
        <v>146</v>
      </c>
      <c r="F8" s="33" t="s">
        <v>121</v>
      </c>
      <c r="G8" s="36">
        <v>4</v>
      </c>
      <c r="H8" s="38">
        <v>25</v>
      </c>
      <c r="I8" s="7">
        <v>400000</v>
      </c>
      <c r="J8" s="5">
        <v>18068</v>
      </c>
      <c r="K8" s="15">
        <f>L8+16608+16844+19920+20748</f>
        <v>92188</v>
      </c>
      <c r="L8" s="15">
        <f>2218*4+2299*4</f>
        <v>18068</v>
      </c>
      <c r="M8" s="16">
        <f t="shared" si="0"/>
        <v>18068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0.56944444444444453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114</v>
      </c>
      <c r="D9" s="55" t="s">
        <v>134</v>
      </c>
      <c r="E9" s="57" t="s">
        <v>152</v>
      </c>
      <c r="F9" s="33" t="s">
        <v>121</v>
      </c>
      <c r="G9" s="36">
        <v>1</v>
      </c>
      <c r="H9" s="38">
        <v>24</v>
      </c>
      <c r="I9" s="7">
        <v>16000</v>
      </c>
      <c r="J9" s="14">
        <v>4632</v>
      </c>
      <c r="K9" s="15">
        <f>L9+1505+4882</f>
        <v>11019</v>
      </c>
      <c r="L9" s="15">
        <f>2616+2016</f>
        <v>4632</v>
      </c>
      <c r="M9" s="16">
        <f t="shared" si="0"/>
        <v>4632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1</v>
      </c>
      <c r="AD9" s="10">
        <f t="shared" si="6"/>
        <v>1</v>
      </c>
      <c r="AE9" s="39">
        <f t="shared" si="7"/>
        <v>0.56944444444444453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123</v>
      </c>
      <c r="D10" s="55" t="s">
        <v>119</v>
      </c>
      <c r="E10" s="57" t="s">
        <v>147</v>
      </c>
      <c r="F10" s="12" t="s">
        <v>121</v>
      </c>
      <c r="G10" s="12">
        <v>4</v>
      </c>
      <c r="H10" s="13">
        <v>25</v>
      </c>
      <c r="I10" s="7">
        <v>400000</v>
      </c>
      <c r="J10" s="14">
        <v>18432</v>
      </c>
      <c r="K10" s="15">
        <f>L10+23776+26072+26756+24764</f>
        <v>119800</v>
      </c>
      <c r="L10" s="15">
        <f>1408*4+3200*4</f>
        <v>18432</v>
      </c>
      <c r="M10" s="16">
        <f t="shared" si="0"/>
        <v>18432</v>
      </c>
      <c r="N10" s="16">
        <v>0</v>
      </c>
      <c r="O10" s="62">
        <f t="shared" si="1"/>
        <v>0</v>
      </c>
      <c r="P10" s="42">
        <f t="shared" si="2"/>
        <v>21</v>
      </c>
      <c r="Q10" s="43">
        <f t="shared" si="3"/>
        <v>3</v>
      </c>
      <c r="R10" s="7"/>
      <c r="S10" s="6">
        <v>3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0.875</v>
      </c>
      <c r="AD10" s="10">
        <f t="shared" si="6"/>
        <v>0.875</v>
      </c>
      <c r="AE10" s="39">
        <f t="shared" si="7"/>
        <v>0.56944444444444453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123</v>
      </c>
      <c r="D11" s="55" t="s">
        <v>120</v>
      </c>
      <c r="E11" s="57" t="s">
        <v>150</v>
      </c>
      <c r="F11" s="12" t="s">
        <v>151</v>
      </c>
      <c r="G11" s="12">
        <v>1</v>
      </c>
      <c r="H11" s="13">
        <v>25</v>
      </c>
      <c r="I11" s="7">
        <v>35000</v>
      </c>
      <c r="J11" s="14">
        <v>4692</v>
      </c>
      <c r="K11" s="15">
        <f>L11+3530+5736+6036+5863+4843+3771</f>
        <v>34471</v>
      </c>
      <c r="L11" s="15">
        <f>3288+1404</f>
        <v>4692</v>
      </c>
      <c r="M11" s="16">
        <f t="shared" si="0"/>
        <v>4692</v>
      </c>
      <c r="N11" s="16">
        <v>0</v>
      </c>
      <c r="O11" s="62">
        <f t="shared" si="1"/>
        <v>0</v>
      </c>
      <c r="P11" s="42">
        <f t="shared" si="2"/>
        <v>20</v>
      </c>
      <c r="Q11" s="43">
        <f t="shared" si="3"/>
        <v>4</v>
      </c>
      <c r="R11" s="7"/>
      <c r="S11" s="6">
        <v>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0.83333333333333337</v>
      </c>
      <c r="AD11" s="10">
        <f t="shared" si="6"/>
        <v>0.83333333333333337</v>
      </c>
      <c r="AE11" s="39">
        <f t="shared" si="7"/>
        <v>0.56944444444444453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123</v>
      </c>
      <c r="D12" s="55" t="s">
        <v>117</v>
      </c>
      <c r="E12" s="57" t="s">
        <v>149</v>
      </c>
      <c r="F12" s="33" t="s">
        <v>129</v>
      </c>
      <c r="G12" s="36">
        <v>1</v>
      </c>
      <c r="H12" s="38">
        <v>24</v>
      </c>
      <c r="I12" s="7">
        <v>35000</v>
      </c>
      <c r="J12" s="14">
        <v>4989</v>
      </c>
      <c r="K12" s="15">
        <f>L12+2181+2158+5261+5417+5567+3991+3627+5105</f>
        <v>38296</v>
      </c>
      <c r="L12" s="15">
        <f>2552+2437</f>
        <v>4989</v>
      </c>
      <c r="M12" s="16">
        <f t="shared" si="0"/>
        <v>4989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0.56944444444444453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123</v>
      </c>
      <c r="D13" s="55" t="s">
        <v>142</v>
      </c>
      <c r="E13" s="57" t="s">
        <v>141</v>
      </c>
      <c r="F13" s="12" t="s">
        <v>143</v>
      </c>
      <c r="G13" s="12">
        <v>4</v>
      </c>
      <c r="H13" s="13">
        <v>25</v>
      </c>
      <c r="I13" s="7">
        <v>30000</v>
      </c>
      <c r="J13" s="14">
        <v>10540</v>
      </c>
      <c r="K13" s="15">
        <f>L13+22420+10540</f>
        <v>32960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0.56944444444444453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114</v>
      </c>
      <c r="D14" s="55" t="s">
        <v>117</v>
      </c>
      <c r="E14" s="57" t="s">
        <v>159</v>
      </c>
      <c r="F14" s="33" t="s">
        <v>160</v>
      </c>
      <c r="G14" s="36">
        <v>1</v>
      </c>
      <c r="H14" s="38">
        <v>25</v>
      </c>
      <c r="I14" s="7">
        <v>500</v>
      </c>
      <c r="J14" s="5">
        <v>613</v>
      </c>
      <c r="K14" s="15">
        <f>L14+613</f>
        <v>613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0.56944444444444453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137</v>
      </c>
      <c r="D15" s="55" t="s">
        <v>138</v>
      </c>
      <c r="E15" s="57" t="s">
        <v>136</v>
      </c>
      <c r="F15" s="12" t="s">
        <v>139</v>
      </c>
      <c r="G15" s="12">
        <v>1</v>
      </c>
      <c r="H15" s="13">
        <v>24</v>
      </c>
      <c r="I15" s="34">
        <v>100000</v>
      </c>
      <c r="J15" s="14">
        <v>27965</v>
      </c>
      <c r="K15" s="15">
        <f>L15+32805+66430+67599+62860+19229+27965</f>
        <v>276888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0.56944444444444453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123</v>
      </c>
      <c r="D16" s="55" t="s">
        <v>119</v>
      </c>
      <c r="E16" s="57" t="s">
        <v>145</v>
      </c>
      <c r="F16" s="33" t="s">
        <v>140</v>
      </c>
      <c r="G16" s="36">
        <v>1</v>
      </c>
      <c r="H16" s="38">
        <v>24</v>
      </c>
      <c r="I16" s="7">
        <v>35000</v>
      </c>
      <c r="J16" s="5">
        <v>4375</v>
      </c>
      <c r="K16" s="15">
        <f>L16+4512+3969+4406+3892+1774+3617+2504+3561+4272+5733+4375</f>
        <v>42615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0.56944444444444453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123</v>
      </c>
      <c r="D17" s="55" t="s">
        <v>124</v>
      </c>
      <c r="E17" s="57" t="s">
        <v>148</v>
      </c>
      <c r="F17" s="12" t="s">
        <v>131</v>
      </c>
      <c r="G17" s="12">
        <v>4</v>
      </c>
      <c r="H17" s="13">
        <v>24</v>
      </c>
      <c r="I17" s="34">
        <v>400000</v>
      </c>
      <c r="J17" s="14">
        <v>24768</v>
      </c>
      <c r="K17" s="15">
        <f>L17+19964+21928+25296+24300</f>
        <v>116256</v>
      </c>
      <c r="L17" s="15">
        <f>3394*4+2798*4</f>
        <v>24768</v>
      </c>
      <c r="M17" s="16">
        <f t="shared" si="0"/>
        <v>24768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0.56944444444444453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123</v>
      </c>
      <c r="D18" s="55" t="s">
        <v>117</v>
      </c>
      <c r="E18" s="57" t="s">
        <v>153</v>
      </c>
      <c r="F18" s="12" t="s">
        <v>129</v>
      </c>
      <c r="G18" s="36">
        <v>4</v>
      </c>
      <c r="H18" s="38">
        <v>24</v>
      </c>
      <c r="I18" s="7">
        <v>400000</v>
      </c>
      <c r="J18" s="5">
        <v>13888</v>
      </c>
      <c r="K18" s="15">
        <f>L18+12380+14384+22568+16460</f>
        <v>79680</v>
      </c>
      <c r="L18" s="15">
        <f>2742*4+730*4</f>
        <v>13888</v>
      </c>
      <c r="M18" s="16">
        <f t="shared" si="0"/>
        <v>13888</v>
      </c>
      <c r="N18" s="16">
        <v>0</v>
      </c>
      <c r="O18" s="62">
        <f t="shared" si="1"/>
        <v>0</v>
      </c>
      <c r="P18" s="42">
        <f t="shared" si="2"/>
        <v>20</v>
      </c>
      <c r="Q18" s="43">
        <f t="shared" si="3"/>
        <v>4</v>
      </c>
      <c r="R18" s="7"/>
      <c r="S18" s="6">
        <v>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9">
        <f t="shared" si="7"/>
        <v>0.56944444444444453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118</v>
      </c>
      <c r="D19" s="55" t="s">
        <v>119</v>
      </c>
      <c r="E19" s="57" t="s">
        <v>157</v>
      </c>
      <c r="F19" s="12" t="s">
        <v>156</v>
      </c>
      <c r="G19" s="36">
        <v>1</v>
      </c>
      <c r="H19" s="13">
        <v>24</v>
      </c>
      <c r="I19" s="7">
        <v>16000</v>
      </c>
      <c r="J19" s="14">
        <v>4963</v>
      </c>
      <c r="K19" s="15">
        <f>L19+3970+4851</f>
        <v>13784</v>
      </c>
      <c r="L19" s="15">
        <f>2705+2258</f>
        <v>4963</v>
      </c>
      <c r="M19" s="16">
        <f t="shared" si="0"/>
        <v>4963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0.56944444444444453</v>
      </c>
      <c r="AF19" s="93">
        <f t="shared" si="8"/>
        <v>14</v>
      </c>
    </row>
    <row r="20" spans="1:32" ht="27" customHeight="1">
      <c r="A20" s="109">
        <v>14</v>
      </c>
      <c r="B20" s="11" t="s">
        <v>57</v>
      </c>
      <c r="C20" s="11" t="s">
        <v>118</v>
      </c>
      <c r="D20" s="55" t="s">
        <v>155</v>
      </c>
      <c r="E20" s="57" t="s">
        <v>158</v>
      </c>
      <c r="F20" s="12" t="s">
        <v>156</v>
      </c>
      <c r="G20" s="36">
        <v>1</v>
      </c>
      <c r="H20" s="13">
        <v>24</v>
      </c>
      <c r="I20" s="7">
        <v>16000</v>
      </c>
      <c r="J20" s="14">
        <v>4963</v>
      </c>
      <c r="K20" s="15">
        <f>L20+3970+4851</f>
        <v>13784</v>
      </c>
      <c r="L20" s="15">
        <v>4963</v>
      </c>
      <c r="M20" s="16">
        <f t="shared" si="0"/>
        <v>4963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0.56944444444444453</v>
      </c>
      <c r="AF20" s="93">
        <f t="shared" si="8"/>
        <v>14</v>
      </c>
    </row>
    <row r="21" spans="1:32" ht="27" customHeight="1" thickBot="1">
      <c r="A21" s="109">
        <v>15</v>
      </c>
      <c r="B21" s="11" t="s">
        <v>57</v>
      </c>
      <c r="C21" s="11" t="s">
        <v>115</v>
      </c>
      <c r="D21" s="55"/>
      <c r="E21" s="56" t="s">
        <v>133</v>
      </c>
      <c r="F21" s="12" t="s">
        <v>116</v>
      </c>
      <c r="G21" s="12">
        <v>4</v>
      </c>
      <c r="H21" s="38">
        <v>20</v>
      </c>
      <c r="I21" s="7">
        <v>300000</v>
      </c>
      <c r="J21" s="14">
        <v>10476</v>
      </c>
      <c r="K21" s="15">
        <f>L21+39648+30712+45256+43600+10476</f>
        <v>169692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>
        <v>24</v>
      </c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0.56944444444444453</v>
      </c>
      <c r="AF21" s="93">
        <f t="shared" si="8"/>
        <v>15</v>
      </c>
    </row>
    <row r="22" spans="1:32" ht="31.5" customHeight="1" thickBot="1">
      <c r="A22" s="450" t="s">
        <v>34</v>
      </c>
      <c r="B22" s="451"/>
      <c r="C22" s="451"/>
      <c r="D22" s="451"/>
      <c r="E22" s="451"/>
      <c r="F22" s="451"/>
      <c r="G22" s="451"/>
      <c r="H22" s="452"/>
      <c r="I22" s="25">
        <f t="shared" ref="I22:N22" si="9">SUM(I6:I21)</f>
        <v>2183500</v>
      </c>
      <c r="J22" s="22">
        <f t="shared" si="9"/>
        <v>153364</v>
      </c>
      <c r="K22" s="23">
        <f t="shared" si="9"/>
        <v>1042046</v>
      </c>
      <c r="L22" s="24">
        <f t="shared" si="9"/>
        <v>99395</v>
      </c>
      <c r="M22" s="23">
        <f t="shared" si="9"/>
        <v>99395</v>
      </c>
      <c r="N22" s="24">
        <f t="shared" si="9"/>
        <v>0</v>
      </c>
      <c r="O22" s="44">
        <f t="shared" si="1"/>
        <v>0</v>
      </c>
      <c r="P22" s="45">
        <f t="shared" ref="P22:AA22" si="10">SUM(P6:P21)</f>
        <v>205</v>
      </c>
      <c r="Q22" s="46">
        <f t="shared" si="10"/>
        <v>179</v>
      </c>
      <c r="R22" s="26">
        <f t="shared" si="10"/>
        <v>24</v>
      </c>
      <c r="S22" s="27">
        <f t="shared" si="10"/>
        <v>11</v>
      </c>
      <c r="T22" s="27">
        <f t="shared" si="10"/>
        <v>0</v>
      </c>
      <c r="U22" s="27">
        <f t="shared" si="10"/>
        <v>0</v>
      </c>
      <c r="V22" s="28">
        <f t="shared" si="10"/>
        <v>24</v>
      </c>
      <c r="W22" s="29">
        <f t="shared" si="10"/>
        <v>120</v>
      </c>
      <c r="X22" s="30">
        <f t="shared" si="10"/>
        <v>0</v>
      </c>
      <c r="Y22" s="30">
        <f t="shared" si="10"/>
        <v>0</v>
      </c>
      <c r="Z22" s="30">
        <f t="shared" si="10"/>
        <v>0</v>
      </c>
      <c r="AA22" s="30">
        <f t="shared" si="10"/>
        <v>0</v>
      </c>
      <c r="AB22" s="31">
        <f>SUM(AB6:AB21)/15</f>
        <v>0.6</v>
      </c>
      <c r="AC22" s="4">
        <f>SUM(AC6:AC21)/15</f>
        <v>0.56944444444444453</v>
      </c>
      <c r="AD22" s="4">
        <f>SUM(AD6:AD21)/15</f>
        <v>0.56944444444444453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4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53" t="s">
        <v>45</v>
      </c>
      <c r="B49" s="453"/>
      <c r="C49" s="453"/>
      <c r="D49" s="453"/>
      <c r="E49" s="453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54" t="s">
        <v>164</v>
      </c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6"/>
      <c r="N50" s="457" t="s">
        <v>169</v>
      </c>
      <c r="O50" s="458"/>
      <c r="P50" s="458"/>
      <c r="Q50" s="458"/>
      <c r="R50" s="458"/>
      <c r="S50" s="458"/>
      <c r="T50" s="458"/>
      <c r="U50" s="458"/>
      <c r="V50" s="458"/>
      <c r="W50" s="458"/>
      <c r="X50" s="458"/>
      <c r="Y50" s="458"/>
      <c r="Z50" s="458"/>
      <c r="AA50" s="458"/>
      <c r="AB50" s="458"/>
      <c r="AC50" s="458"/>
      <c r="AD50" s="459"/>
    </row>
    <row r="51" spans="1:32" ht="27" customHeight="1">
      <c r="A51" s="460" t="s">
        <v>2</v>
      </c>
      <c r="B51" s="461"/>
      <c r="C51" s="135" t="s">
        <v>46</v>
      </c>
      <c r="D51" s="135" t="s">
        <v>47</v>
      </c>
      <c r="E51" s="135" t="s">
        <v>108</v>
      </c>
      <c r="F51" s="461" t="s">
        <v>107</v>
      </c>
      <c r="G51" s="461"/>
      <c r="H51" s="461"/>
      <c r="I51" s="461"/>
      <c r="J51" s="461"/>
      <c r="K51" s="461"/>
      <c r="L51" s="461"/>
      <c r="M51" s="462"/>
      <c r="N51" s="73" t="s">
        <v>112</v>
      </c>
      <c r="O51" s="135" t="s">
        <v>46</v>
      </c>
      <c r="P51" s="463" t="s">
        <v>47</v>
      </c>
      <c r="Q51" s="464"/>
      <c r="R51" s="463" t="s">
        <v>38</v>
      </c>
      <c r="S51" s="465"/>
      <c r="T51" s="465"/>
      <c r="U51" s="464"/>
      <c r="V51" s="463" t="s">
        <v>48</v>
      </c>
      <c r="W51" s="465"/>
      <c r="X51" s="465"/>
      <c r="Y51" s="465"/>
      <c r="Z51" s="465"/>
      <c r="AA51" s="465"/>
      <c r="AB51" s="465"/>
      <c r="AC51" s="465"/>
      <c r="AD51" s="466"/>
    </row>
    <row r="52" spans="1:32" ht="27" customHeight="1">
      <c r="A52" s="434" t="s">
        <v>123</v>
      </c>
      <c r="B52" s="435"/>
      <c r="C52" s="132" t="s">
        <v>144</v>
      </c>
      <c r="D52" s="132" t="s">
        <v>120</v>
      </c>
      <c r="E52" s="132" t="s">
        <v>161</v>
      </c>
      <c r="F52" s="445" t="s">
        <v>132</v>
      </c>
      <c r="G52" s="446"/>
      <c r="H52" s="446"/>
      <c r="I52" s="446"/>
      <c r="J52" s="446"/>
      <c r="K52" s="446"/>
      <c r="L52" s="446"/>
      <c r="M52" s="447"/>
      <c r="N52" s="131" t="s">
        <v>123</v>
      </c>
      <c r="O52" s="124" t="s">
        <v>154</v>
      </c>
      <c r="P52" s="443" t="s">
        <v>125</v>
      </c>
      <c r="Q52" s="444"/>
      <c r="R52" s="435" t="s">
        <v>146</v>
      </c>
      <c r="S52" s="435"/>
      <c r="T52" s="435"/>
      <c r="U52" s="435"/>
      <c r="V52" s="426" t="s">
        <v>130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123</v>
      </c>
      <c r="B53" s="435"/>
      <c r="C53" s="132" t="s">
        <v>166</v>
      </c>
      <c r="D53" s="132" t="s">
        <v>167</v>
      </c>
      <c r="E53" s="132" t="s">
        <v>165</v>
      </c>
      <c r="F53" s="445" t="s">
        <v>168</v>
      </c>
      <c r="G53" s="446"/>
      <c r="H53" s="446"/>
      <c r="I53" s="446"/>
      <c r="J53" s="446"/>
      <c r="K53" s="446"/>
      <c r="L53" s="446"/>
      <c r="M53" s="447"/>
      <c r="N53" s="137" t="s">
        <v>123</v>
      </c>
      <c r="O53" s="124" t="s">
        <v>122</v>
      </c>
      <c r="P53" s="443" t="s">
        <v>119</v>
      </c>
      <c r="Q53" s="444"/>
      <c r="R53" s="435" t="s">
        <v>147</v>
      </c>
      <c r="S53" s="435"/>
      <c r="T53" s="435"/>
      <c r="U53" s="435"/>
      <c r="V53" s="426" t="s">
        <v>130</v>
      </c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/>
      <c r="B54" s="435"/>
      <c r="C54" s="132"/>
      <c r="D54" s="132"/>
      <c r="E54" s="132"/>
      <c r="F54" s="445"/>
      <c r="G54" s="446"/>
      <c r="H54" s="446"/>
      <c r="I54" s="446"/>
      <c r="J54" s="446"/>
      <c r="K54" s="446"/>
      <c r="L54" s="446"/>
      <c r="M54" s="447"/>
      <c r="N54" s="131" t="s">
        <v>172</v>
      </c>
      <c r="O54" s="124" t="s">
        <v>173</v>
      </c>
      <c r="P54" s="435" t="s">
        <v>167</v>
      </c>
      <c r="Q54" s="435"/>
      <c r="R54" s="435" t="s">
        <v>170</v>
      </c>
      <c r="S54" s="435"/>
      <c r="T54" s="435"/>
      <c r="U54" s="435"/>
      <c r="V54" s="426" t="s">
        <v>171</v>
      </c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/>
      <c r="B55" s="435"/>
      <c r="C55" s="132"/>
      <c r="D55" s="132"/>
      <c r="E55" s="132"/>
      <c r="F55" s="445"/>
      <c r="G55" s="446"/>
      <c r="H55" s="446"/>
      <c r="I55" s="446"/>
      <c r="J55" s="446"/>
      <c r="K55" s="446"/>
      <c r="L55" s="446"/>
      <c r="M55" s="447"/>
      <c r="N55" s="131" t="s">
        <v>172</v>
      </c>
      <c r="O55" s="124" t="s">
        <v>173</v>
      </c>
      <c r="P55" s="443" t="s">
        <v>174</v>
      </c>
      <c r="Q55" s="444"/>
      <c r="R55" s="435" t="s">
        <v>175</v>
      </c>
      <c r="S55" s="435"/>
      <c r="T55" s="435"/>
      <c r="U55" s="435"/>
      <c r="V55" s="426" t="s">
        <v>171</v>
      </c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132"/>
      <c r="D56" s="132"/>
      <c r="E56" s="132"/>
      <c r="F56" s="445"/>
      <c r="G56" s="446"/>
      <c r="H56" s="446"/>
      <c r="I56" s="446"/>
      <c r="J56" s="446"/>
      <c r="K56" s="446"/>
      <c r="L56" s="446"/>
      <c r="M56" s="447"/>
      <c r="N56" s="131" t="s">
        <v>177</v>
      </c>
      <c r="O56" s="124" t="s">
        <v>178</v>
      </c>
      <c r="P56" s="435" t="s">
        <v>179</v>
      </c>
      <c r="Q56" s="435"/>
      <c r="R56" s="435" t="s">
        <v>176</v>
      </c>
      <c r="S56" s="435"/>
      <c r="T56" s="435"/>
      <c r="U56" s="435"/>
      <c r="V56" s="426" t="s">
        <v>130</v>
      </c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132"/>
      <c r="D57" s="132"/>
      <c r="E57" s="132"/>
      <c r="F57" s="445"/>
      <c r="G57" s="446"/>
      <c r="H57" s="446"/>
      <c r="I57" s="446"/>
      <c r="J57" s="446"/>
      <c r="K57" s="446"/>
      <c r="L57" s="446"/>
      <c r="M57" s="447"/>
      <c r="N57" s="131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132"/>
      <c r="D58" s="132"/>
      <c r="E58" s="132"/>
      <c r="F58" s="426"/>
      <c r="G58" s="426"/>
      <c r="H58" s="426"/>
      <c r="I58" s="426"/>
      <c r="J58" s="426"/>
      <c r="K58" s="426"/>
      <c r="L58" s="426"/>
      <c r="M58" s="436"/>
      <c r="N58" s="131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132"/>
      <c r="D59" s="132"/>
      <c r="E59" s="132"/>
      <c r="F59" s="426"/>
      <c r="G59" s="426"/>
      <c r="H59" s="426"/>
      <c r="I59" s="426"/>
      <c r="J59" s="426"/>
      <c r="K59" s="426"/>
      <c r="L59" s="426"/>
      <c r="M59" s="436"/>
      <c r="N59" s="131"/>
      <c r="O59" s="124"/>
      <c r="P59" s="443"/>
      <c r="Q59" s="444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</row>
    <row r="60" spans="1:32" ht="27" customHeight="1">
      <c r="A60" s="434"/>
      <c r="B60" s="435"/>
      <c r="C60" s="132"/>
      <c r="D60" s="132"/>
      <c r="E60" s="132"/>
      <c r="F60" s="426"/>
      <c r="G60" s="426"/>
      <c r="H60" s="426"/>
      <c r="I60" s="426"/>
      <c r="J60" s="426"/>
      <c r="K60" s="426"/>
      <c r="L60" s="426"/>
      <c r="M60" s="436"/>
      <c r="N60" s="131"/>
      <c r="O60" s="124"/>
      <c r="P60" s="435"/>
      <c r="Q60" s="435"/>
      <c r="R60" s="435"/>
      <c r="S60" s="435"/>
      <c r="T60" s="435"/>
      <c r="U60" s="435"/>
      <c r="V60" s="426"/>
      <c r="W60" s="426"/>
      <c r="X60" s="426"/>
      <c r="Y60" s="426"/>
      <c r="Z60" s="426"/>
      <c r="AA60" s="426"/>
      <c r="AB60" s="426"/>
      <c r="AC60" s="426"/>
      <c r="AD60" s="436"/>
      <c r="AF60" s="93">
        <f>8*3000</f>
        <v>24000</v>
      </c>
    </row>
    <row r="61" spans="1:32" ht="27" customHeight="1" thickBot="1">
      <c r="A61" s="437"/>
      <c r="B61" s="438"/>
      <c r="C61" s="134"/>
      <c r="D61" s="134"/>
      <c r="E61" s="134"/>
      <c r="F61" s="439"/>
      <c r="G61" s="439"/>
      <c r="H61" s="439"/>
      <c r="I61" s="439"/>
      <c r="J61" s="439"/>
      <c r="K61" s="439"/>
      <c r="L61" s="439"/>
      <c r="M61" s="440"/>
      <c r="N61" s="133"/>
      <c r="O61" s="120"/>
      <c r="P61" s="438"/>
      <c r="Q61" s="438"/>
      <c r="R61" s="438"/>
      <c r="S61" s="438"/>
      <c r="T61" s="438"/>
      <c r="U61" s="438"/>
      <c r="V61" s="441"/>
      <c r="W61" s="441"/>
      <c r="X61" s="441"/>
      <c r="Y61" s="441"/>
      <c r="Z61" s="441"/>
      <c r="AA61" s="441"/>
      <c r="AB61" s="441"/>
      <c r="AC61" s="441"/>
      <c r="AD61" s="442"/>
      <c r="AF61" s="93">
        <f>16*3000</f>
        <v>48000</v>
      </c>
    </row>
    <row r="62" spans="1:32" ht="27.75" thickBot="1">
      <c r="A62" s="432" t="s">
        <v>183</v>
      </c>
      <c r="B62" s="432"/>
      <c r="C62" s="432"/>
      <c r="D62" s="432"/>
      <c r="E62" s="432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3">
        <v>24000</v>
      </c>
    </row>
    <row r="63" spans="1:32" ht="29.25" customHeight="1" thickBot="1">
      <c r="A63" s="433" t="s">
        <v>113</v>
      </c>
      <c r="B63" s="430"/>
      <c r="C63" s="130" t="s">
        <v>2</v>
      </c>
      <c r="D63" s="130" t="s">
        <v>37</v>
      </c>
      <c r="E63" s="130" t="s">
        <v>3</v>
      </c>
      <c r="F63" s="430" t="s">
        <v>110</v>
      </c>
      <c r="G63" s="430"/>
      <c r="H63" s="430"/>
      <c r="I63" s="430"/>
      <c r="J63" s="430"/>
      <c r="K63" s="430" t="s">
        <v>39</v>
      </c>
      <c r="L63" s="430"/>
      <c r="M63" s="130" t="s">
        <v>40</v>
      </c>
      <c r="N63" s="430" t="s">
        <v>41</v>
      </c>
      <c r="O63" s="430"/>
      <c r="P63" s="427" t="s">
        <v>42</v>
      </c>
      <c r="Q63" s="429"/>
      <c r="R63" s="427" t="s">
        <v>43</v>
      </c>
      <c r="S63" s="428"/>
      <c r="T63" s="428"/>
      <c r="U63" s="428"/>
      <c r="V63" s="428"/>
      <c r="W63" s="428"/>
      <c r="X63" s="428"/>
      <c r="Y63" s="428"/>
      <c r="Z63" s="428"/>
      <c r="AA63" s="429"/>
      <c r="AB63" s="430" t="s">
        <v>44</v>
      </c>
      <c r="AC63" s="430"/>
      <c r="AD63" s="431"/>
      <c r="AF63" s="93">
        <f>SUM(AF60:AF62)</f>
        <v>96000</v>
      </c>
    </row>
    <row r="64" spans="1:32" ht="25.5" customHeight="1">
      <c r="A64" s="422">
        <v>1</v>
      </c>
      <c r="B64" s="423"/>
      <c r="C64" s="123" t="s">
        <v>118</v>
      </c>
      <c r="D64" s="126"/>
      <c r="E64" s="129" t="s">
        <v>117</v>
      </c>
      <c r="F64" s="424" t="s">
        <v>180</v>
      </c>
      <c r="G64" s="416"/>
      <c r="H64" s="416"/>
      <c r="I64" s="416"/>
      <c r="J64" s="416"/>
      <c r="K64" s="416" t="s">
        <v>181</v>
      </c>
      <c r="L64" s="416"/>
      <c r="M64" s="54" t="s">
        <v>135</v>
      </c>
      <c r="N64" s="416">
        <v>8</v>
      </c>
      <c r="O64" s="416"/>
      <c r="P64" s="425">
        <v>20</v>
      </c>
      <c r="Q64" s="425"/>
      <c r="R64" s="426" t="s">
        <v>182</v>
      </c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2</v>
      </c>
      <c r="B65" s="423"/>
      <c r="C65" s="123"/>
      <c r="D65" s="126"/>
      <c r="E65" s="129"/>
      <c r="F65" s="424"/>
      <c r="G65" s="416"/>
      <c r="H65" s="416"/>
      <c r="I65" s="416"/>
      <c r="J65" s="416"/>
      <c r="K65" s="416"/>
      <c r="L65" s="416"/>
      <c r="M65" s="54"/>
      <c r="N65" s="416"/>
      <c r="O65" s="416"/>
      <c r="P65" s="425"/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3</v>
      </c>
      <c r="B66" s="423"/>
      <c r="C66" s="123"/>
      <c r="D66" s="126"/>
      <c r="E66" s="129"/>
      <c r="F66" s="424"/>
      <c r="G66" s="416"/>
      <c r="H66" s="416"/>
      <c r="I66" s="416"/>
      <c r="J66" s="416"/>
      <c r="K66" s="416"/>
      <c r="L66" s="416"/>
      <c r="M66" s="54"/>
      <c r="N66" s="416"/>
      <c r="O66" s="416"/>
      <c r="P66" s="425"/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4</v>
      </c>
      <c r="B67" s="423"/>
      <c r="C67" s="123"/>
      <c r="D67" s="126"/>
      <c r="E67" s="129"/>
      <c r="F67" s="424"/>
      <c r="G67" s="416"/>
      <c r="H67" s="416"/>
      <c r="I67" s="416"/>
      <c r="J67" s="416"/>
      <c r="K67" s="416"/>
      <c r="L67" s="416"/>
      <c r="M67" s="54"/>
      <c r="N67" s="416"/>
      <c r="O67" s="416"/>
      <c r="P67" s="425"/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5</v>
      </c>
      <c r="B68" s="423"/>
      <c r="C68" s="123"/>
      <c r="D68" s="126"/>
      <c r="E68" s="129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6</v>
      </c>
      <c r="B69" s="423"/>
      <c r="C69" s="123"/>
      <c r="D69" s="126"/>
      <c r="E69" s="129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7</v>
      </c>
      <c r="B70" s="423"/>
      <c r="C70" s="123"/>
      <c r="D70" s="126"/>
      <c r="E70" s="129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5.5" customHeight="1">
      <c r="A71" s="422">
        <v>8</v>
      </c>
      <c r="B71" s="423"/>
      <c r="C71" s="123"/>
      <c r="D71" s="126"/>
      <c r="E71" s="129"/>
      <c r="F71" s="424"/>
      <c r="G71" s="416"/>
      <c r="H71" s="416"/>
      <c r="I71" s="416"/>
      <c r="J71" s="416"/>
      <c r="K71" s="416"/>
      <c r="L71" s="416"/>
      <c r="M71" s="54"/>
      <c r="N71" s="416"/>
      <c r="O71" s="416"/>
      <c r="P71" s="425"/>
      <c r="Q71" s="425"/>
      <c r="R71" s="426"/>
      <c r="S71" s="426"/>
      <c r="T71" s="426"/>
      <c r="U71" s="426"/>
      <c r="V71" s="426"/>
      <c r="W71" s="426"/>
      <c r="X71" s="426"/>
      <c r="Y71" s="426"/>
      <c r="Z71" s="426"/>
      <c r="AA71" s="426"/>
      <c r="AB71" s="416"/>
      <c r="AC71" s="416"/>
      <c r="AD71" s="417"/>
      <c r="AF71" s="53"/>
    </row>
    <row r="72" spans="1:32" ht="26.25" customHeight="1" thickBot="1">
      <c r="A72" s="396" t="s">
        <v>184</v>
      </c>
      <c r="B72" s="396"/>
      <c r="C72" s="396"/>
      <c r="D72" s="396"/>
      <c r="E72" s="396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97" t="s">
        <v>113</v>
      </c>
      <c r="B73" s="398"/>
      <c r="C73" s="128" t="s">
        <v>2</v>
      </c>
      <c r="D73" s="128" t="s">
        <v>37</v>
      </c>
      <c r="E73" s="128" t="s">
        <v>3</v>
      </c>
      <c r="F73" s="398" t="s">
        <v>38</v>
      </c>
      <c r="G73" s="398"/>
      <c r="H73" s="398"/>
      <c r="I73" s="398"/>
      <c r="J73" s="398"/>
      <c r="K73" s="418" t="s">
        <v>58</v>
      </c>
      <c r="L73" s="419"/>
      <c r="M73" s="419"/>
      <c r="N73" s="419"/>
      <c r="O73" s="419"/>
      <c r="P73" s="419"/>
      <c r="Q73" s="419"/>
      <c r="R73" s="419"/>
      <c r="S73" s="420"/>
      <c r="T73" s="398" t="s">
        <v>49</v>
      </c>
      <c r="U73" s="398"/>
      <c r="V73" s="418" t="s">
        <v>50</v>
      </c>
      <c r="W73" s="420"/>
      <c r="X73" s="419" t="s">
        <v>51</v>
      </c>
      <c r="Y73" s="419"/>
      <c r="Z73" s="419"/>
      <c r="AA73" s="419"/>
      <c r="AB73" s="419"/>
      <c r="AC73" s="419"/>
      <c r="AD73" s="421"/>
      <c r="AF73" s="53"/>
    </row>
    <row r="74" spans="1:32" ht="33.75" customHeight="1">
      <c r="A74" s="390">
        <v>1</v>
      </c>
      <c r="B74" s="391"/>
      <c r="C74" s="127" t="s">
        <v>114</v>
      </c>
      <c r="D74" s="127"/>
      <c r="E74" s="71" t="s">
        <v>127</v>
      </c>
      <c r="F74" s="405" t="s">
        <v>126</v>
      </c>
      <c r="G74" s="406"/>
      <c r="H74" s="406"/>
      <c r="I74" s="406"/>
      <c r="J74" s="407"/>
      <c r="K74" s="408" t="s">
        <v>128</v>
      </c>
      <c r="L74" s="409"/>
      <c r="M74" s="409"/>
      <c r="N74" s="409"/>
      <c r="O74" s="409"/>
      <c r="P74" s="409"/>
      <c r="Q74" s="409"/>
      <c r="R74" s="409"/>
      <c r="S74" s="410"/>
      <c r="T74" s="411">
        <v>43384</v>
      </c>
      <c r="U74" s="412"/>
      <c r="V74" s="413"/>
      <c r="W74" s="413"/>
      <c r="X74" s="414"/>
      <c r="Y74" s="414"/>
      <c r="Z74" s="414"/>
      <c r="AA74" s="414"/>
      <c r="AB74" s="414"/>
      <c r="AC74" s="414"/>
      <c r="AD74" s="415"/>
      <c r="AF74" s="53"/>
    </row>
    <row r="75" spans="1:32" ht="30" customHeight="1">
      <c r="A75" s="383">
        <f>A74+1</f>
        <v>2</v>
      </c>
      <c r="B75" s="384"/>
      <c r="C75" s="126"/>
      <c r="D75" s="126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ref="A76:A82" si="11">A75+1</f>
        <v>3</v>
      </c>
      <c r="B76" s="384"/>
      <c r="C76" s="126"/>
      <c r="D76" s="126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1"/>
        <v>4</v>
      </c>
      <c r="B77" s="384"/>
      <c r="C77" s="126"/>
      <c r="D77" s="126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1"/>
        <v>5</v>
      </c>
      <c r="B78" s="384"/>
      <c r="C78" s="126"/>
      <c r="D78" s="126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1"/>
        <v>6</v>
      </c>
      <c r="B79" s="384"/>
      <c r="C79" s="126"/>
      <c r="D79" s="126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1"/>
        <v>7</v>
      </c>
      <c r="B80" s="384"/>
      <c r="C80" s="126"/>
      <c r="D80" s="126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1"/>
        <v>8</v>
      </c>
      <c r="B81" s="384"/>
      <c r="C81" s="126"/>
      <c r="D81" s="126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0" customHeight="1">
      <c r="A82" s="383">
        <f t="shared" si="11"/>
        <v>9</v>
      </c>
      <c r="B82" s="384"/>
      <c r="C82" s="126"/>
      <c r="D82" s="126"/>
      <c r="E82" s="35"/>
      <c r="F82" s="384"/>
      <c r="G82" s="384"/>
      <c r="H82" s="384"/>
      <c r="I82" s="384"/>
      <c r="J82" s="384"/>
      <c r="K82" s="399"/>
      <c r="L82" s="400"/>
      <c r="M82" s="400"/>
      <c r="N82" s="400"/>
      <c r="O82" s="400"/>
      <c r="P82" s="400"/>
      <c r="Q82" s="400"/>
      <c r="R82" s="400"/>
      <c r="S82" s="401"/>
      <c r="T82" s="402"/>
      <c r="U82" s="402"/>
      <c r="V82" s="402"/>
      <c r="W82" s="402"/>
      <c r="X82" s="403"/>
      <c r="Y82" s="403"/>
      <c r="Z82" s="403"/>
      <c r="AA82" s="403"/>
      <c r="AB82" s="403"/>
      <c r="AC82" s="403"/>
      <c r="AD82" s="404"/>
      <c r="AF82" s="53"/>
    </row>
    <row r="83" spans="1:32" ht="36" thickBot="1">
      <c r="A83" s="396" t="s">
        <v>185</v>
      </c>
      <c r="B83" s="396"/>
      <c r="C83" s="396"/>
      <c r="D83" s="396"/>
      <c r="E83" s="396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97" t="s">
        <v>113</v>
      </c>
      <c r="B84" s="398"/>
      <c r="C84" s="388" t="s">
        <v>52</v>
      </c>
      <c r="D84" s="388"/>
      <c r="E84" s="388" t="s">
        <v>53</v>
      </c>
      <c r="F84" s="388"/>
      <c r="G84" s="388"/>
      <c r="H84" s="388"/>
      <c r="I84" s="388"/>
      <c r="J84" s="388"/>
      <c r="K84" s="388" t="s">
        <v>54</v>
      </c>
      <c r="L84" s="388"/>
      <c r="M84" s="388"/>
      <c r="N84" s="388"/>
      <c r="O84" s="388"/>
      <c r="P84" s="388"/>
      <c r="Q84" s="388"/>
      <c r="R84" s="388"/>
      <c r="S84" s="388"/>
      <c r="T84" s="388" t="s">
        <v>55</v>
      </c>
      <c r="U84" s="388"/>
      <c r="V84" s="388" t="s">
        <v>56</v>
      </c>
      <c r="W84" s="388"/>
      <c r="X84" s="388"/>
      <c r="Y84" s="388" t="s">
        <v>51</v>
      </c>
      <c r="Z84" s="388"/>
      <c r="AA84" s="388"/>
      <c r="AB84" s="388"/>
      <c r="AC84" s="388"/>
      <c r="AD84" s="389"/>
      <c r="AF84" s="53"/>
    </row>
    <row r="85" spans="1:32" ht="30.75" customHeight="1">
      <c r="A85" s="390">
        <v>1</v>
      </c>
      <c r="B85" s="391"/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3"/>
      <c r="W85" s="393"/>
      <c r="X85" s="393"/>
      <c r="Y85" s="394"/>
      <c r="Z85" s="394"/>
      <c r="AA85" s="394"/>
      <c r="AB85" s="394"/>
      <c r="AC85" s="394"/>
      <c r="AD85" s="395"/>
      <c r="AF85" s="53"/>
    </row>
    <row r="86" spans="1:32" ht="30.75" customHeight="1">
      <c r="A86" s="383">
        <v>2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6"/>
      <c r="U86" s="386"/>
      <c r="V86" s="387"/>
      <c r="W86" s="387"/>
      <c r="X86" s="387"/>
      <c r="Y86" s="376"/>
      <c r="Z86" s="376"/>
      <c r="AA86" s="376"/>
      <c r="AB86" s="376"/>
      <c r="AC86" s="376"/>
      <c r="AD86" s="377"/>
      <c r="AF86" s="53"/>
    </row>
    <row r="87" spans="1:32" ht="30.75" customHeight="1" thickBot="1">
      <c r="A87" s="378">
        <v>3</v>
      </c>
      <c r="B87" s="379"/>
      <c r="C87" s="380"/>
      <c r="D87" s="380"/>
      <c r="E87" s="380"/>
      <c r="F87" s="380"/>
      <c r="G87" s="380"/>
      <c r="H87" s="380"/>
      <c r="I87" s="380"/>
      <c r="J87" s="380"/>
      <c r="K87" s="380"/>
      <c r="L87" s="380"/>
      <c r="M87" s="380"/>
      <c r="N87" s="380"/>
      <c r="O87" s="380"/>
      <c r="P87" s="380"/>
      <c r="Q87" s="380"/>
      <c r="R87" s="380"/>
      <c r="S87" s="380"/>
      <c r="T87" s="380"/>
      <c r="U87" s="380"/>
      <c r="V87" s="380"/>
      <c r="W87" s="380"/>
      <c r="X87" s="380"/>
      <c r="Y87" s="381"/>
      <c r="Z87" s="381"/>
      <c r="AA87" s="381"/>
      <c r="AB87" s="381"/>
      <c r="AC87" s="381"/>
      <c r="AD87" s="382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4C57-3F45-4F89-8782-C3AE47D06371}">
  <sheetPr>
    <pageSetUpPr fitToPage="1"/>
  </sheetPr>
  <dimension ref="A1:AF88"/>
  <sheetViews>
    <sheetView zoomScale="72" zoomScaleNormal="72" zoomScaleSheetLayoutView="70" workbookViewId="0">
      <selection activeCell="AD24" sqref="AD2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186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148" t="s">
        <v>17</v>
      </c>
      <c r="L5" s="148" t="s">
        <v>18</v>
      </c>
      <c r="M5" s="148" t="s">
        <v>19</v>
      </c>
      <c r="N5" s="14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2" si="0">L6-N6</f>
        <v>0</v>
      </c>
      <c r="N6" s="16">
        <v>0</v>
      </c>
      <c r="O6" s="62" t="str">
        <f t="shared" ref="O6:O23" si="1">IF(L6=0,"0",N6/L6)</f>
        <v>0</v>
      </c>
      <c r="P6" s="42" t="str">
        <f t="shared" ref="P6:P22" si="2">IF(L6=0,"0",(24-Q6))</f>
        <v>0</v>
      </c>
      <c r="Q6" s="43">
        <f t="shared" ref="Q6:Q22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9">
        <f t="shared" ref="AE6:AE22" si="7">$AD$23</f>
        <v>0.47499999999999998</v>
      </c>
      <c r="AF6" s="93">
        <f t="shared" ref="AF6:AF22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0.47499999999999998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123</v>
      </c>
      <c r="D8" s="55" t="s">
        <v>125</v>
      </c>
      <c r="E8" s="57" t="s">
        <v>146</v>
      </c>
      <c r="F8" s="33" t="s">
        <v>121</v>
      </c>
      <c r="G8" s="36">
        <v>4</v>
      </c>
      <c r="H8" s="38">
        <v>25</v>
      </c>
      <c r="I8" s="7">
        <v>400000</v>
      </c>
      <c r="J8" s="5">
        <v>18068</v>
      </c>
      <c r="K8" s="15">
        <f>L8+16608+16844+19920+20748+18068</f>
        <v>92188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0.47499999999999998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118</v>
      </c>
      <c r="D9" s="55" t="s">
        <v>117</v>
      </c>
      <c r="E9" s="57" t="s">
        <v>170</v>
      </c>
      <c r="F9" s="33" t="s">
        <v>140</v>
      </c>
      <c r="G9" s="36">
        <v>1</v>
      </c>
      <c r="H9" s="38">
        <v>24</v>
      </c>
      <c r="I9" s="7">
        <v>100</v>
      </c>
      <c r="J9" s="14">
        <v>150</v>
      </c>
      <c r="K9" s="15">
        <f>L9</f>
        <v>150</v>
      </c>
      <c r="L9" s="15">
        <v>150</v>
      </c>
      <c r="M9" s="16">
        <f t="shared" si="0"/>
        <v>150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9">
        <f t="shared" si="7"/>
        <v>0.47499999999999998</v>
      </c>
      <c r="AF9" s="93">
        <f t="shared" si="8"/>
        <v>4</v>
      </c>
    </row>
    <row r="10" spans="1:32" ht="27" customHeight="1">
      <c r="A10" s="109">
        <v>4</v>
      </c>
      <c r="B10" s="11" t="s">
        <v>57</v>
      </c>
      <c r="C10" s="11" t="s">
        <v>118</v>
      </c>
      <c r="D10" s="55" t="s">
        <v>120</v>
      </c>
      <c r="E10" s="57" t="s">
        <v>175</v>
      </c>
      <c r="F10" s="33" t="s">
        <v>187</v>
      </c>
      <c r="G10" s="36">
        <v>1</v>
      </c>
      <c r="H10" s="38">
        <v>24</v>
      </c>
      <c r="I10" s="7">
        <v>1000</v>
      </c>
      <c r="J10" s="14">
        <v>2992</v>
      </c>
      <c r="K10" s="15">
        <f>L10</f>
        <v>2992</v>
      </c>
      <c r="L10" s="15">
        <v>2992</v>
      </c>
      <c r="M10" s="16">
        <f t="shared" ref="M10" si="9">L10-N10</f>
        <v>2992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14</v>
      </c>
      <c r="Q10" s="43">
        <f t="shared" ref="Q10" si="12">SUM(R10:AA10)</f>
        <v>10</v>
      </c>
      <c r="R10" s="7"/>
      <c r="S10" s="6"/>
      <c r="T10" s="17">
        <v>10</v>
      </c>
      <c r="U10" s="17"/>
      <c r="V10" s="18"/>
      <c r="W10" s="19"/>
      <c r="X10" s="17"/>
      <c r="Y10" s="20"/>
      <c r="Z10" s="20"/>
      <c r="AA10" s="21"/>
      <c r="AB10" s="8">
        <f t="shared" ref="AB10" si="13">IF(J10=0,"0",(L10/J10))</f>
        <v>1</v>
      </c>
      <c r="AC10" s="9">
        <f t="shared" ref="AC10" si="14">IF(P10=0,"0",(P10/24))</f>
        <v>0.58333333333333337</v>
      </c>
      <c r="AD10" s="10">
        <f t="shared" ref="AD10" si="15">AC10*AB10*(1-O10)</f>
        <v>0.58333333333333337</v>
      </c>
      <c r="AE10" s="39">
        <f t="shared" si="7"/>
        <v>0.47499999999999998</v>
      </c>
      <c r="AF10" s="93">
        <f t="shared" ref="AF10" si="16">A10</f>
        <v>4</v>
      </c>
    </row>
    <row r="11" spans="1:32" ht="27" customHeight="1">
      <c r="A11" s="109">
        <v>5</v>
      </c>
      <c r="B11" s="11" t="s">
        <v>57</v>
      </c>
      <c r="C11" s="11" t="s">
        <v>123</v>
      </c>
      <c r="D11" s="55" t="s">
        <v>119</v>
      </c>
      <c r="E11" s="57" t="s">
        <v>147</v>
      </c>
      <c r="F11" s="12" t="s">
        <v>121</v>
      </c>
      <c r="G11" s="12">
        <v>4</v>
      </c>
      <c r="H11" s="13">
        <v>25</v>
      </c>
      <c r="I11" s="7">
        <v>400000</v>
      </c>
      <c r="J11" s="14">
        <v>17196</v>
      </c>
      <c r="K11" s="15">
        <f>L11+23776+26072+26756+24764+18432</f>
        <v>136996</v>
      </c>
      <c r="L11" s="15">
        <f>1121*4+3178*4</f>
        <v>17196</v>
      </c>
      <c r="M11" s="16">
        <f t="shared" si="0"/>
        <v>17196</v>
      </c>
      <c r="N11" s="16">
        <v>0</v>
      </c>
      <c r="O11" s="62">
        <f t="shared" si="1"/>
        <v>0</v>
      </c>
      <c r="P11" s="42">
        <f t="shared" si="2"/>
        <v>20</v>
      </c>
      <c r="Q11" s="43">
        <f t="shared" si="3"/>
        <v>4</v>
      </c>
      <c r="R11" s="7"/>
      <c r="S11" s="6">
        <v>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0.83333333333333337</v>
      </c>
      <c r="AD11" s="10">
        <f t="shared" si="6"/>
        <v>0.83333333333333337</v>
      </c>
      <c r="AE11" s="39">
        <f t="shared" si="7"/>
        <v>0.47499999999999998</v>
      </c>
      <c r="AF11" s="93">
        <f t="shared" si="8"/>
        <v>5</v>
      </c>
    </row>
    <row r="12" spans="1:32" ht="27" customHeight="1">
      <c r="A12" s="109">
        <v>6</v>
      </c>
      <c r="B12" s="11" t="s">
        <v>57</v>
      </c>
      <c r="C12" s="11" t="s">
        <v>123</v>
      </c>
      <c r="D12" s="55" t="s">
        <v>120</v>
      </c>
      <c r="E12" s="57" t="s">
        <v>150</v>
      </c>
      <c r="F12" s="12" t="s">
        <v>151</v>
      </c>
      <c r="G12" s="12">
        <v>1</v>
      </c>
      <c r="H12" s="13">
        <v>25</v>
      </c>
      <c r="I12" s="7">
        <v>35000</v>
      </c>
      <c r="J12" s="14">
        <v>5992</v>
      </c>
      <c r="K12" s="15">
        <f>L12+3530+5736+6036+5863+4843+3771+4692</f>
        <v>40463</v>
      </c>
      <c r="L12" s="15">
        <f>3284+2708</f>
        <v>5992</v>
      </c>
      <c r="M12" s="16">
        <f t="shared" si="0"/>
        <v>5992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0.47499999999999998</v>
      </c>
      <c r="AF12" s="93">
        <f t="shared" si="8"/>
        <v>6</v>
      </c>
    </row>
    <row r="13" spans="1:32" ht="27" customHeight="1">
      <c r="A13" s="109">
        <v>7</v>
      </c>
      <c r="B13" s="11" t="s">
        <v>57</v>
      </c>
      <c r="C13" s="11" t="s">
        <v>114</v>
      </c>
      <c r="D13" s="55" t="s">
        <v>134</v>
      </c>
      <c r="E13" s="57" t="s">
        <v>152</v>
      </c>
      <c r="F13" s="33" t="s">
        <v>121</v>
      </c>
      <c r="G13" s="36">
        <v>1</v>
      </c>
      <c r="H13" s="38">
        <v>24</v>
      </c>
      <c r="I13" s="7">
        <v>16000</v>
      </c>
      <c r="J13" s="14">
        <v>2676</v>
      </c>
      <c r="K13" s="15">
        <f>L13+1505+4882+4632</f>
        <v>13695</v>
      </c>
      <c r="L13" s="15">
        <f>2676</f>
        <v>2676</v>
      </c>
      <c r="M13" s="16">
        <f t="shared" ref="M13" si="17">L13-N13</f>
        <v>2676</v>
      </c>
      <c r="N13" s="16">
        <v>0</v>
      </c>
      <c r="O13" s="62">
        <f t="shared" ref="O13" si="18">IF(L13=0,"0",N13/L13)</f>
        <v>0</v>
      </c>
      <c r="P13" s="42">
        <f t="shared" ref="P13" si="19">IF(L13=0,"0",(24-Q13))</f>
        <v>13</v>
      </c>
      <c r="Q13" s="43">
        <f t="shared" ref="Q13" si="20">SUM(R13:AA13)</f>
        <v>11</v>
      </c>
      <c r="R13" s="7"/>
      <c r="S13" s="6">
        <v>11</v>
      </c>
      <c r="T13" s="17"/>
      <c r="U13" s="17"/>
      <c r="V13" s="18"/>
      <c r="W13" s="19"/>
      <c r="X13" s="17"/>
      <c r="Y13" s="20"/>
      <c r="Z13" s="20"/>
      <c r="AA13" s="21"/>
      <c r="AB13" s="8">
        <f t="shared" ref="AB13" si="21">IF(J13=0,"0",(L13/J13))</f>
        <v>1</v>
      </c>
      <c r="AC13" s="9">
        <f t="shared" ref="AC13" si="22">IF(P13=0,"0",(P13/24))</f>
        <v>0.54166666666666663</v>
      </c>
      <c r="AD13" s="10">
        <f t="shared" ref="AD13" si="23">AC13*AB13*(1-O13)</f>
        <v>0.54166666666666663</v>
      </c>
      <c r="AE13" s="39">
        <f t="shared" si="7"/>
        <v>0.47499999999999998</v>
      </c>
      <c r="AF13" s="93">
        <f t="shared" ref="AF13" si="24">A13</f>
        <v>7</v>
      </c>
    </row>
    <row r="14" spans="1:32" ht="27" customHeight="1">
      <c r="A14" s="109">
        <v>8</v>
      </c>
      <c r="B14" s="11" t="s">
        <v>57</v>
      </c>
      <c r="C14" s="11" t="s">
        <v>123</v>
      </c>
      <c r="D14" s="55" t="s">
        <v>142</v>
      </c>
      <c r="E14" s="57" t="s">
        <v>141</v>
      </c>
      <c r="F14" s="12" t="s">
        <v>143</v>
      </c>
      <c r="G14" s="12">
        <v>4</v>
      </c>
      <c r="H14" s="13">
        <v>25</v>
      </c>
      <c r="I14" s="7">
        <v>30000</v>
      </c>
      <c r="J14" s="14">
        <v>10540</v>
      </c>
      <c r="K14" s="15">
        <f>L14+22420+10540</f>
        <v>32960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0.47499999999999998</v>
      </c>
      <c r="AF14" s="93">
        <f t="shared" si="8"/>
        <v>8</v>
      </c>
    </row>
    <row r="15" spans="1:32" ht="27" customHeight="1">
      <c r="A15" s="125">
        <v>9</v>
      </c>
      <c r="B15" s="11" t="s">
        <v>57</v>
      </c>
      <c r="C15" s="37" t="s">
        <v>114</v>
      </c>
      <c r="D15" s="55" t="s">
        <v>117</v>
      </c>
      <c r="E15" s="57" t="s">
        <v>159</v>
      </c>
      <c r="F15" s="33" t="s">
        <v>160</v>
      </c>
      <c r="G15" s="36">
        <v>1</v>
      </c>
      <c r="H15" s="38">
        <v>25</v>
      </c>
      <c r="I15" s="7">
        <v>500</v>
      </c>
      <c r="J15" s="5">
        <v>613</v>
      </c>
      <c r="K15" s="15">
        <f>L15+613</f>
        <v>613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0.47499999999999998</v>
      </c>
      <c r="AF15" s="93">
        <f t="shared" si="8"/>
        <v>9</v>
      </c>
    </row>
    <row r="16" spans="1:32" ht="27" customHeight="1">
      <c r="A16" s="108">
        <v>10</v>
      </c>
      <c r="B16" s="11" t="s">
        <v>57</v>
      </c>
      <c r="C16" s="37" t="s">
        <v>137</v>
      </c>
      <c r="D16" s="55" t="s">
        <v>138</v>
      </c>
      <c r="E16" s="57" t="s">
        <v>136</v>
      </c>
      <c r="F16" s="12" t="s">
        <v>139</v>
      </c>
      <c r="G16" s="12">
        <v>1</v>
      </c>
      <c r="H16" s="13">
        <v>24</v>
      </c>
      <c r="I16" s="34">
        <v>100000</v>
      </c>
      <c r="J16" s="14">
        <v>27965</v>
      </c>
      <c r="K16" s="15">
        <f>L16+32805+66430+67599+62860+19229+27965</f>
        <v>276888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0.47499999999999998</v>
      </c>
      <c r="AF16" s="93">
        <f t="shared" si="8"/>
        <v>10</v>
      </c>
    </row>
    <row r="17" spans="1:32" ht="27" customHeight="1">
      <c r="A17" s="108">
        <v>11</v>
      </c>
      <c r="B17" s="11" t="s">
        <v>57</v>
      </c>
      <c r="C17" s="37" t="s">
        <v>123</v>
      </c>
      <c r="D17" s="55" t="s">
        <v>119</v>
      </c>
      <c r="E17" s="57" t="s">
        <v>145</v>
      </c>
      <c r="F17" s="33" t="s">
        <v>140</v>
      </c>
      <c r="G17" s="36">
        <v>1</v>
      </c>
      <c r="H17" s="38">
        <v>24</v>
      </c>
      <c r="I17" s="7">
        <v>35000</v>
      </c>
      <c r="J17" s="5">
        <v>4375</v>
      </c>
      <c r="K17" s="15">
        <f>L17+4512+3969+4406+3892+1774+3617+2504+3561+4272+5733+4375</f>
        <v>42615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0.47499999999999998</v>
      </c>
      <c r="AF17" s="93">
        <f t="shared" si="8"/>
        <v>11</v>
      </c>
    </row>
    <row r="18" spans="1:32" ht="27" customHeight="1">
      <c r="A18" s="108">
        <v>12</v>
      </c>
      <c r="B18" s="11" t="s">
        <v>57</v>
      </c>
      <c r="C18" s="37" t="s">
        <v>123</v>
      </c>
      <c r="D18" s="55" t="s">
        <v>124</v>
      </c>
      <c r="E18" s="57" t="s">
        <v>148</v>
      </c>
      <c r="F18" s="12" t="s">
        <v>131</v>
      </c>
      <c r="G18" s="12">
        <v>4</v>
      </c>
      <c r="H18" s="13">
        <v>24</v>
      </c>
      <c r="I18" s="34">
        <v>400000</v>
      </c>
      <c r="J18" s="14">
        <v>24688</v>
      </c>
      <c r="K18" s="15">
        <f>L18+19964+21928+25296+24300+24768</f>
        <v>140944</v>
      </c>
      <c r="L18" s="15">
        <f>3394*4+2778*4</f>
        <v>24688</v>
      </c>
      <c r="M18" s="16">
        <f t="shared" si="0"/>
        <v>24688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0.47499999999999998</v>
      </c>
      <c r="AF18" s="93">
        <f t="shared" si="8"/>
        <v>12</v>
      </c>
    </row>
    <row r="19" spans="1:32" ht="27" customHeight="1">
      <c r="A19" s="109">
        <v>13</v>
      </c>
      <c r="B19" s="11" t="s">
        <v>57</v>
      </c>
      <c r="C19" s="37" t="s">
        <v>123</v>
      </c>
      <c r="D19" s="55" t="s">
        <v>117</v>
      </c>
      <c r="E19" s="57" t="s">
        <v>153</v>
      </c>
      <c r="F19" s="12" t="s">
        <v>129</v>
      </c>
      <c r="G19" s="36">
        <v>4</v>
      </c>
      <c r="H19" s="38">
        <v>24</v>
      </c>
      <c r="I19" s="7">
        <v>400000</v>
      </c>
      <c r="J19" s="5">
        <v>20848</v>
      </c>
      <c r="K19" s="15">
        <f>L19+12380+14384+22568+16460+13888</f>
        <v>100528</v>
      </c>
      <c r="L19" s="15">
        <f>2856*4+2356*4</f>
        <v>20848</v>
      </c>
      <c r="M19" s="16">
        <f t="shared" si="0"/>
        <v>20848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0.47499999999999998</v>
      </c>
      <c r="AF19" s="93">
        <f t="shared" si="8"/>
        <v>13</v>
      </c>
    </row>
    <row r="20" spans="1:32" ht="27" customHeight="1">
      <c r="A20" s="109">
        <v>14</v>
      </c>
      <c r="B20" s="11" t="s">
        <v>57</v>
      </c>
      <c r="C20" s="11" t="s">
        <v>118</v>
      </c>
      <c r="D20" s="55" t="s">
        <v>119</v>
      </c>
      <c r="E20" s="57" t="s">
        <v>157</v>
      </c>
      <c r="F20" s="12" t="s">
        <v>156</v>
      </c>
      <c r="G20" s="36">
        <v>1</v>
      </c>
      <c r="H20" s="13">
        <v>24</v>
      </c>
      <c r="I20" s="7">
        <v>16000</v>
      </c>
      <c r="J20" s="14">
        <v>5751</v>
      </c>
      <c r="K20" s="15">
        <f>L20+3970+4851+4963</f>
        <v>19535</v>
      </c>
      <c r="L20" s="15">
        <f>2752+2972+27</f>
        <v>5751</v>
      </c>
      <c r="M20" s="16">
        <f t="shared" si="0"/>
        <v>5751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0.47499999999999998</v>
      </c>
      <c r="AF20" s="93">
        <f t="shared" si="8"/>
        <v>14</v>
      </c>
    </row>
    <row r="21" spans="1:32" ht="27" customHeight="1">
      <c r="A21" s="109">
        <v>14</v>
      </c>
      <c r="B21" s="11" t="s">
        <v>57</v>
      </c>
      <c r="C21" s="11" t="s">
        <v>118</v>
      </c>
      <c r="D21" s="55" t="s">
        <v>155</v>
      </c>
      <c r="E21" s="57" t="s">
        <v>158</v>
      </c>
      <c r="F21" s="12" t="s">
        <v>156</v>
      </c>
      <c r="G21" s="36">
        <v>1</v>
      </c>
      <c r="H21" s="13">
        <v>24</v>
      </c>
      <c r="I21" s="7">
        <v>16000</v>
      </c>
      <c r="J21" s="14">
        <v>5751</v>
      </c>
      <c r="K21" s="15">
        <f>L21+3970+4851+4963</f>
        <v>19535</v>
      </c>
      <c r="L21" s="15">
        <v>5751</v>
      </c>
      <c r="M21" s="16">
        <f t="shared" si="0"/>
        <v>5751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1</v>
      </c>
      <c r="AC21" s="9">
        <f t="shared" si="5"/>
        <v>1</v>
      </c>
      <c r="AD21" s="10">
        <f t="shared" si="6"/>
        <v>1</v>
      </c>
      <c r="AE21" s="39">
        <f t="shared" si="7"/>
        <v>0.47499999999999998</v>
      </c>
      <c r="AF21" s="93">
        <f t="shared" si="8"/>
        <v>14</v>
      </c>
    </row>
    <row r="22" spans="1:32" ht="27" customHeight="1" thickBot="1">
      <c r="A22" s="109">
        <v>15</v>
      </c>
      <c r="B22" s="11" t="s">
        <v>57</v>
      </c>
      <c r="C22" s="11" t="s">
        <v>115</v>
      </c>
      <c r="D22" s="55"/>
      <c r="E22" s="56" t="s">
        <v>133</v>
      </c>
      <c r="F22" s="12" t="s">
        <v>116</v>
      </c>
      <c r="G22" s="12">
        <v>4</v>
      </c>
      <c r="H22" s="38">
        <v>20</v>
      </c>
      <c r="I22" s="7">
        <v>300000</v>
      </c>
      <c r="J22" s="14">
        <v>10476</v>
      </c>
      <c r="K22" s="15">
        <f>L22+39648+30712+45256+43600+10476</f>
        <v>169692</v>
      </c>
      <c r="L22" s="15"/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24</v>
      </c>
      <c r="R22" s="7"/>
      <c r="S22" s="6"/>
      <c r="T22" s="17"/>
      <c r="U22" s="17"/>
      <c r="V22" s="18">
        <v>24</v>
      </c>
      <c r="W22" s="19"/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 t="shared" si="7"/>
        <v>0.47499999999999998</v>
      </c>
      <c r="AF22" s="93">
        <f t="shared" si="8"/>
        <v>15</v>
      </c>
    </row>
    <row r="23" spans="1:32" ht="31.5" customHeight="1" thickBot="1">
      <c r="A23" s="450" t="s">
        <v>34</v>
      </c>
      <c r="B23" s="451"/>
      <c r="C23" s="451"/>
      <c r="D23" s="451"/>
      <c r="E23" s="451"/>
      <c r="F23" s="451"/>
      <c r="G23" s="451"/>
      <c r="H23" s="452"/>
      <c r="I23" s="25">
        <f t="shared" ref="I23:N23" si="25">SUM(I6:I22)</f>
        <v>2149600</v>
      </c>
      <c r="J23" s="22">
        <f t="shared" si="25"/>
        <v>158081</v>
      </c>
      <c r="K23" s="23">
        <f t="shared" si="25"/>
        <v>1089794</v>
      </c>
      <c r="L23" s="24">
        <f t="shared" si="25"/>
        <v>86044</v>
      </c>
      <c r="M23" s="23">
        <f t="shared" si="25"/>
        <v>86044</v>
      </c>
      <c r="N23" s="24">
        <f t="shared" si="25"/>
        <v>0</v>
      </c>
      <c r="O23" s="44">
        <f t="shared" si="1"/>
        <v>0</v>
      </c>
      <c r="P23" s="45">
        <f t="shared" ref="P23:AA23" si="26">SUM(P6:P22)</f>
        <v>171</v>
      </c>
      <c r="Q23" s="46">
        <f t="shared" si="26"/>
        <v>213</v>
      </c>
      <c r="R23" s="26">
        <f t="shared" si="26"/>
        <v>24</v>
      </c>
      <c r="S23" s="27">
        <f t="shared" si="26"/>
        <v>15</v>
      </c>
      <c r="T23" s="27">
        <f t="shared" si="26"/>
        <v>10</v>
      </c>
      <c r="U23" s="27">
        <f t="shared" si="26"/>
        <v>0</v>
      </c>
      <c r="V23" s="28">
        <f t="shared" si="26"/>
        <v>24</v>
      </c>
      <c r="W23" s="29">
        <f t="shared" si="26"/>
        <v>140</v>
      </c>
      <c r="X23" s="30">
        <f t="shared" si="26"/>
        <v>0</v>
      </c>
      <c r="Y23" s="30">
        <f t="shared" si="26"/>
        <v>0</v>
      </c>
      <c r="Z23" s="30">
        <f t="shared" si="26"/>
        <v>0</v>
      </c>
      <c r="AA23" s="30">
        <f t="shared" si="26"/>
        <v>0</v>
      </c>
      <c r="AB23" s="31">
        <f>SUM(AB6:AB22)/15</f>
        <v>0.6</v>
      </c>
      <c r="AC23" s="4">
        <f>SUM(AC6:AC22)/15</f>
        <v>0.47499999999999998</v>
      </c>
      <c r="AD23" s="4">
        <f>SUM(AD6:AD22)/15</f>
        <v>0.47499999999999998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4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453" t="s">
        <v>45</v>
      </c>
      <c r="B50" s="453"/>
      <c r="C50" s="453"/>
      <c r="D50" s="453"/>
      <c r="E50" s="453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454" t="s">
        <v>188</v>
      </c>
      <c r="B51" s="455"/>
      <c r="C51" s="455"/>
      <c r="D51" s="455"/>
      <c r="E51" s="455"/>
      <c r="F51" s="455"/>
      <c r="G51" s="455"/>
      <c r="H51" s="455"/>
      <c r="I51" s="455"/>
      <c r="J51" s="455"/>
      <c r="K51" s="455"/>
      <c r="L51" s="455"/>
      <c r="M51" s="456"/>
      <c r="N51" s="457" t="s">
        <v>190</v>
      </c>
      <c r="O51" s="458"/>
      <c r="P51" s="458"/>
      <c r="Q51" s="458"/>
      <c r="R51" s="458"/>
      <c r="S51" s="458"/>
      <c r="T51" s="458"/>
      <c r="U51" s="458"/>
      <c r="V51" s="458"/>
      <c r="W51" s="458"/>
      <c r="X51" s="458"/>
      <c r="Y51" s="458"/>
      <c r="Z51" s="458"/>
      <c r="AA51" s="458"/>
      <c r="AB51" s="458"/>
      <c r="AC51" s="458"/>
      <c r="AD51" s="459"/>
    </row>
    <row r="52" spans="1:32" ht="27" customHeight="1">
      <c r="A52" s="460" t="s">
        <v>2</v>
      </c>
      <c r="B52" s="461"/>
      <c r="C52" s="147" t="s">
        <v>46</v>
      </c>
      <c r="D52" s="147" t="s">
        <v>47</v>
      </c>
      <c r="E52" s="147" t="s">
        <v>108</v>
      </c>
      <c r="F52" s="461" t="s">
        <v>107</v>
      </c>
      <c r="G52" s="461"/>
      <c r="H52" s="461"/>
      <c r="I52" s="461"/>
      <c r="J52" s="461"/>
      <c r="K52" s="461"/>
      <c r="L52" s="461"/>
      <c r="M52" s="462"/>
      <c r="N52" s="73" t="s">
        <v>112</v>
      </c>
      <c r="O52" s="147" t="s">
        <v>46</v>
      </c>
      <c r="P52" s="463" t="s">
        <v>47</v>
      </c>
      <c r="Q52" s="464"/>
      <c r="R52" s="463" t="s">
        <v>38</v>
      </c>
      <c r="S52" s="465"/>
      <c r="T52" s="465"/>
      <c r="U52" s="464"/>
      <c r="V52" s="463" t="s">
        <v>48</v>
      </c>
      <c r="W52" s="465"/>
      <c r="X52" s="465"/>
      <c r="Y52" s="465"/>
      <c r="Z52" s="465"/>
      <c r="AA52" s="465"/>
      <c r="AB52" s="465"/>
      <c r="AC52" s="465"/>
      <c r="AD52" s="466"/>
    </row>
    <row r="53" spans="1:32" ht="27" customHeight="1">
      <c r="A53" s="434" t="s">
        <v>118</v>
      </c>
      <c r="B53" s="435"/>
      <c r="C53" s="144" t="s">
        <v>173</v>
      </c>
      <c r="D53" s="144" t="s">
        <v>120</v>
      </c>
      <c r="E53" s="144" t="s">
        <v>175</v>
      </c>
      <c r="F53" s="445" t="s">
        <v>171</v>
      </c>
      <c r="G53" s="446"/>
      <c r="H53" s="446"/>
      <c r="I53" s="446"/>
      <c r="J53" s="446"/>
      <c r="K53" s="446"/>
      <c r="L53" s="446"/>
      <c r="M53" s="447"/>
      <c r="N53" s="143" t="s">
        <v>123</v>
      </c>
      <c r="O53" s="124" t="s">
        <v>154</v>
      </c>
      <c r="P53" s="443" t="s">
        <v>125</v>
      </c>
      <c r="Q53" s="444"/>
      <c r="R53" s="435" t="s">
        <v>146</v>
      </c>
      <c r="S53" s="435"/>
      <c r="T53" s="435"/>
      <c r="U53" s="435"/>
      <c r="V53" s="426" t="s">
        <v>130</v>
      </c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 t="s">
        <v>123</v>
      </c>
      <c r="B54" s="435"/>
      <c r="C54" s="144" t="s">
        <v>122</v>
      </c>
      <c r="D54" s="144" t="s">
        <v>119</v>
      </c>
      <c r="E54" s="144" t="s">
        <v>147</v>
      </c>
      <c r="F54" s="445" t="s">
        <v>130</v>
      </c>
      <c r="G54" s="446"/>
      <c r="H54" s="446"/>
      <c r="I54" s="446"/>
      <c r="J54" s="446"/>
      <c r="K54" s="446"/>
      <c r="L54" s="446"/>
      <c r="M54" s="447"/>
      <c r="N54" s="143" t="s">
        <v>192</v>
      </c>
      <c r="O54" s="124" t="s">
        <v>193</v>
      </c>
      <c r="P54" s="443" t="s">
        <v>194</v>
      </c>
      <c r="Q54" s="444"/>
      <c r="R54" s="435" t="s">
        <v>191</v>
      </c>
      <c r="S54" s="435"/>
      <c r="T54" s="435"/>
      <c r="U54" s="435"/>
      <c r="V54" s="426" t="s">
        <v>171</v>
      </c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 t="s">
        <v>118</v>
      </c>
      <c r="B55" s="435"/>
      <c r="C55" s="144" t="s">
        <v>173</v>
      </c>
      <c r="D55" s="144" t="s">
        <v>117</v>
      </c>
      <c r="E55" s="144" t="s">
        <v>170</v>
      </c>
      <c r="F55" s="445" t="s">
        <v>171</v>
      </c>
      <c r="G55" s="446"/>
      <c r="H55" s="446"/>
      <c r="I55" s="446"/>
      <c r="J55" s="446"/>
      <c r="K55" s="446"/>
      <c r="L55" s="446"/>
      <c r="M55" s="447"/>
      <c r="N55" s="143"/>
      <c r="O55" s="124"/>
      <c r="P55" s="435"/>
      <c r="Q55" s="435"/>
      <c r="R55" s="435"/>
      <c r="S55" s="435"/>
      <c r="T55" s="435"/>
      <c r="U55" s="435"/>
      <c r="V55" s="426"/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 t="s">
        <v>114</v>
      </c>
      <c r="B56" s="435"/>
      <c r="C56" s="144" t="s">
        <v>178</v>
      </c>
      <c r="D56" s="144" t="s">
        <v>134</v>
      </c>
      <c r="E56" s="144" t="s">
        <v>152</v>
      </c>
      <c r="F56" s="445" t="s">
        <v>189</v>
      </c>
      <c r="G56" s="446"/>
      <c r="H56" s="446"/>
      <c r="I56" s="446"/>
      <c r="J56" s="446"/>
      <c r="K56" s="446"/>
      <c r="L56" s="446"/>
      <c r="M56" s="447"/>
      <c r="N56" s="143"/>
      <c r="O56" s="124"/>
      <c r="P56" s="443"/>
      <c r="Q56" s="444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144"/>
      <c r="D57" s="144"/>
      <c r="E57" s="144"/>
      <c r="F57" s="445"/>
      <c r="G57" s="446"/>
      <c r="H57" s="446"/>
      <c r="I57" s="446"/>
      <c r="J57" s="446"/>
      <c r="K57" s="446"/>
      <c r="L57" s="446"/>
      <c r="M57" s="447"/>
      <c r="N57" s="143"/>
      <c r="O57" s="124"/>
      <c r="P57" s="435"/>
      <c r="Q57" s="435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144"/>
      <c r="D58" s="144"/>
      <c r="E58" s="144"/>
      <c r="F58" s="445"/>
      <c r="G58" s="446"/>
      <c r="H58" s="446"/>
      <c r="I58" s="446"/>
      <c r="J58" s="446"/>
      <c r="K58" s="446"/>
      <c r="L58" s="446"/>
      <c r="M58" s="447"/>
      <c r="N58" s="143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144"/>
      <c r="D59" s="144"/>
      <c r="E59" s="144"/>
      <c r="F59" s="426"/>
      <c r="G59" s="426"/>
      <c r="H59" s="426"/>
      <c r="I59" s="426"/>
      <c r="J59" s="426"/>
      <c r="K59" s="426"/>
      <c r="L59" s="426"/>
      <c r="M59" s="436"/>
      <c r="N59" s="143"/>
      <c r="O59" s="124"/>
      <c r="P59" s="443"/>
      <c r="Q59" s="444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</row>
    <row r="60" spans="1:32" ht="27" customHeight="1">
      <c r="A60" s="434"/>
      <c r="B60" s="435"/>
      <c r="C60" s="144"/>
      <c r="D60" s="144"/>
      <c r="E60" s="144"/>
      <c r="F60" s="426"/>
      <c r="G60" s="426"/>
      <c r="H60" s="426"/>
      <c r="I60" s="426"/>
      <c r="J60" s="426"/>
      <c r="K60" s="426"/>
      <c r="L60" s="426"/>
      <c r="M60" s="436"/>
      <c r="N60" s="143"/>
      <c r="O60" s="124"/>
      <c r="P60" s="443"/>
      <c r="Q60" s="444"/>
      <c r="R60" s="435"/>
      <c r="S60" s="435"/>
      <c r="T60" s="435"/>
      <c r="U60" s="435"/>
      <c r="V60" s="426"/>
      <c r="W60" s="426"/>
      <c r="X60" s="426"/>
      <c r="Y60" s="426"/>
      <c r="Z60" s="426"/>
      <c r="AA60" s="426"/>
      <c r="AB60" s="426"/>
      <c r="AC60" s="426"/>
      <c r="AD60" s="436"/>
    </row>
    <row r="61" spans="1:32" ht="27" customHeight="1">
      <c r="A61" s="434"/>
      <c r="B61" s="435"/>
      <c r="C61" s="144"/>
      <c r="D61" s="144"/>
      <c r="E61" s="144"/>
      <c r="F61" s="426"/>
      <c r="G61" s="426"/>
      <c r="H61" s="426"/>
      <c r="I61" s="426"/>
      <c r="J61" s="426"/>
      <c r="K61" s="426"/>
      <c r="L61" s="426"/>
      <c r="M61" s="436"/>
      <c r="N61" s="143"/>
      <c r="O61" s="124"/>
      <c r="P61" s="435"/>
      <c r="Q61" s="435"/>
      <c r="R61" s="435"/>
      <c r="S61" s="435"/>
      <c r="T61" s="435"/>
      <c r="U61" s="435"/>
      <c r="V61" s="426"/>
      <c r="W61" s="426"/>
      <c r="X61" s="426"/>
      <c r="Y61" s="426"/>
      <c r="Z61" s="426"/>
      <c r="AA61" s="426"/>
      <c r="AB61" s="426"/>
      <c r="AC61" s="426"/>
      <c r="AD61" s="436"/>
      <c r="AF61" s="93">
        <f>8*3000</f>
        <v>24000</v>
      </c>
    </row>
    <row r="62" spans="1:32" ht="27" customHeight="1" thickBot="1">
      <c r="A62" s="437"/>
      <c r="B62" s="438"/>
      <c r="C62" s="146"/>
      <c r="D62" s="146"/>
      <c r="E62" s="146"/>
      <c r="F62" s="439"/>
      <c r="G62" s="439"/>
      <c r="H62" s="439"/>
      <c r="I62" s="439"/>
      <c r="J62" s="439"/>
      <c r="K62" s="439"/>
      <c r="L62" s="439"/>
      <c r="M62" s="440"/>
      <c r="N62" s="145"/>
      <c r="O62" s="120"/>
      <c r="P62" s="438"/>
      <c r="Q62" s="438"/>
      <c r="R62" s="438"/>
      <c r="S62" s="438"/>
      <c r="T62" s="438"/>
      <c r="U62" s="438"/>
      <c r="V62" s="441"/>
      <c r="W62" s="441"/>
      <c r="X62" s="441"/>
      <c r="Y62" s="441"/>
      <c r="Z62" s="441"/>
      <c r="AA62" s="441"/>
      <c r="AB62" s="441"/>
      <c r="AC62" s="441"/>
      <c r="AD62" s="442"/>
      <c r="AF62" s="93">
        <f>16*3000</f>
        <v>48000</v>
      </c>
    </row>
    <row r="63" spans="1:32" ht="27.75" thickBot="1">
      <c r="A63" s="432" t="s">
        <v>195</v>
      </c>
      <c r="B63" s="432"/>
      <c r="C63" s="432"/>
      <c r="D63" s="432"/>
      <c r="E63" s="432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3">
        <v>24000</v>
      </c>
    </row>
    <row r="64" spans="1:32" ht="29.25" customHeight="1" thickBot="1">
      <c r="A64" s="433" t="s">
        <v>113</v>
      </c>
      <c r="B64" s="430"/>
      <c r="C64" s="142" t="s">
        <v>2</v>
      </c>
      <c r="D64" s="142" t="s">
        <v>37</v>
      </c>
      <c r="E64" s="142" t="s">
        <v>3</v>
      </c>
      <c r="F64" s="430" t="s">
        <v>110</v>
      </c>
      <c r="G64" s="430"/>
      <c r="H64" s="430"/>
      <c r="I64" s="430"/>
      <c r="J64" s="430"/>
      <c r="K64" s="430" t="s">
        <v>39</v>
      </c>
      <c r="L64" s="430"/>
      <c r="M64" s="142" t="s">
        <v>40</v>
      </c>
      <c r="N64" s="430" t="s">
        <v>41</v>
      </c>
      <c r="O64" s="430"/>
      <c r="P64" s="427" t="s">
        <v>42</v>
      </c>
      <c r="Q64" s="429"/>
      <c r="R64" s="427" t="s">
        <v>43</v>
      </c>
      <c r="S64" s="428"/>
      <c r="T64" s="428"/>
      <c r="U64" s="428"/>
      <c r="V64" s="428"/>
      <c r="W64" s="428"/>
      <c r="X64" s="428"/>
      <c r="Y64" s="428"/>
      <c r="Z64" s="428"/>
      <c r="AA64" s="429"/>
      <c r="AB64" s="430" t="s">
        <v>44</v>
      </c>
      <c r="AC64" s="430"/>
      <c r="AD64" s="431"/>
      <c r="AF64" s="93">
        <f>SUM(AF61:AF63)</f>
        <v>96000</v>
      </c>
    </row>
    <row r="65" spans="1:32" ht="25.5" customHeight="1">
      <c r="A65" s="422">
        <v>1</v>
      </c>
      <c r="B65" s="423"/>
      <c r="C65" s="123" t="s">
        <v>114</v>
      </c>
      <c r="D65" s="138"/>
      <c r="E65" s="141" t="s">
        <v>134</v>
      </c>
      <c r="F65" s="424" t="s">
        <v>196</v>
      </c>
      <c r="G65" s="416"/>
      <c r="H65" s="416"/>
      <c r="I65" s="416"/>
      <c r="J65" s="416"/>
      <c r="K65" s="416" t="s">
        <v>187</v>
      </c>
      <c r="L65" s="416"/>
      <c r="M65" s="54" t="s">
        <v>197</v>
      </c>
      <c r="N65" s="416">
        <v>4</v>
      </c>
      <c r="O65" s="416"/>
      <c r="P65" s="425">
        <v>50</v>
      </c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2</v>
      </c>
      <c r="B66" s="423"/>
      <c r="C66" s="123"/>
      <c r="D66" s="138"/>
      <c r="E66" s="141"/>
      <c r="F66" s="424"/>
      <c r="G66" s="416"/>
      <c r="H66" s="416"/>
      <c r="I66" s="416"/>
      <c r="J66" s="416"/>
      <c r="K66" s="416"/>
      <c r="L66" s="416"/>
      <c r="M66" s="54"/>
      <c r="N66" s="416"/>
      <c r="O66" s="416"/>
      <c r="P66" s="425"/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3</v>
      </c>
      <c r="B67" s="423"/>
      <c r="C67" s="123"/>
      <c r="D67" s="138"/>
      <c r="E67" s="141"/>
      <c r="F67" s="424"/>
      <c r="G67" s="416"/>
      <c r="H67" s="416"/>
      <c r="I67" s="416"/>
      <c r="J67" s="416"/>
      <c r="K67" s="416"/>
      <c r="L67" s="416"/>
      <c r="M67" s="54"/>
      <c r="N67" s="416"/>
      <c r="O67" s="416"/>
      <c r="P67" s="425"/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4</v>
      </c>
      <c r="B68" s="423"/>
      <c r="C68" s="123"/>
      <c r="D68" s="138"/>
      <c r="E68" s="141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5</v>
      </c>
      <c r="B69" s="423"/>
      <c r="C69" s="123"/>
      <c r="D69" s="138"/>
      <c r="E69" s="141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6</v>
      </c>
      <c r="B70" s="423"/>
      <c r="C70" s="123"/>
      <c r="D70" s="138"/>
      <c r="E70" s="141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5.5" customHeight="1">
      <c r="A71" s="422">
        <v>7</v>
      </c>
      <c r="B71" s="423"/>
      <c r="C71" s="123"/>
      <c r="D71" s="138"/>
      <c r="E71" s="141"/>
      <c r="F71" s="424"/>
      <c r="G71" s="416"/>
      <c r="H71" s="416"/>
      <c r="I71" s="416"/>
      <c r="J71" s="416"/>
      <c r="K71" s="416"/>
      <c r="L71" s="416"/>
      <c r="M71" s="54"/>
      <c r="N71" s="416"/>
      <c r="O71" s="416"/>
      <c r="P71" s="425"/>
      <c r="Q71" s="425"/>
      <c r="R71" s="426"/>
      <c r="S71" s="426"/>
      <c r="T71" s="426"/>
      <c r="U71" s="426"/>
      <c r="V71" s="426"/>
      <c r="W71" s="426"/>
      <c r="X71" s="426"/>
      <c r="Y71" s="426"/>
      <c r="Z71" s="426"/>
      <c r="AA71" s="426"/>
      <c r="AB71" s="416"/>
      <c r="AC71" s="416"/>
      <c r="AD71" s="417"/>
      <c r="AF71" s="53"/>
    </row>
    <row r="72" spans="1:32" ht="25.5" customHeight="1">
      <c r="A72" s="422">
        <v>8</v>
      </c>
      <c r="B72" s="423"/>
      <c r="C72" s="123"/>
      <c r="D72" s="138"/>
      <c r="E72" s="141"/>
      <c r="F72" s="424"/>
      <c r="G72" s="416"/>
      <c r="H72" s="416"/>
      <c r="I72" s="416"/>
      <c r="J72" s="416"/>
      <c r="K72" s="416"/>
      <c r="L72" s="416"/>
      <c r="M72" s="54"/>
      <c r="N72" s="416"/>
      <c r="O72" s="416"/>
      <c r="P72" s="425"/>
      <c r="Q72" s="425"/>
      <c r="R72" s="426"/>
      <c r="S72" s="426"/>
      <c r="T72" s="426"/>
      <c r="U72" s="426"/>
      <c r="V72" s="426"/>
      <c r="W72" s="426"/>
      <c r="X72" s="426"/>
      <c r="Y72" s="426"/>
      <c r="Z72" s="426"/>
      <c r="AA72" s="426"/>
      <c r="AB72" s="416"/>
      <c r="AC72" s="416"/>
      <c r="AD72" s="417"/>
      <c r="AF72" s="53"/>
    </row>
    <row r="73" spans="1:32" ht="26.25" customHeight="1" thickBot="1">
      <c r="A73" s="396" t="s">
        <v>198</v>
      </c>
      <c r="B73" s="396"/>
      <c r="C73" s="396"/>
      <c r="D73" s="396"/>
      <c r="E73" s="396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397" t="s">
        <v>113</v>
      </c>
      <c r="B74" s="398"/>
      <c r="C74" s="140" t="s">
        <v>2</v>
      </c>
      <c r="D74" s="140" t="s">
        <v>37</v>
      </c>
      <c r="E74" s="140" t="s">
        <v>3</v>
      </c>
      <c r="F74" s="398" t="s">
        <v>38</v>
      </c>
      <c r="G74" s="398"/>
      <c r="H74" s="398"/>
      <c r="I74" s="398"/>
      <c r="J74" s="398"/>
      <c r="K74" s="418" t="s">
        <v>58</v>
      </c>
      <c r="L74" s="419"/>
      <c r="M74" s="419"/>
      <c r="N74" s="419"/>
      <c r="O74" s="419"/>
      <c r="P74" s="419"/>
      <c r="Q74" s="419"/>
      <c r="R74" s="419"/>
      <c r="S74" s="420"/>
      <c r="T74" s="398" t="s">
        <v>49</v>
      </c>
      <c r="U74" s="398"/>
      <c r="V74" s="418" t="s">
        <v>50</v>
      </c>
      <c r="W74" s="420"/>
      <c r="X74" s="419" t="s">
        <v>51</v>
      </c>
      <c r="Y74" s="419"/>
      <c r="Z74" s="419"/>
      <c r="AA74" s="419"/>
      <c r="AB74" s="419"/>
      <c r="AC74" s="419"/>
      <c r="AD74" s="421"/>
      <c r="AF74" s="53"/>
    </row>
    <row r="75" spans="1:32" ht="33.75" customHeight="1">
      <c r="A75" s="390">
        <v>1</v>
      </c>
      <c r="B75" s="391"/>
      <c r="C75" s="139" t="s">
        <v>114</v>
      </c>
      <c r="D75" s="139"/>
      <c r="E75" s="71" t="s">
        <v>127</v>
      </c>
      <c r="F75" s="405" t="s">
        <v>126</v>
      </c>
      <c r="G75" s="406"/>
      <c r="H75" s="406"/>
      <c r="I75" s="406"/>
      <c r="J75" s="407"/>
      <c r="K75" s="408" t="s">
        <v>128</v>
      </c>
      <c r="L75" s="409"/>
      <c r="M75" s="409"/>
      <c r="N75" s="409"/>
      <c r="O75" s="409"/>
      <c r="P75" s="409"/>
      <c r="Q75" s="409"/>
      <c r="R75" s="409"/>
      <c r="S75" s="410"/>
      <c r="T75" s="411">
        <v>43384</v>
      </c>
      <c r="U75" s="412"/>
      <c r="V75" s="413"/>
      <c r="W75" s="413"/>
      <c r="X75" s="414"/>
      <c r="Y75" s="414"/>
      <c r="Z75" s="414"/>
      <c r="AA75" s="414"/>
      <c r="AB75" s="414"/>
      <c r="AC75" s="414"/>
      <c r="AD75" s="415"/>
      <c r="AF75" s="53"/>
    </row>
    <row r="76" spans="1:32" ht="30" customHeight="1">
      <c r="A76" s="383">
        <f>A75+1</f>
        <v>2</v>
      </c>
      <c r="B76" s="384"/>
      <c r="C76" s="138"/>
      <c r="D76" s="138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ref="A77:A83" si="27">A76+1</f>
        <v>3</v>
      </c>
      <c r="B77" s="384"/>
      <c r="C77" s="138"/>
      <c r="D77" s="138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27"/>
        <v>4</v>
      </c>
      <c r="B78" s="384"/>
      <c r="C78" s="138"/>
      <c r="D78" s="138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27"/>
        <v>5</v>
      </c>
      <c r="B79" s="384"/>
      <c r="C79" s="138"/>
      <c r="D79" s="138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27"/>
        <v>6</v>
      </c>
      <c r="B80" s="384"/>
      <c r="C80" s="138"/>
      <c r="D80" s="138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27"/>
        <v>7</v>
      </c>
      <c r="B81" s="384"/>
      <c r="C81" s="138"/>
      <c r="D81" s="138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0" customHeight="1">
      <c r="A82" s="383">
        <f t="shared" si="27"/>
        <v>8</v>
      </c>
      <c r="B82" s="384"/>
      <c r="C82" s="138"/>
      <c r="D82" s="138"/>
      <c r="E82" s="35"/>
      <c r="F82" s="384"/>
      <c r="G82" s="384"/>
      <c r="H82" s="384"/>
      <c r="I82" s="384"/>
      <c r="J82" s="384"/>
      <c r="K82" s="399"/>
      <c r="L82" s="400"/>
      <c r="M82" s="400"/>
      <c r="N82" s="400"/>
      <c r="O82" s="400"/>
      <c r="P82" s="400"/>
      <c r="Q82" s="400"/>
      <c r="R82" s="400"/>
      <c r="S82" s="401"/>
      <c r="T82" s="402"/>
      <c r="U82" s="402"/>
      <c r="V82" s="402"/>
      <c r="W82" s="402"/>
      <c r="X82" s="403"/>
      <c r="Y82" s="403"/>
      <c r="Z82" s="403"/>
      <c r="AA82" s="403"/>
      <c r="AB82" s="403"/>
      <c r="AC82" s="403"/>
      <c r="AD82" s="404"/>
      <c r="AF82" s="53"/>
    </row>
    <row r="83" spans="1:32" ht="30" customHeight="1">
      <c r="A83" s="383">
        <f t="shared" si="27"/>
        <v>9</v>
      </c>
      <c r="B83" s="384"/>
      <c r="C83" s="138"/>
      <c r="D83" s="138"/>
      <c r="E83" s="35"/>
      <c r="F83" s="384"/>
      <c r="G83" s="384"/>
      <c r="H83" s="384"/>
      <c r="I83" s="384"/>
      <c r="J83" s="384"/>
      <c r="K83" s="399"/>
      <c r="L83" s="400"/>
      <c r="M83" s="400"/>
      <c r="N83" s="400"/>
      <c r="O83" s="400"/>
      <c r="P83" s="400"/>
      <c r="Q83" s="400"/>
      <c r="R83" s="400"/>
      <c r="S83" s="401"/>
      <c r="T83" s="402"/>
      <c r="U83" s="402"/>
      <c r="V83" s="402"/>
      <c r="W83" s="402"/>
      <c r="X83" s="403"/>
      <c r="Y83" s="403"/>
      <c r="Z83" s="403"/>
      <c r="AA83" s="403"/>
      <c r="AB83" s="403"/>
      <c r="AC83" s="403"/>
      <c r="AD83" s="404"/>
      <c r="AF83" s="53"/>
    </row>
    <row r="84" spans="1:32" ht="36" thickBot="1">
      <c r="A84" s="396" t="s">
        <v>199</v>
      </c>
      <c r="B84" s="396"/>
      <c r="C84" s="396"/>
      <c r="D84" s="396"/>
      <c r="E84" s="396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397" t="s">
        <v>113</v>
      </c>
      <c r="B85" s="398"/>
      <c r="C85" s="388" t="s">
        <v>52</v>
      </c>
      <c r="D85" s="388"/>
      <c r="E85" s="388" t="s">
        <v>53</v>
      </c>
      <c r="F85" s="388"/>
      <c r="G85" s="388"/>
      <c r="H85" s="388"/>
      <c r="I85" s="388"/>
      <c r="J85" s="388"/>
      <c r="K85" s="388" t="s">
        <v>54</v>
      </c>
      <c r="L85" s="388"/>
      <c r="M85" s="388"/>
      <c r="N85" s="388"/>
      <c r="O85" s="388"/>
      <c r="P85" s="388"/>
      <c r="Q85" s="388"/>
      <c r="R85" s="388"/>
      <c r="S85" s="388"/>
      <c r="T85" s="388" t="s">
        <v>55</v>
      </c>
      <c r="U85" s="388"/>
      <c r="V85" s="388" t="s">
        <v>56</v>
      </c>
      <c r="W85" s="388"/>
      <c r="X85" s="388"/>
      <c r="Y85" s="388" t="s">
        <v>51</v>
      </c>
      <c r="Z85" s="388"/>
      <c r="AA85" s="388"/>
      <c r="AB85" s="388"/>
      <c r="AC85" s="388"/>
      <c r="AD85" s="389"/>
      <c r="AF85" s="53"/>
    </row>
    <row r="86" spans="1:32" ht="30.75" customHeight="1">
      <c r="A86" s="390">
        <v>1</v>
      </c>
      <c r="B86" s="391"/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3"/>
      <c r="W86" s="393"/>
      <c r="X86" s="393"/>
      <c r="Y86" s="394"/>
      <c r="Z86" s="394"/>
      <c r="AA86" s="394"/>
      <c r="AB86" s="394"/>
      <c r="AC86" s="394"/>
      <c r="AD86" s="395"/>
      <c r="AF86" s="53"/>
    </row>
    <row r="87" spans="1:32" ht="30.75" customHeight="1">
      <c r="A87" s="383">
        <v>2</v>
      </c>
      <c r="B87" s="384"/>
      <c r="C87" s="385"/>
      <c r="D87" s="385"/>
      <c r="E87" s="385"/>
      <c r="F87" s="385"/>
      <c r="G87" s="385"/>
      <c r="H87" s="385"/>
      <c r="I87" s="385"/>
      <c r="J87" s="385"/>
      <c r="K87" s="385"/>
      <c r="L87" s="385"/>
      <c r="M87" s="385"/>
      <c r="N87" s="385"/>
      <c r="O87" s="385"/>
      <c r="P87" s="385"/>
      <c r="Q87" s="385"/>
      <c r="R87" s="385"/>
      <c r="S87" s="385"/>
      <c r="T87" s="386"/>
      <c r="U87" s="386"/>
      <c r="V87" s="387"/>
      <c r="W87" s="387"/>
      <c r="X87" s="387"/>
      <c r="Y87" s="376"/>
      <c r="Z87" s="376"/>
      <c r="AA87" s="376"/>
      <c r="AB87" s="376"/>
      <c r="AC87" s="376"/>
      <c r="AD87" s="377"/>
      <c r="AF87" s="53"/>
    </row>
    <row r="88" spans="1:32" ht="30.75" customHeight="1" thickBot="1">
      <c r="A88" s="378">
        <v>3</v>
      </c>
      <c r="B88" s="379"/>
      <c r="C88" s="380"/>
      <c r="D88" s="380"/>
      <c r="E88" s="380"/>
      <c r="F88" s="380"/>
      <c r="G88" s="380"/>
      <c r="H88" s="380"/>
      <c r="I88" s="380"/>
      <c r="J88" s="380"/>
      <c r="K88" s="380"/>
      <c r="L88" s="380"/>
      <c r="M88" s="380"/>
      <c r="N88" s="380"/>
      <c r="O88" s="380"/>
      <c r="P88" s="380"/>
      <c r="Q88" s="380"/>
      <c r="R88" s="380"/>
      <c r="S88" s="380"/>
      <c r="T88" s="380"/>
      <c r="U88" s="380"/>
      <c r="V88" s="380"/>
      <c r="W88" s="380"/>
      <c r="X88" s="380"/>
      <c r="Y88" s="381"/>
      <c r="Z88" s="381"/>
      <c r="AA88" s="381"/>
      <c r="AB88" s="381"/>
      <c r="AC88" s="381"/>
      <c r="AD88" s="382"/>
      <c r="AF88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9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D950-E176-4AF0-AE68-E8755BB338F4}">
  <sheetPr>
    <pageSetUpPr fitToPage="1"/>
  </sheetPr>
  <dimension ref="A1:AF86"/>
  <sheetViews>
    <sheetView zoomScale="72" zoomScaleNormal="72" zoomScaleSheetLayoutView="70" workbookViewId="0">
      <selection activeCell="AD22" sqref="AD2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200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148" t="s">
        <v>17</v>
      </c>
      <c r="L5" s="148" t="s">
        <v>18</v>
      </c>
      <c r="M5" s="148" t="s">
        <v>19</v>
      </c>
      <c r="N5" s="14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0.45277777777777772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0.45277777777777772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123</v>
      </c>
      <c r="D8" s="55" t="s">
        <v>125</v>
      </c>
      <c r="E8" s="57" t="s">
        <v>146</v>
      </c>
      <c r="F8" s="33" t="s">
        <v>121</v>
      </c>
      <c r="G8" s="36">
        <v>4</v>
      </c>
      <c r="H8" s="38">
        <v>25</v>
      </c>
      <c r="I8" s="7">
        <v>400000</v>
      </c>
      <c r="J8" s="5">
        <v>11976</v>
      </c>
      <c r="K8" s="15">
        <f>L8+16608+16844+19920+20748+18068</f>
        <v>104164</v>
      </c>
      <c r="L8" s="15">
        <f>2020*4+974*4</f>
        <v>11976</v>
      </c>
      <c r="M8" s="16">
        <f t="shared" si="0"/>
        <v>11976</v>
      </c>
      <c r="N8" s="16">
        <v>0</v>
      </c>
      <c r="O8" s="62">
        <f t="shared" si="1"/>
        <v>0</v>
      </c>
      <c r="P8" s="42">
        <f t="shared" si="2"/>
        <v>19</v>
      </c>
      <c r="Q8" s="43">
        <f t="shared" si="3"/>
        <v>5</v>
      </c>
      <c r="R8" s="7"/>
      <c r="S8" s="6">
        <v>5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0.79166666666666663</v>
      </c>
      <c r="AD8" s="10">
        <f t="shared" si="6"/>
        <v>0.79166666666666663</v>
      </c>
      <c r="AE8" s="39">
        <f t="shared" si="7"/>
        <v>0.45277777777777772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118</v>
      </c>
      <c r="D9" s="55" t="s">
        <v>120</v>
      </c>
      <c r="E9" s="57" t="s">
        <v>175</v>
      </c>
      <c r="F9" s="33" t="s">
        <v>187</v>
      </c>
      <c r="G9" s="36">
        <v>1</v>
      </c>
      <c r="H9" s="38">
        <v>24</v>
      </c>
      <c r="I9" s="7">
        <v>1000</v>
      </c>
      <c r="J9" s="14">
        <v>3336</v>
      </c>
      <c r="K9" s="15">
        <f>L9+2992</f>
        <v>6328</v>
      </c>
      <c r="L9" s="15">
        <f>840+2496</f>
        <v>3336</v>
      </c>
      <c r="M9" s="16">
        <f t="shared" si="0"/>
        <v>3336</v>
      </c>
      <c r="N9" s="16">
        <v>0</v>
      </c>
      <c r="O9" s="62">
        <f t="shared" si="1"/>
        <v>0</v>
      </c>
      <c r="P9" s="42">
        <f t="shared" si="2"/>
        <v>18</v>
      </c>
      <c r="Q9" s="43">
        <f t="shared" si="3"/>
        <v>6</v>
      </c>
      <c r="R9" s="7"/>
      <c r="S9" s="6"/>
      <c r="T9" s="17"/>
      <c r="U9" s="17"/>
      <c r="V9" s="18"/>
      <c r="W9" s="19">
        <v>6</v>
      </c>
      <c r="X9" s="17"/>
      <c r="Y9" s="20"/>
      <c r="Z9" s="20"/>
      <c r="AA9" s="21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9">
        <f t="shared" si="7"/>
        <v>0.45277777777777772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123</v>
      </c>
      <c r="D10" s="55" t="s">
        <v>119</v>
      </c>
      <c r="E10" s="57" t="s">
        <v>147</v>
      </c>
      <c r="F10" s="12" t="s">
        <v>121</v>
      </c>
      <c r="G10" s="12">
        <v>4</v>
      </c>
      <c r="H10" s="13">
        <v>25</v>
      </c>
      <c r="I10" s="7">
        <v>400000</v>
      </c>
      <c r="J10" s="14">
        <v>18752</v>
      </c>
      <c r="K10" s="15">
        <f>L10+23776+26072+26756+24764+18432+17192</f>
        <v>155744</v>
      </c>
      <c r="L10" s="15">
        <f>3465*4+1223*4</f>
        <v>18752</v>
      </c>
      <c r="M10" s="16">
        <f t="shared" si="0"/>
        <v>18752</v>
      </c>
      <c r="N10" s="16">
        <v>0</v>
      </c>
      <c r="O10" s="62">
        <f t="shared" si="1"/>
        <v>0</v>
      </c>
      <c r="P10" s="42">
        <f t="shared" si="2"/>
        <v>21</v>
      </c>
      <c r="Q10" s="43">
        <f t="shared" si="3"/>
        <v>3</v>
      </c>
      <c r="R10" s="7"/>
      <c r="S10" s="6">
        <v>3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0.875</v>
      </c>
      <c r="AD10" s="10">
        <f t="shared" si="6"/>
        <v>0.875</v>
      </c>
      <c r="AE10" s="39">
        <f t="shared" si="7"/>
        <v>0.45277777777777772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123</v>
      </c>
      <c r="D11" s="55" t="s">
        <v>120</v>
      </c>
      <c r="E11" s="57" t="s">
        <v>150</v>
      </c>
      <c r="F11" s="12" t="s">
        <v>151</v>
      </c>
      <c r="G11" s="12">
        <v>1</v>
      </c>
      <c r="H11" s="13">
        <v>25</v>
      </c>
      <c r="I11" s="7">
        <v>35000</v>
      </c>
      <c r="J11" s="14">
        <v>1202</v>
      </c>
      <c r="K11" s="15">
        <f>L11+3530+5736+6036+5863+4843+3771+4692+5992</f>
        <v>41665</v>
      </c>
      <c r="L11" s="15">
        <v>1202</v>
      </c>
      <c r="M11" s="16">
        <f t="shared" si="0"/>
        <v>1202</v>
      </c>
      <c r="N11" s="16">
        <v>0</v>
      </c>
      <c r="O11" s="62">
        <f t="shared" si="1"/>
        <v>0</v>
      </c>
      <c r="P11" s="42">
        <f t="shared" si="2"/>
        <v>6</v>
      </c>
      <c r="Q11" s="43">
        <f t="shared" si="3"/>
        <v>18</v>
      </c>
      <c r="R11" s="7"/>
      <c r="S11" s="6"/>
      <c r="T11" s="17"/>
      <c r="U11" s="17"/>
      <c r="V11" s="18"/>
      <c r="W11" s="19">
        <v>18</v>
      </c>
      <c r="X11" s="17"/>
      <c r="Y11" s="20"/>
      <c r="Z11" s="20"/>
      <c r="AA11" s="21"/>
      <c r="AB11" s="8">
        <f t="shared" si="4"/>
        <v>1</v>
      </c>
      <c r="AC11" s="9">
        <f t="shared" si="5"/>
        <v>0.25</v>
      </c>
      <c r="AD11" s="10">
        <f t="shared" si="6"/>
        <v>0.25</v>
      </c>
      <c r="AE11" s="39">
        <f t="shared" si="7"/>
        <v>0.45277777777777772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114</v>
      </c>
      <c r="D12" s="55" t="s">
        <v>134</v>
      </c>
      <c r="E12" s="57" t="s">
        <v>152</v>
      </c>
      <c r="F12" s="33" t="s">
        <v>121</v>
      </c>
      <c r="G12" s="36">
        <v>1</v>
      </c>
      <c r="H12" s="38">
        <v>24</v>
      </c>
      <c r="I12" s="7">
        <v>16000</v>
      </c>
      <c r="J12" s="14">
        <v>5460</v>
      </c>
      <c r="K12" s="15">
        <f>L12+1505+4882+4632+2676</f>
        <v>19155</v>
      </c>
      <c r="L12" s="15">
        <f>3038+2422</f>
        <v>5460</v>
      </c>
      <c r="M12" s="16">
        <f t="shared" si="0"/>
        <v>5460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0.45277777777777772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123</v>
      </c>
      <c r="D13" s="55" t="s">
        <v>142</v>
      </c>
      <c r="E13" s="57" t="s">
        <v>141</v>
      </c>
      <c r="F13" s="12" t="s">
        <v>143</v>
      </c>
      <c r="G13" s="12">
        <v>4</v>
      </c>
      <c r="H13" s="13">
        <v>25</v>
      </c>
      <c r="I13" s="7">
        <v>30000</v>
      </c>
      <c r="J13" s="14">
        <v>10540</v>
      </c>
      <c r="K13" s="15">
        <f>L13+22420+10540</f>
        <v>32960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0.45277777777777772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114</v>
      </c>
      <c r="D14" s="55" t="s">
        <v>117</v>
      </c>
      <c r="E14" s="57" t="s">
        <v>159</v>
      </c>
      <c r="F14" s="33" t="s">
        <v>160</v>
      </c>
      <c r="G14" s="36">
        <v>1</v>
      </c>
      <c r="H14" s="38">
        <v>25</v>
      </c>
      <c r="I14" s="7">
        <v>500</v>
      </c>
      <c r="J14" s="5">
        <v>613</v>
      </c>
      <c r="K14" s="15">
        <f>L14+613</f>
        <v>613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0.45277777777777772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192</v>
      </c>
      <c r="D15" s="55" t="s">
        <v>194</v>
      </c>
      <c r="E15" s="57" t="s">
        <v>191</v>
      </c>
      <c r="F15" s="12" t="s">
        <v>201</v>
      </c>
      <c r="G15" s="12">
        <v>4</v>
      </c>
      <c r="H15" s="13">
        <v>24</v>
      </c>
      <c r="I15" s="34">
        <v>30000</v>
      </c>
      <c r="J15" s="14">
        <v>15852</v>
      </c>
      <c r="K15" s="15">
        <f>L15</f>
        <v>15852</v>
      </c>
      <c r="L15" s="15">
        <f>1987*4+1976*4</f>
        <v>15852</v>
      </c>
      <c r="M15" s="16">
        <f t="shared" si="0"/>
        <v>15852</v>
      </c>
      <c r="N15" s="16">
        <v>0</v>
      </c>
      <c r="O15" s="62">
        <f t="shared" si="1"/>
        <v>0</v>
      </c>
      <c r="P15" s="42">
        <f t="shared" si="2"/>
        <v>21</v>
      </c>
      <c r="Q15" s="43">
        <f t="shared" si="3"/>
        <v>3</v>
      </c>
      <c r="R15" s="7">
        <v>3</v>
      </c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0.875</v>
      </c>
      <c r="AD15" s="10">
        <f t="shared" si="6"/>
        <v>0.875</v>
      </c>
      <c r="AE15" s="39">
        <f t="shared" si="7"/>
        <v>0.45277777777777772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123</v>
      </c>
      <c r="D16" s="55" t="s">
        <v>119</v>
      </c>
      <c r="E16" s="57" t="s">
        <v>145</v>
      </c>
      <c r="F16" s="33" t="s">
        <v>140</v>
      </c>
      <c r="G16" s="36">
        <v>1</v>
      </c>
      <c r="H16" s="38">
        <v>24</v>
      </c>
      <c r="I16" s="7">
        <v>35000</v>
      </c>
      <c r="J16" s="5">
        <v>4375</v>
      </c>
      <c r="K16" s="15">
        <f>L16+4512+3969+4406+3892+1774+3617+2504+3561+4272+5733+4375</f>
        <v>42615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0.45277777777777772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123</v>
      </c>
      <c r="D17" s="55" t="s">
        <v>124</v>
      </c>
      <c r="E17" s="57" t="s">
        <v>148</v>
      </c>
      <c r="F17" s="12" t="s">
        <v>131</v>
      </c>
      <c r="G17" s="12">
        <v>4</v>
      </c>
      <c r="H17" s="13">
        <v>24</v>
      </c>
      <c r="I17" s="34">
        <v>400000</v>
      </c>
      <c r="J17" s="14">
        <v>11104</v>
      </c>
      <c r="K17" s="15">
        <f>L17+19964+21928+25296+24300+24768+24688</f>
        <v>152048</v>
      </c>
      <c r="L17" s="15">
        <f>2776*4</f>
        <v>11104</v>
      </c>
      <c r="M17" s="16">
        <f t="shared" si="0"/>
        <v>11104</v>
      </c>
      <c r="N17" s="16">
        <v>0</v>
      </c>
      <c r="O17" s="62">
        <f t="shared" si="1"/>
        <v>0</v>
      </c>
      <c r="P17" s="42">
        <f t="shared" si="2"/>
        <v>16</v>
      </c>
      <c r="Q17" s="43">
        <f t="shared" si="3"/>
        <v>8</v>
      </c>
      <c r="R17" s="7"/>
      <c r="S17" s="6">
        <v>8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0.66666666666666663</v>
      </c>
      <c r="AD17" s="10">
        <f t="shared" si="6"/>
        <v>0.66666666666666663</v>
      </c>
      <c r="AE17" s="39">
        <f t="shared" si="7"/>
        <v>0.45277777777777772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123</v>
      </c>
      <c r="D18" s="55" t="s">
        <v>117</v>
      </c>
      <c r="E18" s="57" t="s">
        <v>153</v>
      </c>
      <c r="F18" s="12" t="s">
        <v>129</v>
      </c>
      <c r="G18" s="36">
        <v>4</v>
      </c>
      <c r="H18" s="38">
        <v>24</v>
      </c>
      <c r="I18" s="7">
        <v>400000</v>
      </c>
      <c r="J18" s="5">
        <v>20972</v>
      </c>
      <c r="K18" s="15">
        <f>L18+12380+14384+22568+16460+13888+20848</f>
        <v>121500</v>
      </c>
      <c r="L18" s="15">
        <f>2312*4+2931*4</f>
        <v>20972</v>
      </c>
      <c r="M18" s="16">
        <f t="shared" si="0"/>
        <v>20972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0.45277777777777772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118</v>
      </c>
      <c r="D19" s="55" t="s">
        <v>202</v>
      </c>
      <c r="E19" s="57" t="s">
        <v>203</v>
      </c>
      <c r="F19" s="12" t="s">
        <v>121</v>
      </c>
      <c r="G19" s="36">
        <v>1</v>
      </c>
      <c r="H19" s="13">
        <v>24</v>
      </c>
      <c r="I19" s="7">
        <v>7000</v>
      </c>
      <c r="J19" s="14">
        <v>2387</v>
      </c>
      <c r="K19" s="15">
        <f>L19</f>
        <v>2387</v>
      </c>
      <c r="L19" s="15">
        <v>2387</v>
      </c>
      <c r="M19" s="16">
        <f t="shared" si="0"/>
        <v>2387</v>
      </c>
      <c r="N19" s="16">
        <v>0</v>
      </c>
      <c r="O19" s="62">
        <f t="shared" si="1"/>
        <v>0</v>
      </c>
      <c r="P19" s="42">
        <f t="shared" si="2"/>
        <v>14</v>
      </c>
      <c r="Q19" s="43">
        <f t="shared" si="3"/>
        <v>10</v>
      </c>
      <c r="R19" s="7"/>
      <c r="S19" s="6"/>
      <c r="T19" s="17">
        <v>10</v>
      </c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0.58333333333333337</v>
      </c>
      <c r="AD19" s="10">
        <f t="shared" si="6"/>
        <v>0.58333333333333337</v>
      </c>
      <c r="AE19" s="39">
        <f t="shared" si="7"/>
        <v>0.45277777777777772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133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L20+39648+30712+45256+43600+10476</f>
        <v>169692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>
        <v>24</v>
      </c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0.45277777777777772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2054500</v>
      </c>
      <c r="J21" s="22">
        <f t="shared" si="9"/>
        <v>117045</v>
      </c>
      <c r="K21" s="23">
        <f t="shared" si="9"/>
        <v>864723</v>
      </c>
      <c r="L21" s="24">
        <f t="shared" si="9"/>
        <v>91041</v>
      </c>
      <c r="M21" s="23">
        <f t="shared" si="9"/>
        <v>91041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163</v>
      </c>
      <c r="Q21" s="46">
        <f t="shared" si="10"/>
        <v>197</v>
      </c>
      <c r="R21" s="26">
        <f t="shared" si="10"/>
        <v>27</v>
      </c>
      <c r="S21" s="27">
        <f t="shared" si="10"/>
        <v>16</v>
      </c>
      <c r="T21" s="27">
        <f t="shared" si="10"/>
        <v>10</v>
      </c>
      <c r="U21" s="27">
        <f t="shared" si="10"/>
        <v>0</v>
      </c>
      <c r="V21" s="28">
        <f t="shared" si="10"/>
        <v>24</v>
      </c>
      <c r="W21" s="29">
        <f t="shared" si="10"/>
        <v>120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</v>
      </c>
      <c r="AC21" s="4">
        <f>SUM(AC6:AC20)/15</f>
        <v>0.45277777777777772</v>
      </c>
      <c r="AD21" s="4">
        <f>SUM(AD6:AD20)/15</f>
        <v>0.45277777777777772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204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206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147" t="s">
        <v>46</v>
      </c>
      <c r="D50" s="147" t="s">
        <v>47</v>
      </c>
      <c r="E50" s="147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147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4" t="s">
        <v>192</v>
      </c>
      <c r="B51" s="435"/>
      <c r="C51" s="144" t="s">
        <v>193</v>
      </c>
      <c r="D51" s="144" t="s">
        <v>194</v>
      </c>
      <c r="E51" s="144" t="s">
        <v>191</v>
      </c>
      <c r="F51" s="445" t="s">
        <v>205</v>
      </c>
      <c r="G51" s="446"/>
      <c r="H51" s="446"/>
      <c r="I51" s="446"/>
      <c r="J51" s="446"/>
      <c r="K51" s="446"/>
      <c r="L51" s="446"/>
      <c r="M51" s="447"/>
      <c r="N51" s="149" t="s">
        <v>192</v>
      </c>
      <c r="O51" s="124" t="s">
        <v>193</v>
      </c>
      <c r="P51" s="443" t="s">
        <v>194</v>
      </c>
      <c r="Q51" s="444"/>
      <c r="R51" s="435" t="s">
        <v>191</v>
      </c>
      <c r="S51" s="435"/>
      <c r="T51" s="435"/>
      <c r="U51" s="435"/>
      <c r="V51" s="426" t="s">
        <v>207</v>
      </c>
      <c r="W51" s="426"/>
      <c r="X51" s="426"/>
      <c r="Y51" s="426"/>
      <c r="Z51" s="426"/>
      <c r="AA51" s="426"/>
      <c r="AB51" s="426"/>
      <c r="AC51" s="426"/>
      <c r="AD51" s="436"/>
    </row>
    <row r="52" spans="1:32" ht="27" customHeight="1">
      <c r="A52" s="434" t="s">
        <v>209</v>
      </c>
      <c r="B52" s="435"/>
      <c r="C52" s="144" t="s">
        <v>210</v>
      </c>
      <c r="D52" s="144" t="s">
        <v>211</v>
      </c>
      <c r="E52" s="144" t="s">
        <v>208</v>
      </c>
      <c r="F52" s="445" t="s">
        <v>212</v>
      </c>
      <c r="G52" s="446"/>
      <c r="H52" s="446"/>
      <c r="I52" s="446"/>
      <c r="J52" s="446"/>
      <c r="K52" s="446"/>
      <c r="L52" s="446"/>
      <c r="M52" s="447"/>
      <c r="N52" s="143" t="s">
        <v>209</v>
      </c>
      <c r="O52" s="124" t="s">
        <v>210</v>
      </c>
      <c r="P52" s="443" t="s">
        <v>211</v>
      </c>
      <c r="Q52" s="444"/>
      <c r="R52" s="435" t="s">
        <v>208</v>
      </c>
      <c r="S52" s="435"/>
      <c r="T52" s="435"/>
      <c r="U52" s="435"/>
      <c r="V52" s="426" t="s">
        <v>207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209</v>
      </c>
      <c r="B53" s="435"/>
      <c r="C53" s="144" t="s">
        <v>214</v>
      </c>
      <c r="D53" s="144" t="s">
        <v>215</v>
      </c>
      <c r="E53" s="144" t="s">
        <v>213</v>
      </c>
      <c r="F53" s="445" t="s">
        <v>216</v>
      </c>
      <c r="G53" s="446"/>
      <c r="H53" s="446"/>
      <c r="I53" s="446"/>
      <c r="J53" s="446"/>
      <c r="K53" s="446"/>
      <c r="L53" s="446"/>
      <c r="M53" s="447"/>
      <c r="N53" s="143" t="s">
        <v>218</v>
      </c>
      <c r="O53" s="124" t="s">
        <v>219</v>
      </c>
      <c r="P53" s="435" t="s">
        <v>220</v>
      </c>
      <c r="Q53" s="435"/>
      <c r="R53" s="435" t="s">
        <v>217</v>
      </c>
      <c r="S53" s="435"/>
      <c r="T53" s="435"/>
      <c r="U53" s="435"/>
      <c r="V53" s="426" t="s">
        <v>207</v>
      </c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 t="s">
        <v>218</v>
      </c>
      <c r="B54" s="435"/>
      <c r="C54" s="144" t="s">
        <v>219</v>
      </c>
      <c r="D54" s="144" t="s">
        <v>220</v>
      </c>
      <c r="E54" s="144" t="s">
        <v>217</v>
      </c>
      <c r="F54" s="445" t="s">
        <v>205</v>
      </c>
      <c r="G54" s="446"/>
      <c r="H54" s="446"/>
      <c r="I54" s="446"/>
      <c r="J54" s="446"/>
      <c r="K54" s="446"/>
      <c r="L54" s="446"/>
      <c r="M54" s="447"/>
      <c r="N54" s="143" t="s">
        <v>209</v>
      </c>
      <c r="O54" s="124" t="s">
        <v>223</v>
      </c>
      <c r="P54" s="443"/>
      <c r="Q54" s="444"/>
      <c r="R54" s="435" t="s">
        <v>221</v>
      </c>
      <c r="S54" s="435"/>
      <c r="T54" s="435"/>
      <c r="U54" s="435"/>
      <c r="V54" s="426" t="s">
        <v>222</v>
      </c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/>
      <c r="B55" s="435"/>
      <c r="C55" s="144"/>
      <c r="D55" s="144"/>
      <c r="E55" s="144"/>
      <c r="F55" s="445"/>
      <c r="G55" s="446"/>
      <c r="H55" s="446"/>
      <c r="I55" s="446"/>
      <c r="J55" s="446"/>
      <c r="K55" s="446"/>
      <c r="L55" s="446"/>
      <c r="M55" s="447"/>
      <c r="N55" s="149" t="s">
        <v>209</v>
      </c>
      <c r="O55" s="124" t="s">
        <v>225</v>
      </c>
      <c r="P55" s="435"/>
      <c r="Q55" s="435"/>
      <c r="R55" s="435" t="s">
        <v>224</v>
      </c>
      <c r="S55" s="435"/>
      <c r="T55" s="435"/>
      <c r="U55" s="435"/>
      <c r="V55" s="426" t="s">
        <v>222</v>
      </c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144"/>
      <c r="D56" s="144"/>
      <c r="E56" s="144"/>
      <c r="F56" s="445"/>
      <c r="G56" s="446"/>
      <c r="H56" s="446"/>
      <c r="I56" s="446"/>
      <c r="J56" s="446"/>
      <c r="K56" s="446"/>
      <c r="L56" s="446"/>
      <c r="M56" s="447"/>
      <c r="N56" s="143"/>
      <c r="O56" s="124"/>
      <c r="P56" s="443"/>
      <c r="Q56" s="444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144"/>
      <c r="D57" s="144"/>
      <c r="E57" s="144"/>
      <c r="F57" s="426"/>
      <c r="G57" s="426"/>
      <c r="H57" s="426"/>
      <c r="I57" s="426"/>
      <c r="J57" s="426"/>
      <c r="K57" s="426"/>
      <c r="L57" s="426"/>
      <c r="M57" s="436"/>
      <c r="N57" s="143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144"/>
      <c r="D58" s="144"/>
      <c r="E58" s="144"/>
      <c r="F58" s="426"/>
      <c r="G58" s="426"/>
      <c r="H58" s="426"/>
      <c r="I58" s="426"/>
      <c r="J58" s="426"/>
      <c r="K58" s="426"/>
      <c r="L58" s="426"/>
      <c r="M58" s="436"/>
      <c r="N58" s="143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144"/>
      <c r="D59" s="144"/>
      <c r="E59" s="144"/>
      <c r="F59" s="426"/>
      <c r="G59" s="426"/>
      <c r="H59" s="426"/>
      <c r="I59" s="426"/>
      <c r="J59" s="426"/>
      <c r="K59" s="426"/>
      <c r="L59" s="426"/>
      <c r="M59" s="436"/>
      <c r="N59" s="143"/>
      <c r="O59" s="124"/>
      <c r="P59" s="435"/>
      <c r="Q59" s="435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  <c r="AF59" s="93">
        <f>8*3000</f>
        <v>24000</v>
      </c>
    </row>
    <row r="60" spans="1:32" ht="27" customHeight="1" thickBot="1">
      <c r="A60" s="437"/>
      <c r="B60" s="438"/>
      <c r="C60" s="146"/>
      <c r="D60" s="146"/>
      <c r="E60" s="146"/>
      <c r="F60" s="439"/>
      <c r="G60" s="439"/>
      <c r="H60" s="439"/>
      <c r="I60" s="439"/>
      <c r="J60" s="439"/>
      <c r="K60" s="439"/>
      <c r="L60" s="439"/>
      <c r="M60" s="440"/>
      <c r="N60" s="145"/>
      <c r="O60" s="120"/>
      <c r="P60" s="438"/>
      <c r="Q60" s="438"/>
      <c r="R60" s="438"/>
      <c r="S60" s="438"/>
      <c r="T60" s="438"/>
      <c r="U60" s="438"/>
      <c r="V60" s="441"/>
      <c r="W60" s="441"/>
      <c r="X60" s="441"/>
      <c r="Y60" s="441"/>
      <c r="Z60" s="441"/>
      <c r="AA60" s="441"/>
      <c r="AB60" s="441"/>
      <c r="AC60" s="441"/>
      <c r="AD60" s="442"/>
      <c r="AF60" s="93">
        <f>16*3000</f>
        <v>48000</v>
      </c>
    </row>
    <row r="61" spans="1:32" ht="27.75" thickBot="1">
      <c r="A61" s="432" t="s">
        <v>226</v>
      </c>
      <c r="B61" s="432"/>
      <c r="C61" s="432"/>
      <c r="D61" s="432"/>
      <c r="E61" s="43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3" t="s">
        <v>113</v>
      </c>
      <c r="B62" s="430"/>
      <c r="C62" s="142" t="s">
        <v>2</v>
      </c>
      <c r="D62" s="142" t="s">
        <v>37</v>
      </c>
      <c r="E62" s="142" t="s">
        <v>3</v>
      </c>
      <c r="F62" s="430" t="s">
        <v>110</v>
      </c>
      <c r="G62" s="430"/>
      <c r="H62" s="430"/>
      <c r="I62" s="430"/>
      <c r="J62" s="430"/>
      <c r="K62" s="430" t="s">
        <v>39</v>
      </c>
      <c r="L62" s="430"/>
      <c r="M62" s="142" t="s">
        <v>40</v>
      </c>
      <c r="N62" s="430" t="s">
        <v>41</v>
      </c>
      <c r="O62" s="430"/>
      <c r="P62" s="427" t="s">
        <v>42</v>
      </c>
      <c r="Q62" s="429"/>
      <c r="R62" s="427" t="s">
        <v>43</v>
      </c>
      <c r="S62" s="428"/>
      <c r="T62" s="428"/>
      <c r="U62" s="428"/>
      <c r="V62" s="428"/>
      <c r="W62" s="428"/>
      <c r="X62" s="428"/>
      <c r="Y62" s="428"/>
      <c r="Z62" s="428"/>
      <c r="AA62" s="429"/>
      <c r="AB62" s="430" t="s">
        <v>44</v>
      </c>
      <c r="AC62" s="430"/>
      <c r="AD62" s="431"/>
      <c r="AF62" s="93">
        <f>SUM(AF59:AF61)</f>
        <v>96000</v>
      </c>
    </row>
    <row r="63" spans="1:32" ht="25.5" customHeight="1">
      <c r="A63" s="422">
        <v>1</v>
      </c>
      <c r="B63" s="423"/>
      <c r="C63" s="123" t="s">
        <v>123</v>
      </c>
      <c r="D63" s="138"/>
      <c r="E63" s="141" t="s">
        <v>227</v>
      </c>
      <c r="F63" s="424" t="s">
        <v>228</v>
      </c>
      <c r="G63" s="416"/>
      <c r="H63" s="416"/>
      <c r="I63" s="416"/>
      <c r="J63" s="416"/>
      <c r="K63" s="416" t="s">
        <v>229</v>
      </c>
      <c r="L63" s="416"/>
      <c r="M63" s="54" t="s">
        <v>230</v>
      </c>
      <c r="N63" s="416">
        <v>11</v>
      </c>
      <c r="O63" s="416"/>
      <c r="P63" s="425">
        <v>200</v>
      </c>
      <c r="Q63" s="425"/>
      <c r="R63" s="426"/>
      <c r="S63" s="426"/>
      <c r="T63" s="426"/>
      <c r="U63" s="426"/>
      <c r="V63" s="426"/>
      <c r="W63" s="426"/>
      <c r="X63" s="426"/>
      <c r="Y63" s="426"/>
      <c r="Z63" s="426"/>
      <c r="AA63" s="426"/>
      <c r="AB63" s="416"/>
      <c r="AC63" s="416"/>
      <c r="AD63" s="417"/>
      <c r="AF63" s="53"/>
    </row>
    <row r="64" spans="1:32" ht="25.5" customHeight="1">
      <c r="A64" s="422">
        <v>2</v>
      </c>
      <c r="B64" s="423"/>
      <c r="C64" s="123" t="s">
        <v>114</v>
      </c>
      <c r="D64" s="138"/>
      <c r="E64" s="141" t="s">
        <v>231</v>
      </c>
      <c r="F64" s="424" t="s">
        <v>232</v>
      </c>
      <c r="G64" s="416"/>
      <c r="H64" s="416"/>
      <c r="I64" s="416"/>
      <c r="J64" s="416"/>
      <c r="K64" s="416" t="s">
        <v>233</v>
      </c>
      <c r="L64" s="416"/>
      <c r="M64" s="54" t="s">
        <v>234</v>
      </c>
      <c r="N64" s="416">
        <v>8</v>
      </c>
      <c r="O64" s="416"/>
      <c r="P64" s="425">
        <v>50</v>
      </c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3</v>
      </c>
      <c r="B65" s="423"/>
      <c r="C65" s="123" t="s">
        <v>114</v>
      </c>
      <c r="D65" s="138"/>
      <c r="E65" s="141" t="s">
        <v>231</v>
      </c>
      <c r="F65" s="424" t="s">
        <v>235</v>
      </c>
      <c r="G65" s="416"/>
      <c r="H65" s="416"/>
      <c r="I65" s="416"/>
      <c r="J65" s="416"/>
      <c r="K65" s="416" t="s">
        <v>233</v>
      </c>
      <c r="L65" s="416"/>
      <c r="M65" s="54" t="s">
        <v>234</v>
      </c>
      <c r="N65" s="416">
        <v>8</v>
      </c>
      <c r="O65" s="416"/>
      <c r="P65" s="425">
        <v>50</v>
      </c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4</v>
      </c>
      <c r="B66" s="423"/>
      <c r="C66" s="123"/>
      <c r="D66" s="138"/>
      <c r="E66" s="141"/>
      <c r="F66" s="424"/>
      <c r="G66" s="416"/>
      <c r="H66" s="416"/>
      <c r="I66" s="416"/>
      <c r="J66" s="416"/>
      <c r="K66" s="416"/>
      <c r="L66" s="416"/>
      <c r="M66" s="54"/>
      <c r="N66" s="416"/>
      <c r="O66" s="416"/>
      <c r="P66" s="425"/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5</v>
      </c>
      <c r="B67" s="423"/>
      <c r="C67" s="123"/>
      <c r="D67" s="138"/>
      <c r="E67" s="141"/>
      <c r="F67" s="424"/>
      <c r="G67" s="416"/>
      <c r="H67" s="416"/>
      <c r="I67" s="416"/>
      <c r="J67" s="416"/>
      <c r="K67" s="416"/>
      <c r="L67" s="416"/>
      <c r="M67" s="54"/>
      <c r="N67" s="416"/>
      <c r="O67" s="416"/>
      <c r="P67" s="425"/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6</v>
      </c>
      <c r="B68" s="423"/>
      <c r="C68" s="123"/>
      <c r="D68" s="138"/>
      <c r="E68" s="141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7</v>
      </c>
      <c r="B69" s="423"/>
      <c r="C69" s="123"/>
      <c r="D69" s="138"/>
      <c r="E69" s="141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8</v>
      </c>
      <c r="B70" s="423"/>
      <c r="C70" s="123"/>
      <c r="D70" s="138"/>
      <c r="E70" s="141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6.25" customHeight="1" thickBot="1">
      <c r="A71" s="396" t="s">
        <v>236</v>
      </c>
      <c r="B71" s="396"/>
      <c r="C71" s="396"/>
      <c r="D71" s="396"/>
      <c r="E71" s="396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7" t="s">
        <v>113</v>
      </c>
      <c r="B72" s="398"/>
      <c r="C72" s="140" t="s">
        <v>2</v>
      </c>
      <c r="D72" s="140" t="s">
        <v>37</v>
      </c>
      <c r="E72" s="140" t="s">
        <v>3</v>
      </c>
      <c r="F72" s="398" t="s">
        <v>38</v>
      </c>
      <c r="G72" s="398"/>
      <c r="H72" s="398"/>
      <c r="I72" s="398"/>
      <c r="J72" s="398"/>
      <c r="K72" s="418" t="s">
        <v>58</v>
      </c>
      <c r="L72" s="419"/>
      <c r="M72" s="419"/>
      <c r="N72" s="419"/>
      <c r="O72" s="419"/>
      <c r="P72" s="419"/>
      <c r="Q72" s="419"/>
      <c r="R72" s="419"/>
      <c r="S72" s="420"/>
      <c r="T72" s="398" t="s">
        <v>49</v>
      </c>
      <c r="U72" s="398"/>
      <c r="V72" s="418" t="s">
        <v>50</v>
      </c>
      <c r="W72" s="420"/>
      <c r="X72" s="419" t="s">
        <v>51</v>
      </c>
      <c r="Y72" s="419"/>
      <c r="Z72" s="419"/>
      <c r="AA72" s="419"/>
      <c r="AB72" s="419"/>
      <c r="AC72" s="419"/>
      <c r="AD72" s="421"/>
      <c r="AF72" s="53"/>
    </row>
    <row r="73" spans="1:32" ht="33.75" customHeight="1">
      <c r="A73" s="390">
        <v>1</v>
      </c>
      <c r="B73" s="391"/>
      <c r="C73" s="139" t="s">
        <v>114</v>
      </c>
      <c r="D73" s="139"/>
      <c r="E73" s="71" t="s">
        <v>127</v>
      </c>
      <c r="F73" s="405" t="s">
        <v>126</v>
      </c>
      <c r="G73" s="406"/>
      <c r="H73" s="406"/>
      <c r="I73" s="406"/>
      <c r="J73" s="407"/>
      <c r="K73" s="408" t="s">
        <v>128</v>
      </c>
      <c r="L73" s="409"/>
      <c r="M73" s="409"/>
      <c r="N73" s="409"/>
      <c r="O73" s="409"/>
      <c r="P73" s="409"/>
      <c r="Q73" s="409"/>
      <c r="R73" s="409"/>
      <c r="S73" s="410"/>
      <c r="T73" s="411">
        <v>43384</v>
      </c>
      <c r="U73" s="412"/>
      <c r="V73" s="413"/>
      <c r="W73" s="413"/>
      <c r="X73" s="414"/>
      <c r="Y73" s="414"/>
      <c r="Z73" s="414"/>
      <c r="AA73" s="414"/>
      <c r="AB73" s="414"/>
      <c r="AC73" s="414"/>
      <c r="AD73" s="415"/>
      <c r="AF73" s="53"/>
    </row>
    <row r="74" spans="1:32" ht="30" customHeight="1">
      <c r="A74" s="383">
        <f>A73+1</f>
        <v>2</v>
      </c>
      <c r="B74" s="384"/>
      <c r="C74" s="138"/>
      <c r="D74" s="138"/>
      <c r="E74" s="35"/>
      <c r="F74" s="384"/>
      <c r="G74" s="384"/>
      <c r="H74" s="384"/>
      <c r="I74" s="384"/>
      <c r="J74" s="384"/>
      <c r="K74" s="399"/>
      <c r="L74" s="400"/>
      <c r="M74" s="400"/>
      <c r="N74" s="400"/>
      <c r="O74" s="400"/>
      <c r="P74" s="400"/>
      <c r="Q74" s="400"/>
      <c r="R74" s="400"/>
      <c r="S74" s="401"/>
      <c r="T74" s="402"/>
      <c r="U74" s="402"/>
      <c r="V74" s="402"/>
      <c r="W74" s="402"/>
      <c r="X74" s="403"/>
      <c r="Y74" s="403"/>
      <c r="Z74" s="403"/>
      <c r="AA74" s="403"/>
      <c r="AB74" s="403"/>
      <c r="AC74" s="403"/>
      <c r="AD74" s="404"/>
      <c r="AF74" s="53"/>
    </row>
    <row r="75" spans="1:32" ht="30" customHeight="1">
      <c r="A75" s="383">
        <f t="shared" ref="A75:A81" si="11">A74+1</f>
        <v>3</v>
      </c>
      <c r="B75" s="384"/>
      <c r="C75" s="138"/>
      <c r="D75" s="138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si="11"/>
        <v>4</v>
      </c>
      <c r="B76" s="384"/>
      <c r="C76" s="138"/>
      <c r="D76" s="138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1"/>
        <v>5</v>
      </c>
      <c r="B77" s="384"/>
      <c r="C77" s="138"/>
      <c r="D77" s="138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1"/>
        <v>6</v>
      </c>
      <c r="B78" s="384"/>
      <c r="C78" s="138"/>
      <c r="D78" s="138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1"/>
        <v>7</v>
      </c>
      <c r="B79" s="384"/>
      <c r="C79" s="138"/>
      <c r="D79" s="138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1"/>
        <v>8</v>
      </c>
      <c r="B80" s="384"/>
      <c r="C80" s="138"/>
      <c r="D80" s="138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1"/>
        <v>9</v>
      </c>
      <c r="B81" s="384"/>
      <c r="C81" s="138"/>
      <c r="D81" s="138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6" thickBot="1">
      <c r="A82" s="396" t="s">
        <v>237</v>
      </c>
      <c r="B82" s="396"/>
      <c r="C82" s="396"/>
      <c r="D82" s="396"/>
      <c r="E82" s="396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7" t="s">
        <v>113</v>
      </c>
      <c r="B83" s="398"/>
      <c r="C83" s="388" t="s">
        <v>52</v>
      </c>
      <c r="D83" s="388"/>
      <c r="E83" s="388" t="s">
        <v>53</v>
      </c>
      <c r="F83" s="388"/>
      <c r="G83" s="388"/>
      <c r="H83" s="388"/>
      <c r="I83" s="388"/>
      <c r="J83" s="388"/>
      <c r="K83" s="388" t="s">
        <v>54</v>
      </c>
      <c r="L83" s="388"/>
      <c r="M83" s="388"/>
      <c r="N83" s="388"/>
      <c r="O83" s="388"/>
      <c r="P83" s="388"/>
      <c r="Q83" s="388"/>
      <c r="R83" s="388"/>
      <c r="S83" s="388"/>
      <c r="T83" s="388" t="s">
        <v>55</v>
      </c>
      <c r="U83" s="388"/>
      <c r="V83" s="388" t="s">
        <v>56</v>
      </c>
      <c r="W83" s="388"/>
      <c r="X83" s="388"/>
      <c r="Y83" s="388" t="s">
        <v>51</v>
      </c>
      <c r="Z83" s="388"/>
      <c r="AA83" s="388"/>
      <c r="AB83" s="388"/>
      <c r="AC83" s="388"/>
      <c r="AD83" s="389"/>
      <c r="AF83" s="53"/>
    </row>
    <row r="84" spans="1:32" ht="30.75" customHeight="1">
      <c r="A84" s="390">
        <v>1</v>
      </c>
      <c r="B84" s="391"/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3"/>
      <c r="W84" s="393"/>
      <c r="X84" s="393"/>
      <c r="Y84" s="394"/>
      <c r="Z84" s="394"/>
      <c r="AA84" s="394"/>
      <c r="AB84" s="394"/>
      <c r="AC84" s="394"/>
      <c r="AD84" s="395"/>
      <c r="AF84" s="53"/>
    </row>
    <row r="85" spans="1:32" ht="30.75" customHeight="1">
      <c r="A85" s="383">
        <v>2</v>
      </c>
      <c r="B85" s="384"/>
      <c r="C85" s="385"/>
      <c r="D85" s="385"/>
      <c r="E85" s="385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6"/>
      <c r="U85" s="386"/>
      <c r="V85" s="387"/>
      <c r="W85" s="387"/>
      <c r="X85" s="387"/>
      <c r="Y85" s="376"/>
      <c r="Z85" s="376"/>
      <c r="AA85" s="376"/>
      <c r="AB85" s="376"/>
      <c r="AC85" s="376"/>
      <c r="AD85" s="377"/>
      <c r="AF85" s="53"/>
    </row>
    <row r="86" spans="1:32" ht="30.75" customHeight="1" thickBot="1">
      <c r="A86" s="378">
        <v>3</v>
      </c>
      <c r="B86" s="379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  <c r="X86" s="380"/>
      <c r="Y86" s="381"/>
      <c r="Z86" s="381"/>
      <c r="AA86" s="381"/>
      <c r="AB86" s="381"/>
      <c r="AC86" s="381"/>
      <c r="AD86" s="382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C5FC-85D4-4AF0-B00B-556B28AD9F99}">
  <sheetPr>
    <pageSetUpPr fitToPage="1"/>
  </sheetPr>
  <dimension ref="A1:AF87"/>
  <sheetViews>
    <sheetView zoomScale="72" zoomScaleNormal="72" zoomScaleSheetLayoutView="70" workbookViewId="0">
      <selection activeCell="AD23" sqref="AD2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238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160" t="s">
        <v>17</v>
      </c>
      <c r="L5" s="160" t="s">
        <v>18</v>
      </c>
      <c r="M5" s="160" t="s">
        <v>19</v>
      </c>
      <c r="N5" s="16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0.54166666666666663</v>
      </c>
      <c r="AF6" s="93">
        <f t="shared" ref="AF6:AF21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0.54166666666666663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123</v>
      </c>
      <c r="D8" s="55" t="s">
        <v>125</v>
      </c>
      <c r="E8" s="57" t="s">
        <v>146</v>
      </c>
      <c r="F8" s="33" t="s">
        <v>121</v>
      </c>
      <c r="G8" s="36">
        <v>4</v>
      </c>
      <c r="H8" s="38">
        <v>25</v>
      </c>
      <c r="I8" s="7">
        <v>400000</v>
      </c>
      <c r="J8" s="5">
        <v>13412</v>
      </c>
      <c r="K8" s="15">
        <f>L8+16608+16844+19920+20748+18068+11976</f>
        <v>117576</v>
      </c>
      <c r="L8" s="15">
        <f>1127*4+2226*4</f>
        <v>13412</v>
      </c>
      <c r="M8" s="16">
        <f t="shared" si="0"/>
        <v>13412</v>
      </c>
      <c r="N8" s="16">
        <v>0</v>
      </c>
      <c r="O8" s="62">
        <f t="shared" si="1"/>
        <v>0</v>
      </c>
      <c r="P8" s="42">
        <f t="shared" si="2"/>
        <v>19</v>
      </c>
      <c r="Q8" s="43">
        <f t="shared" si="3"/>
        <v>5</v>
      </c>
      <c r="R8" s="7">
        <v>1</v>
      </c>
      <c r="S8" s="6">
        <v>4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0.79166666666666663</v>
      </c>
      <c r="AD8" s="10">
        <f t="shared" si="6"/>
        <v>0.79166666666666663</v>
      </c>
      <c r="AE8" s="39">
        <f t="shared" si="7"/>
        <v>0.54166666666666663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123</v>
      </c>
      <c r="D9" s="55" t="s">
        <v>239</v>
      </c>
      <c r="E9" s="57" t="s">
        <v>221</v>
      </c>
      <c r="F9" s="33" t="s">
        <v>129</v>
      </c>
      <c r="G9" s="36" t="s">
        <v>240</v>
      </c>
      <c r="H9" s="38">
        <v>24</v>
      </c>
      <c r="I9" s="7">
        <v>3000</v>
      </c>
      <c r="J9" s="14">
        <v>3204</v>
      </c>
      <c r="K9" s="15">
        <f>L9</f>
        <v>3204</v>
      </c>
      <c r="L9" s="15">
        <f>942+2262</f>
        <v>3204</v>
      </c>
      <c r="M9" s="16">
        <f t="shared" si="0"/>
        <v>3204</v>
      </c>
      <c r="N9" s="16">
        <v>0</v>
      </c>
      <c r="O9" s="62">
        <f t="shared" si="1"/>
        <v>0</v>
      </c>
      <c r="P9" s="42">
        <f t="shared" si="2"/>
        <v>19</v>
      </c>
      <c r="Q9" s="43">
        <f t="shared" si="3"/>
        <v>5</v>
      </c>
      <c r="R9" s="7"/>
      <c r="S9" s="6"/>
      <c r="T9" s="17"/>
      <c r="U9" s="17"/>
      <c r="V9" s="18"/>
      <c r="W9" s="19">
        <v>5</v>
      </c>
      <c r="X9" s="17"/>
      <c r="Y9" s="20"/>
      <c r="Z9" s="20"/>
      <c r="AA9" s="21"/>
      <c r="AB9" s="8">
        <f t="shared" si="4"/>
        <v>1</v>
      </c>
      <c r="AC9" s="9">
        <f t="shared" si="5"/>
        <v>0.79166666666666663</v>
      </c>
      <c r="AD9" s="10">
        <f t="shared" si="6"/>
        <v>0.79166666666666663</v>
      </c>
      <c r="AE9" s="39">
        <f t="shared" si="7"/>
        <v>0.54166666666666663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123</v>
      </c>
      <c r="D10" s="55" t="s">
        <v>119</v>
      </c>
      <c r="E10" s="57" t="s">
        <v>147</v>
      </c>
      <c r="F10" s="12" t="s">
        <v>121</v>
      </c>
      <c r="G10" s="12">
        <v>4</v>
      </c>
      <c r="H10" s="13">
        <v>25</v>
      </c>
      <c r="I10" s="7">
        <v>400000</v>
      </c>
      <c r="J10" s="14">
        <v>24536</v>
      </c>
      <c r="K10" s="15">
        <f>L10+23776+26072+26756+24764+18432+17192+18752</f>
        <v>180280</v>
      </c>
      <c r="L10" s="15">
        <f>3430*4+2704*4</f>
        <v>24536</v>
      </c>
      <c r="M10" s="16">
        <f t="shared" si="0"/>
        <v>24536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0.54166666666666663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123</v>
      </c>
      <c r="D11" s="55" t="s">
        <v>120</v>
      </c>
      <c r="E11" s="57" t="s">
        <v>150</v>
      </c>
      <c r="F11" s="12" t="s">
        <v>151</v>
      </c>
      <c r="G11" s="12">
        <v>1</v>
      </c>
      <c r="H11" s="13">
        <v>25</v>
      </c>
      <c r="I11" s="7">
        <v>35000</v>
      </c>
      <c r="J11" s="14">
        <v>1202</v>
      </c>
      <c r="K11" s="15">
        <f>L11+3530+5736+6036+5863+4843+3771+4692+5992+1202</f>
        <v>41665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0.54166666666666663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114</v>
      </c>
      <c r="D12" s="55" t="s">
        <v>134</v>
      </c>
      <c r="E12" s="57" t="s">
        <v>152</v>
      </c>
      <c r="F12" s="33" t="s">
        <v>121</v>
      </c>
      <c r="G12" s="36">
        <v>1</v>
      </c>
      <c r="H12" s="38">
        <v>24</v>
      </c>
      <c r="I12" s="7">
        <v>16000</v>
      </c>
      <c r="J12" s="14">
        <v>1654</v>
      </c>
      <c r="K12" s="15">
        <f>L12+1505+4882+4632+2676+5460</f>
        <v>20809</v>
      </c>
      <c r="L12" s="15">
        <v>1654</v>
      </c>
      <c r="M12" s="16">
        <f t="shared" si="0"/>
        <v>1654</v>
      </c>
      <c r="N12" s="16">
        <v>0</v>
      </c>
      <c r="O12" s="62">
        <f t="shared" si="1"/>
        <v>0</v>
      </c>
      <c r="P12" s="42">
        <f t="shared" si="2"/>
        <v>7</v>
      </c>
      <c r="Q12" s="43">
        <f t="shared" si="3"/>
        <v>17</v>
      </c>
      <c r="R12" s="7"/>
      <c r="S12" s="6"/>
      <c r="T12" s="17"/>
      <c r="U12" s="17"/>
      <c r="V12" s="18"/>
      <c r="W12" s="19">
        <v>17</v>
      </c>
      <c r="X12" s="17"/>
      <c r="Y12" s="20"/>
      <c r="Z12" s="20"/>
      <c r="AA12" s="21"/>
      <c r="AB12" s="8">
        <f t="shared" si="4"/>
        <v>1</v>
      </c>
      <c r="AC12" s="9">
        <f t="shared" si="5"/>
        <v>0.29166666666666669</v>
      </c>
      <c r="AD12" s="10">
        <f t="shared" si="6"/>
        <v>0.29166666666666669</v>
      </c>
      <c r="AE12" s="39">
        <f t="shared" si="7"/>
        <v>0.54166666666666663</v>
      </c>
      <c r="AF12" s="93">
        <f t="shared" si="8"/>
        <v>7</v>
      </c>
    </row>
    <row r="13" spans="1:32" ht="27" customHeight="1">
      <c r="A13" s="109">
        <v>7</v>
      </c>
      <c r="B13" s="11" t="s">
        <v>57</v>
      </c>
      <c r="C13" s="11" t="s">
        <v>114</v>
      </c>
      <c r="D13" s="55" t="s">
        <v>134</v>
      </c>
      <c r="E13" s="57" t="s">
        <v>241</v>
      </c>
      <c r="F13" s="33" t="s">
        <v>242</v>
      </c>
      <c r="G13" s="36">
        <v>1</v>
      </c>
      <c r="H13" s="38">
        <v>24</v>
      </c>
      <c r="I13" s="7">
        <v>500</v>
      </c>
      <c r="J13" s="14">
        <v>794</v>
      </c>
      <c r="K13" s="15">
        <f>L13</f>
        <v>794</v>
      </c>
      <c r="L13" s="15">
        <v>794</v>
      </c>
      <c r="M13" s="16">
        <f t="shared" ref="M13" si="9">L13-N13</f>
        <v>794</v>
      </c>
      <c r="N13" s="16">
        <v>0</v>
      </c>
      <c r="O13" s="62">
        <f t="shared" ref="O13" si="10">IF(L13=0,"0",N13/L13)</f>
        <v>0</v>
      </c>
      <c r="P13" s="42">
        <f t="shared" ref="P13" si="11">IF(L13=0,"0",(24-Q13))</f>
        <v>5</v>
      </c>
      <c r="Q13" s="43">
        <f t="shared" ref="Q13" si="12">SUM(R13:AA13)</f>
        <v>19</v>
      </c>
      <c r="R13" s="7"/>
      <c r="S13" s="6"/>
      <c r="T13" s="17"/>
      <c r="U13" s="17"/>
      <c r="V13" s="18"/>
      <c r="W13" s="19">
        <v>19</v>
      </c>
      <c r="X13" s="17"/>
      <c r="Y13" s="20"/>
      <c r="Z13" s="20"/>
      <c r="AA13" s="21"/>
      <c r="AB13" s="8">
        <f t="shared" ref="AB13" si="13">IF(J13=0,"0",(L13/J13))</f>
        <v>1</v>
      </c>
      <c r="AC13" s="9">
        <f t="shared" ref="AC13" si="14">IF(P13=0,"0",(P13/24))</f>
        <v>0.20833333333333334</v>
      </c>
      <c r="AD13" s="10">
        <f t="shared" ref="AD13" si="15">AC13*AB13*(1-O13)</f>
        <v>0.20833333333333334</v>
      </c>
      <c r="AE13" s="39">
        <f t="shared" si="7"/>
        <v>0.54166666666666663</v>
      </c>
      <c r="AF13" s="93">
        <f t="shared" ref="AF13" si="16">A13</f>
        <v>7</v>
      </c>
    </row>
    <row r="14" spans="1:32" ht="27" customHeight="1">
      <c r="A14" s="109">
        <v>8</v>
      </c>
      <c r="B14" s="11" t="s">
        <v>57</v>
      </c>
      <c r="C14" s="11" t="s">
        <v>123</v>
      </c>
      <c r="D14" s="55" t="s">
        <v>243</v>
      </c>
      <c r="E14" s="57" t="s">
        <v>224</v>
      </c>
      <c r="F14" s="33" t="s">
        <v>129</v>
      </c>
      <c r="G14" s="36" t="s">
        <v>240</v>
      </c>
      <c r="H14" s="38">
        <v>24</v>
      </c>
      <c r="I14" s="7">
        <v>3000</v>
      </c>
      <c r="J14" s="14">
        <v>3121</v>
      </c>
      <c r="K14" s="15">
        <f>L14</f>
        <v>3121</v>
      </c>
      <c r="L14" s="15">
        <f>698+2423</f>
        <v>3121</v>
      </c>
      <c r="M14" s="16">
        <f t="shared" si="0"/>
        <v>3121</v>
      </c>
      <c r="N14" s="16">
        <v>0</v>
      </c>
      <c r="O14" s="62">
        <f t="shared" si="1"/>
        <v>0</v>
      </c>
      <c r="P14" s="42">
        <f t="shared" si="2"/>
        <v>19</v>
      </c>
      <c r="Q14" s="43">
        <f t="shared" si="3"/>
        <v>5</v>
      </c>
      <c r="R14" s="7"/>
      <c r="S14" s="6"/>
      <c r="T14" s="17"/>
      <c r="U14" s="17"/>
      <c r="V14" s="18"/>
      <c r="W14" s="19">
        <v>5</v>
      </c>
      <c r="X14" s="17"/>
      <c r="Y14" s="20"/>
      <c r="Z14" s="20"/>
      <c r="AA14" s="21"/>
      <c r="AB14" s="8">
        <f t="shared" si="4"/>
        <v>1</v>
      </c>
      <c r="AC14" s="9">
        <f t="shared" si="5"/>
        <v>0.79166666666666663</v>
      </c>
      <c r="AD14" s="10">
        <f t="shared" si="6"/>
        <v>0.79166666666666663</v>
      </c>
      <c r="AE14" s="39">
        <f t="shared" si="7"/>
        <v>0.54166666666666663</v>
      </c>
      <c r="AF14" s="93">
        <f t="shared" si="8"/>
        <v>8</v>
      </c>
    </row>
    <row r="15" spans="1:32" ht="27" customHeight="1">
      <c r="A15" s="125">
        <v>9</v>
      </c>
      <c r="B15" s="11" t="s">
        <v>57</v>
      </c>
      <c r="C15" s="37" t="s">
        <v>114</v>
      </c>
      <c r="D15" s="55" t="s">
        <v>117</v>
      </c>
      <c r="E15" s="57" t="s">
        <v>159</v>
      </c>
      <c r="F15" s="33" t="s">
        <v>160</v>
      </c>
      <c r="G15" s="36">
        <v>1</v>
      </c>
      <c r="H15" s="38">
        <v>25</v>
      </c>
      <c r="I15" s="7">
        <v>500</v>
      </c>
      <c r="J15" s="5">
        <v>613</v>
      </c>
      <c r="K15" s="15">
        <f>L15+613</f>
        <v>613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0.54166666666666663</v>
      </c>
      <c r="AF15" s="93">
        <f t="shared" si="8"/>
        <v>9</v>
      </c>
    </row>
    <row r="16" spans="1:32" ht="27" customHeight="1">
      <c r="A16" s="108">
        <v>10</v>
      </c>
      <c r="B16" s="11" t="s">
        <v>57</v>
      </c>
      <c r="C16" s="37" t="s">
        <v>192</v>
      </c>
      <c r="D16" s="55" t="s">
        <v>194</v>
      </c>
      <c r="E16" s="57" t="s">
        <v>191</v>
      </c>
      <c r="F16" s="12" t="s">
        <v>201</v>
      </c>
      <c r="G16" s="12">
        <v>4</v>
      </c>
      <c r="H16" s="13">
        <v>24</v>
      </c>
      <c r="I16" s="34">
        <v>30000</v>
      </c>
      <c r="J16" s="14">
        <v>24288</v>
      </c>
      <c r="K16" s="15">
        <f>L16+15852</f>
        <v>40140</v>
      </c>
      <c r="L16" s="15">
        <f>2279*4+3793*4</f>
        <v>24288</v>
      </c>
      <c r="M16" s="16">
        <f t="shared" si="0"/>
        <v>24288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1</v>
      </c>
      <c r="AD16" s="10">
        <f t="shared" si="6"/>
        <v>1</v>
      </c>
      <c r="AE16" s="39">
        <f t="shared" si="7"/>
        <v>0.54166666666666663</v>
      </c>
      <c r="AF16" s="93">
        <f t="shared" si="8"/>
        <v>10</v>
      </c>
    </row>
    <row r="17" spans="1:32" ht="27" customHeight="1">
      <c r="A17" s="108">
        <v>11</v>
      </c>
      <c r="B17" s="11" t="s">
        <v>57</v>
      </c>
      <c r="C17" s="11" t="s">
        <v>123</v>
      </c>
      <c r="D17" s="55" t="s">
        <v>142</v>
      </c>
      <c r="E17" s="57" t="s">
        <v>141</v>
      </c>
      <c r="F17" s="12" t="s">
        <v>143</v>
      </c>
      <c r="G17" s="12">
        <v>4</v>
      </c>
      <c r="H17" s="13">
        <v>25</v>
      </c>
      <c r="I17" s="7">
        <v>62000</v>
      </c>
      <c r="J17" s="14">
        <v>6138</v>
      </c>
      <c r="K17" s="15">
        <f>L17</f>
        <v>6138</v>
      </c>
      <c r="L17" s="15">
        <f>346*2+2723*2</f>
        <v>6138</v>
      </c>
      <c r="M17" s="16">
        <f t="shared" ref="M17" si="17">L17-N17</f>
        <v>6138</v>
      </c>
      <c r="N17" s="16">
        <v>0</v>
      </c>
      <c r="O17" s="62">
        <f t="shared" ref="O17" si="18">IF(L17=0,"0",N17/L17)</f>
        <v>0</v>
      </c>
      <c r="P17" s="42">
        <f t="shared" ref="P17" si="19">IF(L17=0,"0",(24-Q17))</f>
        <v>10</v>
      </c>
      <c r="Q17" s="43">
        <f t="shared" ref="Q17" si="20">SUM(R17:AA17)</f>
        <v>14</v>
      </c>
      <c r="R17" s="7"/>
      <c r="S17" s="6">
        <v>14</v>
      </c>
      <c r="T17" s="17"/>
      <c r="U17" s="17"/>
      <c r="V17" s="18"/>
      <c r="W17" s="19"/>
      <c r="X17" s="17"/>
      <c r="Y17" s="20"/>
      <c r="Z17" s="20"/>
      <c r="AA17" s="21"/>
      <c r="AB17" s="8">
        <f t="shared" ref="AB17" si="21">IF(J17=0,"0",(L17/J17))</f>
        <v>1</v>
      </c>
      <c r="AC17" s="9">
        <f t="shared" ref="AC17" si="22">IF(P17=0,"0",(P17/24))</f>
        <v>0.41666666666666669</v>
      </c>
      <c r="AD17" s="10">
        <f t="shared" ref="AD17" si="23">AC17*AB17*(1-O17)</f>
        <v>0.41666666666666669</v>
      </c>
      <c r="AE17" s="39">
        <f t="shared" si="7"/>
        <v>0.54166666666666663</v>
      </c>
      <c r="AF17" s="93">
        <f t="shared" ref="AF17" si="24">A17</f>
        <v>11</v>
      </c>
    </row>
    <row r="18" spans="1:32" ht="27" customHeight="1">
      <c r="A18" s="108">
        <v>12</v>
      </c>
      <c r="B18" s="11" t="s">
        <v>57</v>
      </c>
      <c r="C18" s="37" t="s">
        <v>123</v>
      </c>
      <c r="D18" s="55" t="s">
        <v>124</v>
      </c>
      <c r="E18" s="57" t="s">
        <v>148</v>
      </c>
      <c r="F18" s="12" t="s">
        <v>131</v>
      </c>
      <c r="G18" s="12">
        <v>4</v>
      </c>
      <c r="H18" s="13">
        <v>24</v>
      </c>
      <c r="I18" s="34">
        <v>400000</v>
      </c>
      <c r="J18" s="14">
        <v>18160</v>
      </c>
      <c r="K18" s="15">
        <f>L18+19964+21928+25296+24300+24768+24688+11104</f>
        <v>170208</v>
      </c>
      <c r="L18" s="15">
        <f>889*4+3651*4</f>
        <v>18160</v>
      </c>
      <c r="M18" s="16">
        <f t="shared" si="0"/>
        <v>18160</v>
      </c>
      <c r="N18" s="16">
        <v>0</v>
      </c>
      <c r="O18" s="62">
        <f t="shared" si="1"/>
        <v>0</v>
      </c>
      <c r="P18" s="42">
        <f t="shared" si="2"/>
        <v>20</v>
      </c>
      <c r="Q18" s="43">
        <f t="shared" si="3"/>
        <v>4</v>
      </c>
      <c r="R18" s="7"/>
      <c r="S18" s="6">
        <v>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9">
        <f t="shared" si="7"/>
        <v>0.54166666666666663</v>
      </c>
      <c r="AF18" s="93">
        <f t="shared" si="8"/>
        <v>12</v>
      </c>
    </row>
    <row r="19" spans="1:32" ht="27" customHeight="1">
      <c r="A19" s="109">
        <v>13</v>
      </c>
      <c r="B19" s="11" t="s">
        <v>57</v>
      </c>
      <c r="C19" s="37" t="s">
        <v>123</v>
      </c>
      <c r="D19" s="55" t="s">
        <v>117</v>
      </c>
      <c r="E19" s="57" t="s">
        <v>153</v>
      </c>
      <c r="F19" s="12" t="s">
        <v>129</v>
      </c>
      <c r="G19" s="36">
        <v>4</v>
      </c>
      <c r="H19" s="38">
        <v>24</v>
      </c>
      <c r="I19" s="7">
        <v>400000</v>
      </c>
      <c r="J19" s="5">
        <v>20888</v>
      </c>
      <c r="K19" s="15">
        <f>L19+12380+14384+22568+16460+13888+20848+20972</f>
        <v>142388</v>
      </c>
      <c r="L19" s="15">
        <f>2965*4+2257*4</f>
        <v>20888</v>
      </c>
      <c r="M19" s="16">
        <f t="shared" si="0"/>
        <v>20888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0.54166666666666663</v>
      </c>
      <c r="AF19" s="93">
        <f t="shared" si="8"/>
        <v>13</v>
      </c>
    </row>
    <row r="20" spans="1:32" ht="27" customHeight="1">
      <c r="A20" s="109">
        <v>14</v>
      </c>
      <c r="B20" s="11" t="s">
        <v>57</v>
      </c>
      <c r="C20" s="11" t="s">
        <v>118</v>
      </c>
      <c r="D20" s="55" t="s">
        <v>202</v>
      </c>
      <c r="E20" s="57" t="s">
        <v>203</v>
      </c>
      <c r="F20" s="12" t="s">
        <v>121</v>
      </c>
      <c r="G20" s="36">
        <v>1</v>
      </c>
      <c r="H20" s="13">
        <v>24</v>
      </c>
      <c r="I20" s="7">
        <v>7000</v>
      </c>
      <c r="J20" s="14">
        <v>7000</v>
      </c>
      <c r="K20" s="15">
        <f>L20+2387</f>
        <v>9387</v>
      </c>
      <c r="L20" s="15">
        <f>2359+4641</f>
        <v>7000</v>
      </c>
      <c r="M20" s="16">
        <f t="shared" si="0"/>
        <v>7000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0.54166666666666663</v>
      </c>
      <c r="AF20" s="93">
        <f t="shared" si="8"/>
        <v>14</v>
      </c>
    </row>
    <row r="21" spans="1:32" ht="27" customHeight="1" thickBot="1">
      <c r="A21" s="109">
        <v>15</v>
      </c>
      <c r="B21" s="11" t="s">
        <v>57</v>
      </c>
      <c r="C21" s="11" t="s">
        <v>115</v>
      </c>
      <c r="D21" s="55"/>
      <c r="E21" s="56" t="s">
        <v>133</v>
      </c>
      <c r="F21" s="12" t="s">
        <v>116</v>
      </c>
      <c r="G21" s="12">
        <v>4</v>
      </c>
      <c r="H21" s="38">
        <v>20</v>
      </c>
      <c r="I21" s="7">
        <v>300000</v>
      </c>
      <c r="J21" s="14">
        <v>10476</v>
      </c>
      <c r="K21" s="15">
        <f>L21+39648+30712+45256+43600+10476</f>
        <v>169692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>
        <v>24</v>
      </c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0.54166666666666663</v>
      </c>
      <c r="AF21" s="93">
        <f t="shared" si="8"/>
        <v>15</v>
      </c>
    </row>
    <row r="22" spans="1:32" ht="31.5" customHeight="1" thickBot="1">
      <c r="A22" s="450" t="s">
        <v>34</v>
      </c>
      <c r="B22" s="451"/>
      <c r="C22" s="451"/>
      <c r="D22" s="451"/>
      <c r="E22" s="451"/>
      <c r="F22" s="451"/>
      <c r="G22" s="451"/>
      <c r="H22" s="452"/>
      <c r="I22" s="25">
        <f t="shared" ref="I22:N22" si="25">SUM(I6:I21)</f>
        <v>2057000</v>
      </c>
      <c r="J22" s="22">
        <f t="shared" si="25"/>
        <v>135486</v>
      </c>
      <c r="K22" s="23">
        <f t="shared" si="25"/>
        <v>906015</v>
      </c>
      <c r="L22" s="24">
        <f t="shared" si="25"/>
        <v>123195</v>
      </c>
      <c r="M22" s="23">
        <f t="shared" si="25"/>
        <v>123195</v>
      </c>
      <c r="N22" s="24">
        <f t="shared" si="25"/>
        <v>0</v>
      </c>
      <c r="O22" s="44">
        <f t="shared" si="1"/>
        <v>0</v>
      </c>
      <c r="P22" s="45">
        <f t="shared" ref="P22:AA22" si="26">SUM(P6:P21)</f>
        <v>195</v>
      </c>
      <c r="Q22" s="46">
        <f t="shared" si="26"/>
        <v>189</v>
      </c>
      <c r="R22" s="26">
        <f t="shared" si="26"/>
        <v>25</v>
      </c>
      <c r="S22" s="27">
        <f t="shared" si="26"/>
        <v>22</v>
      </c>
      <c r="T22" s="27">
        <f t="shared" si="26"/>
        <v>0</v>
      </c>
      <c r="U22" s="27">
        <f t="shared" si="26"/>
        <v>0</v>
      </c>
      <c r="V22" s="28">
        <f t="shared" si="26"/>
        <v>24</v>
      </c>
      <c r="W22" s="29">
        <f t="shared" si="26"/>
        <v>118</v>
      </c>
      <c r="X22" s="30">
        <f t="shared" si="26"/>
        <v>0</v>
      </c>
      <c r="Y22" s="30">
        <f t="shared" si="26"/>
        <v>0</v>
      </c>
      <c r="Z22" s="30">
        <f t="shared" si="26"/>
        <v>0</v>
      </c>
      <c r="AA22" s="30">
        <f t="shared" si="26"/>
        <v>0</v>
      </c>
      <c r="AB22" s="31">
        <f>SUM(AB6:AB21)/15</f>
        <v>0.73333333333333328</v>
      </c>
      <c r="AC22" s="4">
        <f>SUM(AC6:AC21)/15</f>
        <v>0.54166666666666663</v>
      </c>
      <c r="AD22" s="4">
        <f>SUM(AD6:AD21)/15</f>
        <v>0.54166666666666663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4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53" t="s">
        <v>45</v>
      </c>
      <c r="B49" s="453"/>
      <c r="C49" s="453"/>
      <c r="D49" s="453"/>
      <c r="E49" s="453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54" t="s">
        <v>244</v>
      </c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6"/>
      <c r="N50" s="457" t="s">
        <v>250</v>
      </c>
      <c r="O50" s="458"/>
      <c r="P50" s="458"/>
      <c r="Q50" s="458"/>
      <c r="R50" s="458"/>
      <c r="S50" s="458"/>
      <c r="T50" s="458"/>
      <c r="U50" s="458"/>
      <c r="V50" s="458"/>
      <c r="W50" s="458"/>
      <c r="X50" s="458"/>
      <c r="Y50" s="458"/>
      <c r="Z50" s="458"/>
      <c r="AA50" s="458"/>
      <c r="AB50" s="458"/>
      <c r="AC50" s="458"/>
      <c r="AD50" s="459"/>
    </row>
    <row r="51" spans="1:32" ht="27" customHeight="1">
      <c r="A51" s="460" t="s">
        <v>2</v>
      </c>
      <c r="B51" s="461"/>
      <c r="C51" s="159" t="s">
        <v>46</v>
      </c>
      <c r="D51" s="159" t="s">
        <v>47</v>
      </c>
      <c r="E51" s="159" t="s">
        <v>108</v>
      </c>
      <c r="F51" s="461" t="s">
        <v>107</v>
      </c>
      <c r="G51" s="461"/>
      <c r="H51" s="461"/>
      <c r="I51" s="461"/>
      <c r="J51" s="461"/>
      <c r="K51" s="461"/>
      <c r="L51" s="461"/>
      <c r="M51" s="462"/>
      <c r="N51" s="73" t="s">
        <v>112</v>
      </c>
      <c r="O51" s="159" t="s">
        <v>46</v>
      </c>
      <c r="P51" s="463" t="s">
        <v>47</v>
      </c>
      <c r="Q51" s="464"/>
      <c r="R51" s="463" t="s">
        <v>38</v>
      </c>
      <c r="S51" s="465"/>
      <c r="T51" s="465"/>
      <c r="U51" s="464"/>
      <c r="V51" s="463" t="s">
        <v>48</v>
      </c>
      <c r="W51" s="465"/>
      <c r="X51" s="465"/>
      <c r="Y51" s="465"/>
      <c r="Z51" s="465"/>
      <c r="AA51" s="465"/>
      <c r="AB51" s="465"/>
      <c r="AC51" s="465"/>
      <c r="AD51" s="466"/>
    </row>
    <row r="52" spans="1:32" ht="27" customHeight="1">
      <c r="A52" s="434" t="s">
        <v>192</v>
      </c>
      <c r="B52" s="435"/>
      <c r="C52" s="156" t="s">
        <v>193</v>
      </c>
      <c r="D52" s="156" t="s">
        <v>194</v>
      </c>
      <c r="E52" s="156" t="s">
        <v>191</v>
      </c>
      <c r="F52" s="445" t="s">
        <v>245</v>
      </c>
      <c r="G52" s="446"/>
      <c r="H52" s="446"/>
      <c r="I52" s="446"/>
      <c r="J52" s="446"/>
      <c r="K52" s="446"/>
      <c r="L52" s="446"/>
      <c r="M52" s="447"/>
      <c r="N52" s="155" t="s">
        <v>123</v>
      </c>
      <c r="O52" s="124" t="s">
        <v>247</v>
      </c>
      <c r="P52" s="443" t="s">
        <v>227</v>
      </c>
      <c r="Q52" s="444"/>
      <c r="R52" s="435" t="s">
        <v>141</v>
      </c>
      <c r="S52" s="435"/>
      <c r="T52" s="435"/>
      <c r="U52" s="435"/>
      <c r="V52" s="426" t="s">
        <v>207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123</v>
      </c>
      <c r="B53" s="435"/>
      <c r="C53" s="156" t="s">
        <v>154</v>
      </c>
      <c r="D53" s="156" t="s">
        <v>125</v>
      </c>
      <c r="E53" s="156" t="s">
        <v>146</v>
      </c>
      <c r="F53" s="445" t="s">
        <v>246</v>
      </c>
      <c r="G53" s="446"/>
      <c r="H53" s="446"/>
      <c r="I53" s="446"/>
      <c r="J53" s="446"/>
      <c r="K53" s="446"/>
      <c r="L53" s="446"/>
      <c r="M53" s="447"/>
      <c r="N53" s="155"/>
      <c r="O53" s="124"/>
      <c r="P53" s="443"/>
      <c r="Q53" s="444"/>
      <c r="R53" s="435"/>
      <c r="S53" s="435"/>
      <c r="T53" s="435"/>
      <c r="U53" s="435"/>
      <c r="V53" s="426"/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 t="s">
        <v>114</v>
      </c>
      <c r="B54" s="435"/>
      <c r="C54" s="156" t="s">
        <v>178</v>
      </c>
      <c r="D54" s="156" t="s">
        <v>134</v>
      </c>
      <c r="E54" s="156" t="s">
        <v>241</v>
      </c>
      <c r="F54" s="445" t="s">
        <v>171</v>
      </c>
      <c r="G54" s="446"/>
      <c r="H54" s="446"/>
      <c r="I54" s="446"/>
      <c r="J54" s="446"/>
      <c r="K54" s="446"/>
      <c r="L54" s="446"/>
      <c r="M54" s="447"/>
      <c r="N54" s="155"/>
      <c r="O54" s="124"/>
      <c r="P54" s="435"/>
      <c r="Q54" s="435"/>
      <c r="R54" s="435"/>
      <c r="S54" s="435"/>
      <c r="T54" s="435"/>
      <c r="U54" s="435"/>
      <c r="V54" s="426"/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 t="s">
        <v>118</v>
      </c>
      <c r="B55" s="435"/>
      <c r="C55" s="156" t="s">
        <v>219</v>
      </c>
      <c r="D55" s="156" t="s">
        <v>202</v>
      </c>
      <c r="E55" s="156" t="s">
        <v>203</v>
      </c>
      <c r="F55" s="445" t="s">
        <v>245</v>
      </c>
      <c r="G55" s="446"/>
      <c r="H55" s="446"/>
      <c r="I55" s="446"/>
      <c r="J55" s="446"/>
      <c r="K55" s="446"/>
      <c r="L55" s="446"/>
      <c r="M55" s="447"/>
      <c r="N55" s="155"/>
      <c r="O55" s="124"/>
      <c r="P55" s="443"/>
      <c r="Q55" s="444"/>
      <c r="R55" s="435"/>
      <c r="S55" s="435"/>
      <c r="T55" s="435"/>
      <c r="U55" s="435"/>
      <c r="V55" s="426"/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 t="s">
        <v>123</v>
      </c>
      <c r="B56" s="435"/>
      <c r="C56" s="156" t="s">
        <v>247</v>
      </c>
      <c r="D56" s="156" t="s">
        <v>227</v>
      </c>
      <c r="E56" s="156" t="s">
        <v>141</v>
      </c>
      <c r="F56" s="445" t="s">
        <v>248</v>
      </c>
      <c r="G56" s="446"/>
      <c r="H56" s="446"/>
      <c r="I56" s="446"/>
      <c r="J56" s="446"/>
      <c r="K56" s="446"/>
      <c r="L56" s="446"/>
      <c r="M56" s="447"/>
      <c r="N56" s="155"/>
      <c r="O56" s="124"/>
      <c r="P56" s="435"/>
      <c r="Q56" s="435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 t="s">
        <v>123</v>
      </c>
      <c r="B57" s="435"/>
      <c r="C57" s="156" t="s">
        <v>249</v>
      </c>
      <c r="D57" s="156" t="s">
        <v>124</v>
      </c>
      <c r="E57" s="156" t="s">
        <v>148</v>
      </c>
      <c r="F57" s="445" t="s">
        <v>130</v>
      </c>
      <c r="G57" s="446"/>
      <c r="H57" s="446"/>
      <c r="I57" s="446"/>
      <c r="J57" s="446"/>
      <c r="K57" s="446"/>
      <c r="L57" s="446"/>
      <c r="M57" s="447"/>
      <c r="N57" s="155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156"/>
      <c r="D58" s="156"/>
      <c r="E58" s="156"/>
      <c r="F58" s="426"/>
      <c r="G58" s="426"/>
      <c r="H58" s="426"/>
      <c r="I58" s="426"/>
      <c r="J58" s="426"/>
      <c r="K58" s="426"/>
      <c r="L58" s="426"/>
      <c r="M58" s="436"/>
      <c r="N58" s="155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156"/>
      <c r="D59" s="156"/>
      <c r="E59" s="156"/>
      <c r="F59" s="426"/>
      <c r="G59" s="426"/>
      <c r="H59" s="426"/>
      <c r="I59" s="426"/>
      <c r="J59" s="426"/>
      <c r="K59" s="426"/>
      <c r="L59" s="426"/>
      <c r="M59" s="436"/>
      <c r="N59" s="155"/>
      <c r="O59" s="124"/>
      <c r="P59" s="443"/>
      <c r="Q59" s="444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</row>
    <row r="60" spans="1:32" ht="27" customHeight="1">
      <c r="A60" s="434"/>
      <c r="B60" s="435"/>
      <c r="C60" s="156"/>
      <c r="D60" s="156"/>
      <c r="E60" s="156"/>
      <c r="F60" s="426"/>
      <c r="G60" s="426"/>
      <c r="H60" s="426"/>
      <c r="I60" s="426"/>
      <c r="J60" s="426"/>
      <c r="K60" s="426"/>
      <c r="L60" s="426"/>
      <c r="M60" s="436"/>
      <c r="N60" s="155"/>
      <c r="O60" s="124"/>
      <c r="P60" s="435"/>
      <c r="Q60" s="435"/>
      <c r="R60" s="435"/>
      <c r="S60" s="435"/>
      <c r="T60" s="435"/>
      <c r="U60" s="435"/>
      <c r="V60" s="426"/>
      <c r="W60" s="426"/>
      <c r="X60" s="426"/>
      <c r="Y60" s="426"/>
      <c r="Z60" s="426"/>
      <c r="AA60" s="426"/>
      <c r="AB60" s="426"/>
      <c r="AC60" s="426"/>
      <c r="AD60" s="436"/>
      <c r="AF60" s="93">
        <f>8*3000</f>
        <v>24000</v>
      </c>
    </row>
    <row r="61" spans="1:32" ht="27" customHeight="1" thickBot="1">
      <c r="A61" s="437"/>
      <c r="B61" s="438"/>
      <c r="C61" s="158"/>
      <c r="D61" s="158"/>
      <c r="E61" s="158"/>
      <c r="F61" s="439"/>
      <c r="G61" s="439"/>
      <c r="H61" s="439"/>
      <c r="I61" s="439"/>
      <c r="J61" s="439"/>
      <c r="K61" s="439"/>
      <c r="L61" s="439"/>
      <c r="M61" s="440"/>
      <c r="N61" s="157"/>
      <c r="O61" s="120"/>
      <c r="P61" s="438"/>
      <c r="Q61" s="438"/>
      <c r="R61" s="438"/>
      <c r="S61" s="438"/>
      <c r="T61" s="438"/>
      <c r="U61" s="438"/>
      <c r="V61" s="441"/>
      <c r="W61" s="441"/>
      <c r="X61" s="441"/>
      <c r="Y61" s="441"/>
      <c r="Z61" s="441"/>
      <c r="AA61" s="441"/>
      <c r="AB61" s="441"/>
      <c r="AC61" s="441"/>
      <c r="AD61" s="442"/>
      <c r="AF61" s="93">
        <f>16*3000</f>
        <v>48000</v>
      </c>
    </row>
    <row r="62" spans="1:32" ht="27.75" thickBot="1">
      <c r="A62" s="432" t="s">
        <v>251</v>
      </c>
      <c r="B62" s="432"/>
      <c r="C62" s="432"/>
      <c r="D62" s="432"/>
      <c r="E62" s="432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3">
        <v>24000</v>
      </c>
    </row>
    <row r="63" spans="1:32" ht="29.25" customHeight="1" thickBot="1">
      <c r="A63" s="433" t="s">
        <v>113</v>
      </c>
      <c r="B63" s="430"/>
      <c r="C63" s="154" t="s">
        <v>2</v>
      </c>
      <c r="D63" s="154" t="s">
        <v>37</v>
      </c>
      <c r="E63" s="154" t="s">
        <v>3</v>
      </c>
      <c r="F63" s="430" t="s">
        <v>110</v>
      </c>
      <c r="G63" s="430"/>
      <c r="H63" s="430"/>
      <c r="I63" s="430"/>
      <c r="J63" s="430"/>
      <c r="K63" s="430" t="s">
        <v>39</v>
      </c>
      <c r="L63" s="430"/>
      <c r="M63" s="154" t="s">
        <v>40</v>
      </c>
      <c r="N63" s="430" t="s">
        <v>41</v>
      </c>
      <c r="O63" s="430"/>
      <c r="P63" s="427" t="s">
        <v>42</v>
      </c>
      <c r="Q63" s="429"/>
      <c r="R63" s="427" t="s">
        <v>43</v>
      </c>
      <c r="S63" s="428"/>
      <c r="T63" s="428"/>
      <c r="U63" s="428"/>
      <c r="V63" s="428"/>
      <c r="W63" s="428"/>
      <c r="X63" s="428"/>
      <c r="Y63" s="428"/>
      <c r="Z63" s="428"/>
      <c r="AA63" s="429"/>
      <c r="AB63" s="430" t="s">
        <v>44</v>
      </c>
      <c r="AC63" s="430"/>
      <c r="AD63" s="431"/>
      <c r="AF63" s="93">
        <f>SUM(AF60:AF62)</f>
        <v>96000</v>
      </c>
    </row>
    <row r="64" spans="1:32" ht="25.5" customHeight="1">
      <c r="A64" s="422">
        <v>1</v>
      </c>
      <c r="B64" s="423"/>
      <c r="C64" s="123" t="s">
        <v>114</v>
      </c>
      <c r="D64" s="150"/>
      <c r="E64" s="153" t="s">
        <v>134</v>
      </c>
      <c r="F64" s="424" t="s">
        <v>196</v>
      </c>
      <c r="G64" s="416"/>
      <c r="H64" s="416"/>
      <c r="I64" s="416"/>
      <c r="J64" s="416"/>
      <c r="K64" s="416" t="s">
        <v>252</v>
      </c>
      <c r="L64" s="416"/>
      <c r="M64" s="54" t="s">
        <v>253</v>
      </c>
      <c r="N64" s="416">
        <v>4</v>
      </c>
      <c r="O64" s="416"/>
      <c r="P64" s="425">
        <v>50</v>
      </c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2</v>
      </c>
      <c r="B65" s="423"/>
      <c r="C65" s="123"/>
      <c r="D65" s="150"/>
      <c r="E65" s="153"/>
      <c r="F65" s="424"/>
      <c r="G65" s="416"/>
      <c r="H65" s="416"/>
      <c r="I65" s="416"/>
      <c r="J65" s="416"/>
      <c r="K65" s="416"/>
      <c r="L65" s="416"/>
      <c r="M65" s="54"/>
      <c r="N65" s="416"/>
      <c r="O65" s="416"/>
      <c r="P65" s="425"/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3</v>
      </c>
      <c r="B66" s="423"/>
      <c r="C66" s="123"/>
      <c r="D66" s="150"/>
      <c r="E66" s="153"/>
      <c r="F66" s="424"/>
      <c r="G66" s="416"/>
      <c r="H66" s="416"/>
      <c r="I66" s="416"/>
      <c r="J66" s="416"/>
      <c r="K66" s="416"/>
      <c r="L66" s="416"/>
      <c r="M66" s="54"/>
      <c r="N66" s="416"/>
      <c r="O66" s="416"/>
      <c r="P66" s="425"/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4</v>
      </c>
      <c r="B67" s="423"/>
      <c r="C67" s="123"/>
      <c r="D67" s="150"/>
      <c r="E67" s="153"/>
      <c r="F67" s="424"/>
      <c r="G67" s="416"/>
      <c r="H67" s="416"/>
      <c r="I67" s="416"/>
      <c r="J67" s="416"/>
      <c r="K67" s="416"/>
      <c r="L67" s="416"/>
      <c r="M67" s="54"/>
      <c r="N67" s="416"/>
      <c r="O67" s="416"/>
      <c r="P67" s="425"/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5</v>
      </c>
      <c r="B68" s="423"/>
      <c r="C68" s="123"/>
      <c r="D68" s="150"/>
      <c r="E68" s="153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6</v>
      </c>
      <c r="B69" s="423"/>
      <c r="C69" s="123"/>
      <c r="D69" s="150"/>
      <c r="E69" s="153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7</v>
      </c>
      <c r="B70" s="423"/>
      <c r="C70" s="123"/>
      <c r="D70" s="150"/>
      <c r="E70" s="153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5.5" customHeight="1">
      <c r="A71" s="422">
        <v>8</v>
      </c>
      <c r="B71" s="423"/>
      <c r="C71" s="123"/>
      <c r="D71" s="150"/>
      <c r="E71" s="153"/>
      <c r="F71" s="424"/>
      <c r="G71" s="416"/>
      <c r="H71" s="416"/>
      <c r="I71" s="416"/>
      <c r="J71" s="416"/>
      <c r="K71" s="416"/>
      <c r="L71" s="416"/>
      <c r="M71" s="54"/>
      <c r="N71" s="416"/>
      <c r="O71" s="416"/>
      <c r="P71" s="425"/>
      <c r="Q71" s="425"/>
      <c r="R71" s="426"/>
      <c r="S71" s="426"/>
      <c r="T71" s="426"/>
      <c r="U71" s="426"/>
      <c r="V71" s="426"/>
      <c r="W71" s="426"/>
      <c r="X71" s="426"/>
      <c r="Y71" s="426"/>
      <c r="Z71" s="426"/>
      <c r="AA71" s="426"/>
      <c r="AB71" s="416"/>
      <c r="AC71" s="416"/>
      <c r="AD71" s="417"/>
      <c r="AF71" s="53"/>
    </row>
    <row r="72" spans="1:32" ht="26.25" customHeight="1" thickBot="1">
      <c r="A72" s="396" t="s">
        <v>254</v>
      </c>
      <c r="B72" s="396"/>
      <c r="C72" s="396"/>
      <c r="D72" s="396"/>
      <c r="E72" s="396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97" t="s">
        <v>113</v>
      </c>
      <c r="B73" s="398"/>
      <c r="C73" s="152" t="s">
        <v>2</v>
      </c>
      <c r="D73" s="152" t="s">
        <v>37</v>
      </c>
      <c r="E73" s="152" t="s">
        <v>3</v>
      </c>
      <c r="F73" s="398" t="s">
        <v>38</v>
      </c>
      <c r="G73" s="398"/>
      <c r="H73" s="398"/>
      <c r="I73" s="398"/>
      <c r="J73" s="398"/>
      <c r="K73" s="418" t="s">
        <v>58</v>
      </c>
      <c r="L73" s="419"/>
      <c r="M73" s="419"/>
      <c r="N73" s="419"/>
      <c r="O73" s="419"/>
      <c r="P73" s="419"/>
      <c r="Q73" s="419"/>
      <c r="R73" s="419"/>
      <c r="S73" s="420"/>
      <c r="T73" s="398" t="s">
        <v>49</v>
      </c>
      <c r="U73" s="398"/>
      <c r="V73" s="418" t="s">
        <v>50</v>
      </c>
      <c r="W73" s="420"/>
      <c r="X73" s="419" t="s">
        <v>51</v>
      </c>
      <c r="Y73" s="419"/>
      <c r="Z73" s="419"/>
      <c r="AA73" s="419"/>
      <c r="AB73" s="419"/>
      <c r="AC73" s="419"/>
      <c r="AD73" s="421"/>
      <c r="AF73" s="53"/>
    </row>
    <row r="74" spans="1:32" ht="33.75" customHeight="1">
      <c r="A74" s="390">
        <v>1</v>
      </c>
      <c r="B74" s="391"/>
      <c r="C74" s="151" t="s">
        <v>114</v>
      </c>
      <c r="D74" s="151"/>
      <c r="E74" s="71" t="s">
        <v>127</v>
      </c>
      <c r="F74" s="405" t="s">
        <v>126</v>
      </c>
      <c r="G74" s="406"/>
      <c r="H74" s="406"/>
      <c r="I74" s="406"/>
      <c r="J74" s="407"/>
      <c r="K74" s="408" t="s">
        <v>128</v>
      </c>
      <c r="L74" s="409"/>
      <c r="M74" s="409"/>
      <c r="N74" s="409"/>
      <c r="O74" s="409"/>
      <c r="P74" s="409"/>
      <c r="Q74" s="409"/>
      <c r="R74" s="409"/>
      <c r="S74" s="410"/>
      <c r="T74" s="411">
        <v>43384</v>
      </c>
      <c r="U74" s="412"/>
      <c r="V74" s="413"/>
      <c r="W74" s="413"/>
      <c r="X74" s="414"/>
      <c r="Y74" s="414"/>
      <c r="Z74" s="414"/>
      <c r="AA74" s="414"/>
      <c r="AB74" s="414"/>
      <c r="AC74" s="414"/>
      <c r="AD74" s="415"/>
      <c r="AF74" s="53"/>
    </row>
    <row r="75" spans="1:32" ht="30" customHeight="1">
      <c r="A75" s="383">
        <f>A74+1</f>
        <v>2</v>
      </c>
      <c r="B75" s="384"/>
      <c r="C75" s="150"/>
      <c r="D75" s="150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ref="A76:A82" si="27">A75+1</f>
        <v>3</v>
      </c>
      <c r="B76" s="384"/>
      <c r="C76" s="150"/>
      <c r="D76" s="150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27"/>
        <v>4</v>
      </c>
      <c r="B77" s="384"/>
      <c r="C77" s="150"/>
      <c r="D77" s="150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27"/>
        <v>5</v>
      </c>
      <c r="B78" s="384"/>
      <c r="C78" s="150"/>
      <c r="D78" s="150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27"/>
        <v>6</v>
      </c>
      <c r="B79" s="384"/>
      <c r="C79" s="150"/>
      <c r="D79" s="150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27"/>
        <v>7</v>
      </c>
      <c r="B80" s="384"/>
      <c r="C80" s="150"/>
      <c r="D80" s="150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27"/>
        <v>8</v>
      </c>
      <c r="B81" s="384"/>
      <c r="C81" s="150"/>
      <c r="D81" s="150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0" customHeight="1">
      <c r="A82" s="383">
        <f t="shared" si="27"/>
        <v>9</v>
      </c>
      <c r="B82" s="384"/>
      <c r="C82" s="150"/>
      <c r="D82" s="150"/>
      <c r="E82" s="35"/>
      <c r="F82" s="384"/>
      <c r="G82" s="384"/>
      <c r="H82" s="384"/>
      <c r="I82" s="384"/>
      <c r="J82" s="384"/>
      <c r="K82" s="399"/>
      <c r="L82" s="400"/>
      <c r="M82" s="400"/>
      <c r="N82" s="400"/>
      <c r="O82" s="400"/>
      <c r="P82" s="400"/>
      <c r="Q82" s="400"/>
      <c r="R82" s="400"/>
      <c r="S82" s="401"/>
      <c r="T82" s="402"/>
      <c r="U82" s="402"/>
      <c r="V82" s="402"/>
      <c r="W82" s="402"/>
      <c r="X82" s="403"/>
      <c r="Y82" s="403"/>
      <c r="Z82" s="403"/>
      <c r="AA82" s="403"/>
      <c r="AB82" s="403"/>
      <c r="AC82" s="403"/>
      <c r="AD82" s="404"/>
      <c r="AF82" s="53"/>
    </row>
    <row r="83" spans="1:32" ht="36" thickBot="1">
      <c r="A83" s="396" t="s">
        <v>255</v>
      </c>
      <c r="B83" s="396"/>
      <c r="C83" s="396"/>
      <c r="D83" s="396"/>
      <c r="E83" s="396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97" t="s">
        <v>113</v>
      </c>
      <c r="B84" s="398"/>
      <c r="C84" s="388" t="s">
        <v>52</v>
      </c>
      <c r="D84" s="388"/>
      <c r="E84" s="388" t="s">
        <v>53</v>
      </c>
      <c r="F84" s="388"/>
      <c r="G84" s="388"/>
      <c r="H84" s="388"/>
      <c r="I84" s="388"/>
      <c r="J84" s="388"/>
      <c r="K84" s="388" t="s">
        <v>54</v>
      </c>
      <c r="L84" s="388"/>
      <c r="M84" s="388"/>
      <c r="N84" s="388"/>
      <c r="O84" s="388"/>
      <c r="P84" s="388"/>
      <c r="Q84" s="388"/>
      <c r="R84" s="388"/>
      <c r="S84" s="388"/>
      <c r="T84" s="388" t="s">
        <v>55</v>
      </c>
      <c r="U84" s="388"/>
      <c r="V84" s="388" t="s">
        <v>56</v>
      </c>
      <c r="W84" s="388"/>
      <c r="X84" s="388"/>
      <c r="Y84" s="388" t="s">
        <v>51</v>
      </c>
      <c r="Z84" s="388"/>
      <c r="AA84" s="388"/>
      <c r="AB84" s="388"/>
      <c r="AC84" s="388"/>
      <c r="AD84" s="389"/>
      <c r="AF84" s="53"/>
    </row>
    <row r="85" spans="1:32" ht="30.75" customHeight="1">
      <c r="A85" s="390">
        <v>1</v>
      </c>
      <c r="B85" s="391"/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3"/>
      <c r="W85" s="393"/>
      <c r="X85" s="393"/>
      <c r="Y85" s="394"/>
      <c r="Z85" s="394"/>
      <c r="AA85" s="394"/>
      <c r="AB85" s="394"/>
      <c r="AC85" s="394"/>
      <c r="AD85" s="395"/>
      <c r="AF85" s="53"/>
    </row>
    <row r="86" spans="1:32" ht="30.75" customHeight="1">
      <c r="A86" s="383">
        <v>2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6"/>
      <c r="U86" s="386"/>
      <c r="V86" s="387"/>
      <c r="W86" s="387"/>
      <c r="X86" s="387"/>
      <c r="Y86" s="376"/>
      <c r="Z86" s="376"/>
      <c r="AA86" s="376"/>
      <c r="AB86" s="376"/>
      <c r="AC86" s="376"/>
      <c r="AD86" s="377"/>
      <c r="AF86" s="53"/>
    </row>
    <row r="87" spans="1:32" ht="30.75" customHeight="1" thickBot="1">
      <c r="A87" s="378">
        <v>3</v>
      </c>
      <c r="B87" s="379"/>
      <c r="C87" s="380"/>
      <c r="D87" s="380"/>
      <c r="E87" s="380"/>
      <c r="F87" s="380"/>
      <c r="G87" s="380"/>
      <c r="H87" s="380"/>
      <c r="I87" s="380"/>
      <c r="J87" s="380"/>
      <c r="K87" s="380"/>
      <c r="L87" s="380"/>
      <c r="M87" s="380"/>
      <c r="N87" s="380"/>
      <c r="O87" s="380"/>
      <c r="P87" s="380"/>
      <c r="Q87" s="380"/>
      <c r="R87" s="380"/>
      <c r="S87" s="380"/>
      <c r="T87" s="380"/>
      <c r="U87" s="380"/>
      <c r="V87" s="380"/>
      <c r="W87" s="380"/>
      <c r="X87" s="380"/>
      <c r="Y87" s="381"/>
      <c r="Z87" s="381"/>
      <c r="AA87" s="381"/>
      <c r="AB87" s="381"/>
      <c r="AC87" s="381"/>
      <c r="AD87" s="382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C642-8FF5-4846-896D-E32B6D74D04A}">
  <sheetPr>
    <pageSetUpPr fitToPage="1"/>
  </sheetPr>
  <dimension ref="A1:AF87"/>
  <sheetViews>
    <sheetView zoomScale="72" zoomScaleNormal="72" zoomScaleSheetLayoutView="70" workbookViewId="0">
      <selection activeCell="AD23" sqref="AD2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256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161" t="s">
        <v>17</v>
      </c>
      <c r="L5" s="161" t="s">
        <v>18</v>
      </c>
      <c r="M5" s="161" t="s">
        <v>19</v>
      </c>
      <c r="N5" s="16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0.47499999999999998</v>
      </c>
      <c r="AF6" s="93">
        <f t="shared" ref="AF6:AF21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0.47499999999999998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192</v>
      </c>
      <c r="D8" s="55" t="s">
        <v>257</v>
      </c>
      <c r="E8" s="57" t="s">
        <v>258</v>
      </c>
      <c r="F8" s="33" t="s">
        <v>259</v>
      </c>
      <c r="G8" s="36">
        <v>3</v>
      </c>
      <c r="H8" s="38">
        <v>25</v>
      </c>
      <c r="I8" s="7">
        <v>20000</v>
      </c>
      <c r="J8" s="5">
        <v>14004</v>
      </c>
      <c r="K8" s="15">
        <f>L8</f>
        <v>14004</v>
      </c>
      <c r="L8" s="15">
        <f>1673*3+2995*3</f>
        <v>14004</v>
      </c>
      <c r="M8" s="16">
        <f t="shared" si="0"/>
        <v>14004</v>
      </c>
      <c r="N8" s="16">
        <v>0</v>
      </c>
      <c r="O8" s="62">
        <f t="shared" si="1"/>
        <v>0</v>
      </c>
      <c r="P8" s="42">
        <f t="shared" si="2"/>
        <v>21</v>
      </c>
      <c r="Q8" s="43">
        <f t="shared" si="3"/>
        <v>3</v>
      </c>
      <c r="R8" s="7"/>
      <c r="S8" s="6"/>
      <c r="T8" s="17">
        <v>3</v>
      </c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9">
        <f t="shared" si="7"/>
        <v>0.47499999999999998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260</v>
      </c>
      <c r="D9" s="55" t="s">
        <v>120</v>
      </c>
      <c r="E9" s="57" t="s">
        <v>261</v>
      </c>
      <c r="F9" s="33" t="s">
        <v>242</v>
      </c>
      <c r="G9" s="36">
        <v>1</v>
      </c>
      <c r="H9" s="38">
        <v>24</v>
      </c>
      <c r="I9" s="7">
        <v>1000</v>
      </c>
      <c r="J9" s="14">
        <v>1240</v>
      </c>
      <c r="K9" s="15">
        <f>L9</f>
        <v>1240</v>
      </c>
      <c r="L9" s="15">
        <f>1240</f>
        <v>1240</v>
      </c>
      <c r="M9" s="16">
        <f t="shared" si="0"/>
        <v>1240</v>
      </c>
      <c r="N9" s="16">
        <v>0</v>
      </c>
      <c r="O9" s="62">
        <f t="shared" si="1"/>
        <v>0</v>
      </c>
      <c r="P9" s="42">
        <f t="shared" si="2"/>
        <v>8</v>
      </c>
      <c r="Q9" s="43">
        <f t="shared" si="3"/>
        <v>16</v>
      </c>
      <c r="R9" s="7"/>
      <c r="S9" s="6"/>
      <c r="T9" s="17"/>
      <c r="U9" s="17"/>
      <c r="V9" s="18"/>
      <c r="W9" s="19">
        <v>16</v>
      </c>
      <c r="X9" s="17"/>
      <c r="Y9" s="20"/>
      <c r="Z9" s="20"/>
      <c r="AA9" s="21"/>
      <c r="AB9" s="8">
        <f t="shared" si="4"/>
        <v>1</v>
      </c>
      <c r="AC9" s="9">
        <f t="shared" si="5"/>
        <v>0.33333333333333331</v>
      </c>
      <c r="AD9" s="10">
        <f t="shared" si="6"/>
        <v>0.33333333333333331</v>
      </c>
      <c r="AE9" s="39">
        <f t="shared" si="7"/>
        <v>0.47499999999999998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123</v>
      </c>
      <c r="D10" s="55" t="s">
        <v>119</v>
      </c>
      <c r="E10" s="57" t="s">
        <v>147</v>
      </c>
      <c r="F10" s="12" t="s">
        <v>121</v>
      </c>
      <c r="G10" s="12">
        <v>4</v>
      </c>
      <c r="H10" s="13">
        <v>25</v>
      </c>
      <c r="I10" s="7">
        <v>400000</v>
      </c>
      <c r="J10" s="14">
        <v>24336</v>
      </c>
      <c r="K10" s="15">
        <f>L10+23776+26072+26756+24764+18432+17192+18752+24536</f>
        <v>204616</v>
      </c>
      <c r="L10" s="15">
        <f>2681*4+3403*4</f>
        <v>24336</v>
      </c>
      <c r="M10" s="16">
        <f t="shared" si="0"/>
        <v>24336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0.47499999999999998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123</v>
      </c>
      <c r="D11" s="55" t="s">
        <v>120</v>
      </c>
      <c r="E11" s="57" t="s">
        <v>150</v>
      </c>
      <c r="F11" s="12" t="s">
        <v>151</v>
      </c>
      <c r="G11" s="12">
        <v>1</v>
      </c>
      <c r="H11" s="13">
        <v>25</v>
      </c>
      <c r="I11" s="7">
        <v>35000</v>
      </c>
      <c r="J11" s="14">
        <v>1202</v>
      </c>
      <c r="K11" s="15">
        <f>L11+3530+5736+6036+5863+4843+3771+4692+5992+1202</f>
        <v>41665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0.47499999999999998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115</v>
      </c>
      <c r="D12" s="55"/>
      <c r="E12" s="57" t="s">
        <v>262</v>
      </c>
      <c r="F12" s="33" t="s">
        <v>116</v>
      </c>
      <c r="G12" s="36">
        <v>4</v>
      </c>
      <c r="H12" s="38">
        <v>24</v>
      </c>
      <c r="I12" s="7">
        <v>100000</v>
      </c>
      <c r="J12" s="14">
        <v>32836</v>
      </c>
      <c r="K12" s="15">
        <f>L12</f>
        <v>32836</v>
      </c>
      <c r="L12" s="15">
        <f>2620*4+5589*4</f>
        <v>32836</v>
      </c>
      <c r="M12" s="16">
        <f t="shared" si="0"/>
        <v>32836</v>
      </c>
      <c r="N12" s="16">
        <v>0</v>
      </c>
      <c r="O12" s="62">
        <f t="shared" si="1"/>
        <v>0</v>
      </c>
      <c r="P12" s="42">
        <f t="shared" si="2"/>
        <v>21</v>
      </c>
      <c r="Q12" s="43">
        <f t="shared" si="3"/>
        <v>3</v>
      </c>
      <c r="R12" s="7"/>
      <c r="S12" s="6"/>
      <c r="T12" s="17">
        <v>3</v>
      </c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0.875</v>
      </c>
      <c r="AD12" s="10">
        <f t="shared" si="6"/>
        <v>0.875</v>
      </c>
      <c r="AE12" s="39">
        <f t="shared" si="7"/>
        <v>0.47499999999999998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123</v>
      </c>
      <c r="D13" s="55" t="s">
        <v>263</v>
      </c>
      <c r="E13" s="57" t="s">
        <v>264</v>
      </c>
      <c r="F13" s="33" t="s">
        <v>129</v>
      </c>
      <c r="G13" s="36">
        <v>1</v>
      </c>
      <c r="H13" s="38">
        <v>24</v>
      </c>
      <c r="I13" s="7">
        <v>3000</v>
      </c>
      <c r="J13" s="14">
        <v>3117</v>
      </c>
      <c r="K13" s="15">
        <f>L13</f>
        <v>3117</v>
      </c>
      <c r="L13" s="15">
        <f>2010+1107</f>
        <v>3117</v>
      </c>
      <c r="M13" s="16">
        <f t="shared" si="0"/>
        <v>3117</v>
      </c>
      <c r="N13" s="16">
        <v>0</v>
      </c>
      <c r="O13" s="62">
        <f t="shared" si="1"/>
        <v>0</v>
      </c>
      <c r="P13" s="42">
        <f t="shared" si="2"/>
        <v>19</v>
      </c>
      <c r="Q13" s="43">
        <f t="shared" si="3"/>
        <v>5</v>
      </c>
      <c r="R13" s="7"/>
      <c r="S13" s="6"/>
      <c r="T13" s="17"/>
      <c r="U13" s="17"/>
      <c r="V13" s="18"/>
      <c r="W13" s="19">
        <v>5</v>
      </c>
      <c r="X13" s="17"/>
      <c r="Y13" s="20"/>
      <c r="Z13" s="20"/>
      <c r="AA13" s="21"/>
      <c r="AB13" s="8">
        <f t="shared" si="4"/>
        <v>1</v>
      </c>
      <c r="AC13" s="9">
        <f t="shared" si="5"/>
        <v>0.79166666666666663</v>
      </c>
      <c r="AD13" s="10">
        <f t="shared" si="6"/>
        <v>0.79166666666666663</v>
      </c>
      <c r="AE13" s="39">
        <f t="shared" si="7"/>
        <v>0.47499999999999998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114</v>
      </c>
      <c r="D14" s="55" t="s">
        <v>117</v>
      </c>
      <c r="E14" s="57" t="s">
        <v>159</v>
      </c>
      <c r="F14" s="33" t="s">
        <v>160</v>
      </c>
      <c r="G14" s="36">
        <v>1</v>
      </c>
      <c r="H14" s="38">
        <v>25</v>
      </c>
      <c r="I14" s="7">
        <v>2000</v>
      </c>
      <c r="J14" s="5">
        <v>613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0.47499999999999998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192</v>
      </c>
      <c r="D15" s="55" t="s">
        <v>194</v>
      </c>
      <c r="E15" s="57" t="s">
        <v>191</v>
      </c>
      <c r="F15" s="12" t="s">
        <v>201</v>
      </c>
      <c r="G15" s="12">
        <v>4</v>
      </c>
      <c r="H15" s="13">
        <v>24</v>
      </c>
      <c r="I15" s="34">
        <v>30000</v>
      </c>
      <c r="J15" s="14">
        <v>12736</v>
      </c>
      <c r="K15" s="15">
        <f>L15+15852+24288</f>
        <v>52876</v>
      </c>
      <c r="L15" s="15">
        <f>3184*4</f>
        <v>12736</v>
      </c>
      <c r="M15" s="16">
        <f t="shared" si="0"/>
        <v>12736</v>
      </c>
      <c r="N15" s="16">
        <v>0</v>
      </c>
      <c r="O15" s="62">
        <f t="shared" si="1"/>
        <v>0</v>
      </c>
      <c r="P15" s="42">
        <f t="shared" si="2"/>
        <v>13</v>
      </c>
      <c r="Q15" s="43">
        <f t="shared" si="3"/>
        <v>11</v>
      </c>
      <c r="R15" s="7">
        <v>11</v>
      </c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0.54166666666666663</v>
      </c>
      <c r="AD15" s="10">
        <f t="shared" si="6"/>
        <v>0.54166666666666663</v>
      </c>
      <c r="AE15" s="39">
        <f t="shared" si="7"/>
        <v>0.47499999999999998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11" t="s">
        <v>123</v>
      </c>
      <c r="D16" s="55" t="s">
        <v>142</v>
      </c>
      <c r="E16" s="57" t="s">
        <v>141</v>
      </c>
      <c r="F16" s="12" t="s">
        <v>121</v>
      </c>
      <c r="G16" s="12">
        <v>3</v>
      </c>
      <c r="H16" s="13">
        <v>25</v>
      </c>
      <c r="I16" s="7">
        <v>62000</v>
      </c>
      <c r="J16" s="14">
        <v>2238</v>
      </c>
      <c r="K16" s="15">
        <f>L16</f>
        <v>2238</v>
      </c>
      <c r="L16" s="15">
        <f>746*3</f>
        <v>2238</v>
      </c>
      <c r="M16" s="16">
        <f t="shared" si="0"/>
        <v>2238</v>
      </c>
      <c r="N16" s="16">
        <v>0</v>
      </c>
      <c r="O16" s="62">
        <f t="shared" si="1"/>
        <v>0</v>
      </c>
      <c r="P16" s="42">
        <f t="shared" si="2"/>
        <v>4</v>
      </c>
      <c r="Q16" s="43">
        <f t="shared" si="3"/>
        <v>20</v>
      </c>
      <c r="R16" s="7"/>
      <c r="S16" s="6">
        <v>20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0.16666666666666666</v>
      </c>
      <c r="AD16" s="10">
        <f t="shared" si="6"/>
        <v>0.16666666666666666</v>
      </c>
      <c r="AE16" s="39">
        <f t="shared" si="7"/>
        <v>0.47499999999999998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123</v>
      </c>
      <c r="D17" s="55" t="s">
        <v>124</v>
      </c>
      <c r="E17" s="57" t="s">
        <v>148</v>
      </c>
      <c r="F17" s="12" t="s">
        <v>131</v>
      </c>
      <c r="G17" s="12">
        <v>4</v>
      </c>
      <c r="H17" s="13">
        <v>24</v>
      </c>
      <c r="I17" s="34">
        <v>400000</v>
      </c>
      <c r="J17" s="14">
        <v>24312</v>
      </c>
      <c r="K17" s="15">
        <f>L17+19964+21928+25296+24300+24768+24688+11104+18160</f>
        <v>194520</v>
      </c>
      <c r="L17" s="15">
        <f>2758*4+3320*4</f>
        <v>24312</v>
      </c>
      <c r="M17" s="16">
        <f t="shared" si="0"/>
        <v>24312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0.47499999999999998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123</v>
      </c>
      <c r="D18" s="55" t="s">
        <v>117</v>
      </c>
      <c r="E18" s="57" t="s">
        <v>153</v>
      </c>
      <c r="F18" s="12" t="s">
        <v>129</v>
      </c>
      <c r="G18" s="36">
        <v>4</v>
      </c>
      <c r="H18" s="38">
        <v>24</v>
      </c>
      <c r="I18" s="7">
        <v>400000</v>
      </c>
      <c r="J18" s="5">
        <v>19996</v>
      </c>
      <c r="K18" s="15">
        <f>L18+12380+14384+22568+16460+13888+20848+20972+20888</f>
        <v>162384</v>
      </c>
      <c r="L18" s="15">
        <f>2792*4+2207*4</f>
        <v>19996</v>
      </c>
      <c r="M18" s="16">
        <f t="shared" si="0"/>
        <v>19996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0.47499999999999998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260</v>
      </c>
      <c r="D19" s="55" t="s">
        <v>117</v>
      </c>
      <c r="E19" s="57" t="s">
        <v>265</v>
      </c>
      <c r="F19" s="12" t="s">
        <v>266</v>
      </c>
      <c r="G19" s="36">
        <v>1</v>
      </c>
      <c r="H19" s="13">
        <v>24</v>
      </c>
      <c r="I19" s="7">
        <v>1000</v>
      </c>
      <c r="J19" s="14">
        <v>1172</v>
      </c>
      <c r="K19" s="15">
        <f>L19</f>
        <v>1172</v>
      </c>
      <c r="L19" s="15">
        <v>1172</v>
      </c>
      <c r="M19" s="16">
        <f t="shared" ref="M19" si="9">L19-N19</f>
        <v>1172</v>
      </c>
      <c r="N19" s="16">
        <v>0</v>
      </c>
      <c r="O19" s="62">
        <f t="shared" ref="O19" si="10">IF(L19=0,"0",N19/L19)</f>
        <v>0</v>
      </c>
      <c r="P19" s="42">
        <f t="shared" ref="P19" si="11">IF(L19=0,"0",(24-Q19))</f>
        <v>9</v>
      </c>
      <c r="Q19" s="43">
        <f t="shared" ref="Q19" si="12">SUM(R19:AA19)</f>
        <v>15</v>
      </c>
      <c r="R19" s="7"/>
      <c r="S19" s="6"/>
      <c r="T19" s="17"/>
      <c r="U19" s="17"/>
      <c r="V19" s="18"/>
      <c r="W19" s="19">
        <v>15</v>
      </c>
      <c r="X19" s="17"/>
      <c r="Y19" s="20"/>
      <c r="Z19" s="20"/>
      <c r="AA19" s="21"/>
      <c r="AB19" s="8">
        <f t="shared" ref="AB19" si="13">IF(J19=0,"0",(L19/J19))</f>
        <v>1</v>
      </c>
      <c r="AC19" s="9">
        <f t="shared" ref="AC19" si="14">IF(P19=0,"0",(P19/24))</f>
        <v>0.375</v>
      </c>
      <c r="AD19" s="10">
        <f t="shared" ref="AD19" si="15">AC19*AB19*(1-O19)</f>
        <v>0.375</v>
      </c>
      <c r="AE19" s="39">
        <f t="shared" si="7"/>
        <v>0.47499999999999998</v>
      </c>
      <c r="AF19" s="93">
        <f t="shared" ref="AF19" si="16">A19</f>
        <v>14</v>
      </c>
    </row>
    <row r="20" spans="1:32" ht="27" customHeight="1">
      <c r="A20" s="109">
        <v>14</v>
      </c>
      <c r="B20" s="11" t="s">
        <v>57</v>
      </c>
      <c r="C20" s="11" t="s">
        <v>123</v>
      </c>
      <c r="D20" s="55" t="s">
        <v>268</v>
      </c>
      <c r="E20" s="57" t="s">
        <v>269</v>
      </c>
      <c r="F20" s="12" t="s">
        <v>129</v>
      </c>
      <c r="G20" s="36" t="s">
        <v>240</v>
      </c>
      <c r="H20" s="13">
        <v>24</v>
      </c>
      <c r="I20" s="7">
        <v>500</v>
      </c>
      <c r="J20" s="14">
        <v>585</v>
      </c>
      <c r="K20" s="15">
        <f>L20</f>
        <v>585</v>
      </c>
      <c r="L20" s="15">
        <v>585</v>
      </c>
      <c r="M20" s="16">
        <f t="shared" si="0"/>
        <v>585</v>
      </c>
      <c r="N20" s="16">
        <v>0</v>
      </c>
      <c r="O20" s="62">
        <f t="shared" si="1"/>
        <v>0</v>
      </c>
      <c r="P20" s="42">
        <f t="shared" si="2"/>
        <v>4</v>
      </c>
      <c r="Q20" s="43">
        <f t="shared" si="3"/>
        <v>20</v>
      </c>
      <c r="R20" s="7"/>
      <c r="S20" s="6"/>
      <c r="T20" s="17"/>
      <c r="U20" s="17"/>
      <c r="V20" s="18"/>
      <c r="W20" s="19">
        <v>20</v>
      </c>
      <c r="X20" s="17"/>
      <c r="Y20" s="20"/>
      <c r="Z20" s="20"/>
      <c r="AA20" s="21"/>
      <c r="AB20" s="8">
        <f t="shared" si="4"/>
        <v>1</v>
      </c>
      <c r="AC20" s="9">
        <f t="shared" si="5"/>
        <v>0.16666666666666666</v>
      </c>
      <c r="AD20" s="10">
        <f t="shared" si="6"/>
        <v>0.16666666666666666</v>
      </c>
      <c r="AE20" s="39">
        <f t="shared" si="7"/>
        <v>0.47499999999999998</v>
      </c>
      <c r="AF20" s="93">
        <f t="shared" si="8"/>
        <v>14</v>
      </c>
    </row>
    <row r="21" spans="1:32" ht="27" customHeight="1" thickBot="1">
      <c r="A21" s="109">
        <v>15</v>
      </c>
      <c r="B21" s="11" t="s">
        <v>57</v>
      </c>
      <c r="C21" s="11" t="s">
        <v>115</v>
      </c>
      <c r="D21" s="55"/>
      <c r="E21" s="56" t="s">
        <v>133</v>
      </c>
      <c r="F21" s="12" t="s">
        <v>116</v>
      </c>
      <c r="G21" s="12">
        <v>4</v>
      </c>
      <c r="H21" s="38">
        <v>20</v>
      </c>
      <c r="I21" s="7">
        <v>300000</v>
      </c>
      <c r="J21" s="14">
        <v>10476</v>
      </c>
      <c r="K21" s="15">
        <f>L21+39648+30712+45256+43600+10476</f>
        <v>169692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>
        <v>24</v>
      </c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0.47499999999999998</v>
      </c>
      <c r="AF21" s="93">
        <f t="shared" si="8"/>
        <v>15</v>
      </c>
    </row>
    <row r="22" spans="1:32" ht="31.5" customHeight="1" thickBot="1">
      <c r="A22" s="450" t="s">
        <v>34</v>
      </c>
      <c r="B22" s="451"/>
      <c r="C22" s="451"/>
      <c r="D22" s="451"/>
      <c r="E22" s="451"/>
      <c r="F22" s="451"/>
      <c r="G22" s="451"/>
      <c r="H22" s="452"/>
      <c r="I22" s="25">
        <f t="shared" ref="I22:N22" si="17">SUM(I6:I21)</f>
        <v>1754500</v>
      </c>
      <c r="J22" s="22">
        <f t="shared" si="17"/>
        <v>148863</v>
      </c>
      <c r="K22" s="23">
        <f t="shared" si="17"/>
        <v>880945</v>
      </c>
      <c r="L22" s="24">
        <f t="shared" si="17"/>
        <v>136572</v>
      </c>
      <c r="M22" s="23">
        <f t="shared" si="17"/>
        <v>136572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171</v>
      </c>
      <c r="Q22" s="46">
        <f t="shared" si="18"/>
        <v>213</v>
      </c>
      <c r="R22" s="26">
        <f t="shared" si="18"/>
        <v>35</v>
      </c>
      <c r="S22" s="27">
        <f t="shared" si="18"/>
        <v>44</v>
      </c>
      <c r="T22" s="27">
        <f t="shared" si="18"/>
        <v>6</v>
      </c>
      <c r="U22" s="27">
        <f t="shared" si="18"/>
        <v>0</v>
      </c>
      <c r="V22" s="28">
        <f t="shared" si="18"/>
        <v>24</v>
      </c>
      <c r="W22" s="29">
        <f t="shared" si="18"/>
        <v>104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0.73333333333333328</v>
      </c>
      <c r="AC22" s="4">
        <f>SUM(AC6:AC21)/15</f>
        <v>0.47499999999999998</v>
      </c>
      <c r="AD22" s="4">
        <f>SUM(AD6:AD21)/15</f>
        <v>0.47499999999999998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4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53" t="s">
        <v>45</v>
      </c>
      <c r="B49" s="453"/>
      <c r="C49" s="453"/>
      <c r="D49" s="453"/>
      <c r="E49" s="453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54" t="s">
        <v>267</v>
      </c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6"/>
      <c r="N50" s="457" t="s">
        <v>271</v>
      </c>
      <c r="O50" s="458"/>
      <c r="P50" s="458"/>
      <c r="Q50" s="458"/>
      <c r="R50" s="458"/>
      <c r="S50" s="458"/>
      <c r="T50" s="458"/>
      <c r="U50" s="458"/>
      <c r="V50" s="458"/>
      <c r="W50" s="458"/>
      <c r="X50" s="458"/>
      <c r="Y50" s="458"/>
      <c r="Z50" s="458"/>
      <c r="AA50" s="458"/>
      <c r="AB50" s="458"/>
      <c r="AC50" s="458"/>
      <c r="AD50" s="459"/>
    </row>
    <row r="51" spans="1:32" ht="27" customHeight="1">
      <c r="A51" s="460" t="s">
        <v>2</v>
      </c>
      <c r="B51" s="461"/>
      <c r="C51" s="162" t="s">
        <v>46</v>
      </c>
      <c r="D51" s="162" t="s">
        <v>47</v>
      </c>
      <c r="E51" s="162" t="s">
        <v>108</v>
      </c>
      <c r="F51" s="461" t="s">
        <v>107</v>
      </c>
      <c r="G51" s="461"/>
      <c r="H51" s="461"/>
      <c r="I51" s="461"/>
      <c r="J51" s="461"/>
      <c r="K51" s="461"/>
      <c r="L51" s="461"/>
      <c r="M51" s="462"/>
      <c r="N51" s="73" t="s">
        <v>112</v>
      </c>
      <c r="O51" s="162" t="s">
        <v>46</v>
      </c>
      <c r="P51" s="463" t="s">
        <v>47</v>
      </c>
      <c r="Q51" s="464"/>
      <c r="R51" s="463" t="s">
        <v>38</v>
      </c>
      <c r="S51" s="465"/>
      <c r="T51" s="465"/>
      <c r="U51" s="464"/>
      <c r="V51" s="463" t="s">
        <v>48</v>
      </c>
      <c r="W51" s="465"/>
      <c r="X51" s="465"/>
      <c r="Y51" s="465"/>
      <c r="Z51" s="465"/>
      <c r="AA51" s="465"/>
      <c r="AB51" s="465"/>
      <c r="AC51" s="465"/>
      <c r="AD51" s="466"/>
    </row>
    <row r="52" spans="1:32" ht="27" customHeight="1">
      <c r="A52" s="434" t="s">
        <v>192</v>
      </c>
      <c r="B52" s="435"/>
      <c r="C52" s="164" t="s">
        <v>193</v>
      </c>
      <c r="D52" s="164" t="s">
        <v>194</v>
      </c>
      <c r="E52" s="164" t="s">
        <v>191</v>
      </c>
      <c r="F52" s="445" t="s">
        <v>270</v>
      </c>
      <c r="G52" s="446"/>
      <c r="H52" s="446"/>
      <c r="I52" s="446"/>
      <c r="J52" s="446"/>
      <c r="K52" s="446"/>
      <c r="L52" s="446"/>
      <c r="M52" s="447"/>
      <c r="N52" s="163" t="s">
        <v>123</v>
      </c>
      <c r="O52" s="124" t="s">
        <v>247</v>
      </c>
      <c r="P52" s="443" t="s">
        <v>227</v>
      </c>
      <c r="Q52" s="444"/>
      <c r="R52" s="435" t="s">
        <v>141</v>
      </c>
      <c r="S52" s="435"/>
      <c r="T52" s="435"/>
      <c r="U52" s="435"/>
      <c r="V52" s="426" t="s">
        <v>207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192</v>
      </c>
      <c r="B53" s="435"/>
      <c r="C53" s="164" t="s">
        <v>154</v>
      </c>
      <c r="D53" s="164" t="s">
        <v>257</v>
      </c>
      <c r="E53" s="164" t="s">
        <v>258</v>
      </c>
      <c r="F53" s="445" t="s">
        <v>171</v>
      </c>
      <c r="G53" s="446"/>
      <c r="H53" s="446"/>
      <c r="I53" s="446"/>
      <c r="J53" s="446"/>
      <c r="K53" s="446"/>
      <c r="L53" s="446"/>
      <c r="M53" s="447"/>
      <c r="N53" s="163" t="s">
        <v>114</v>
      </c>
      <c r="O53" s="124" t="s">
        <v>173</v>
      </c>
      <c r="P53" s="443" t="s">
        <v>127</v>
      </c>
      <c r="Q53" s="444"/>
      <c r="R53" s="435" t="s">
        <v>273</v>
      </c>
      <c r="S53" s="435"/>
      <c r="T53" s="435"/>
      <c r="U53" s="435"/>
      <c r="V53" s="426" t="s">
        <v>274</v>
      </c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 t="s">
        <v>115</v>
      </c>
      <c r="B54" s="435"/>
      <c r="C54" s="164" t="s">
        <v>178</v>
      </c>
      <c r="D54" s="164"/>
      <c r="E54" s="164" t="s">
        <v>262</v>
      </c>
      <c r="F54" s="445" t="s">
        <v>171</v>
      </c>
      <c r="G54" s="446"/>
      <c r="H54" s="446"/>
      <c r="I54" s="446"/>
      <c r="J54" s="446"/>
      <c r="K54" s="446"/>
      <c r="L54" s="446"/>
      <c r="M54" s="447"/>
      <c r="N54" s="163" t="s">
        <v>114</v>
      </c>
      <c r="O54" s="124" t="s">
        <v>275</v>
      </c>
      <c r="P54" s="435" t="s">
        <v>117</v>
      </c>
      <c r="Q54" s="435"/>
      <c r="R54" s="435" t="s">
        <v>159</v>
      </c>
      <c r="S54" s="435"/>
      <c r="T54" s="435"/>
      <c r="U54" s="435"/>
      <c r="V54" s="426" t="s">
        <v>207</v>
      </c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 t="s">
        <v>123</v>
      </c>
      <c r="B55" s="435"/>
      <c r="C55" s="164" t="s">
        <v>225</v>
      </c>
      <c r="D55" s="164" t="s">
        <v>263</v>
      </c>
      <c r="E55" s="164" t="s">
        <v>264</v>
      </c>
      <c r="F55" s="445" t="s">
        <v>171</v>
      </c>
      <c r="G55" s="446"/>
      <c r="H55" s="446"/>
      <c r="I55" s="446"/>
      <c r="J55" s="446"/>
      <c r="K55" s="446"/>
      <c r="L55" s="446"/>
      <c r="M55" s="447"/>
      <c r="N55" s="163" t="s">
        <v>123</v>
      </c>
      <c r="O55" s="124" t="s">
        <v>122</v>
      </c>
      <c r="P55" s="443" t="s">
        <v>119</v>
      </c>
      <c r="Q55" s="444"/>
      <c r="R55" s="435" t="s">
        <v>147</v>
      </c>
      <c r="S55" s="435"/>
      <c r="T55" s="435"/>
      <c r="U55" s="435"/>
      <c r="V55" s="426" t="s">
        <v>130</v>
      </c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 t="s">
        <v>123</v>
      </c>
      <c r="B56" s="435"/>
      <c r="C56" s="164" t="s">
        <v>219</v>
      </c>
      <c r="D56" s="164" t="s">
        <v>268</v>
      </c>
      <c r="E56" s="164" t="s">
        <v>269</v>
      </c>
      <c r="F56" s="445" t="s">
        <v>171</v>
      </c>
      <c r="G56" s="446"/>
      <c r="H56" s="446"/>
      <c r="I56" s="446"/>
      <c r="J56" s="446"/>
      <c r="K56" s="446"/>
      <c r="L56" s="446"/>
      <c r="M56" s="447"/>
      <c r="N56" s="163"/>
      <c r="O56" s="124"/>
      <c r="P56" s="435"/>
      <c r="Q56" s="435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 t="s">
        <v>260</v>
      </c>
      <c r="B57" s="435"/>
      <c r="C57" s="164" t="s">
        <v>173</v>
      </c>
      <c r="D57" s="164"/>
      <c r="E57" s="164" t="s">
        <v>261</v>
      </c>
      <c r="F57" s="445" t="s">
        <v>171</v>
      </c>
      <c r="G57" s="446"/>
      <c r="H57" s="446"/>
      <c r="I57" s="446"/>
      <c r="J57" s="446"/>
      <c r="K57" s="446"/>
      <c r="L57" s="446"/>
      <c r="M57" s="447"/>
      <c r="N57" s="163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 t="s">
        <v>260</v>
      </c>
      <c r="B58" s="435"/>
      <c r="C58" s="164" t="s">
        <v>219</v>
      </c>
      <c r="D58" s="164"/>
      <c r="E58" s="164" t="s">
        <v>265</v>
      </c>
      <c r="F58" s="445" t="s">
        <v>171</v>
      </c>
      <c r="G58" s="446"/>
      <c r="H58" s="446"/>
      <c r="I58" s="446"/>
      <c r="J58" s="446"/>
      <c r="K58" s="446"/>
      <c r="L58" s="446"/>
      <c r="M58" s="447"/>
      <c r="N58" s="163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 t="s">
        <v>123</v>
      </c>
      <c r="B59" s="435"/>
      <c r="C59" s="164" t="s">
        <v>247</v>
      </c>
      <c r="D59" s="164" t="s">
        <v>227</v>
      </c>
      <c r="E59" s="164" t="s">
        <v>141</v>
      </c>
      <c r="F59" s="426" t="s">
        <v>272</v>
      </c>
      <c r="G59" s="426"/>
      <c r="H59" s="426"/>
      <c r="I59" s="426"/>
      <c r="J59" s="426"/>
      <c r="K59" s="426"/>
      <c r="L59" s="426"/>
      <c r="M59" s="436"/>
      <c r="N59" s="163"/>
      <c r="O59" s="124"/>
      <c r="P59" s="443"/>
      <c r="Q59" s="444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</row>
    <row r="60" spans="1:32" ht="27" customHeight="1">
      <c r="A60" s="434" t="s">
        <v>114</v>
      </c>
      <c r="B60" s="435"/>
      <c r="C60" s="164" t="s">
        <v>275</v>
      </c>
      <c r="D60" s="164" t="s">
        <v>117</v>
      </c>
      <c r="E60" s="164" t="s">
        <v>159</v>
      </c>
      <c r="F60" s="445" t="s">
        <v>276</v>
      </c>
      <c r="G60" s="446"/>
      <c r="H60" s="446"/>
      <c r="I60" s="446"/>
      <c r="J60" s="446"/>
      <c r="K60" s="446"/>
      <c r="L60" s="446"/>
      <c r="M60" s="447"/>
      <c r="N60" s="163"/>
      <c r="O60" s="124"/>
      <c r="P60" s="435"/>
      <c r="Q60" s="435"/>
      <c r="R60" s="435"/>
      <c r="S60" s="435"/>
      <c r="T60" s="435"/>
      <c r="U60" s="435"/>
      <c r="V60" s="426"/>
      <c r="W60" s="426"/>
      <c r="X60" s="426"/>
      <c r="Y60" s="426"/>
      <c r="Z60" s="426"/>
      <c r="AA60" s="426"/>
      <c r="AB60" s="426"/>
      <c r="AC60" s="426"/>
      <c r="AD60" s="436"/>
      <c r="AF60" s="93">
        <f>8*3000</f>
        <v>24000</v>
      </c>
    </row>
    <row r="61" spans="1:32" ht="27" customHeight="1" thickBot="1">
      <c r="A61" s="437"/>
      <c r="B61" s="438"/>
      <c r="C61" s="166"/>
      <c r="D61" s="166"/>
      <c r="E61" s="166"/>
      <c r="F61" s="439"/>
      <c r="G61" s="439"/>
      <c r="H61" s="439"/>
      <c r="I61" s="439"/>
      <c r="J61" s="439"/>
      <c r="K61" s="439"/>
      <c r="L61" s="439"/>
      <c r="M61" s="440"/>
      <c r="N61" s="165"/>
      <c r="O61" s="120"/>
      <c r="P61" s="438"/>
      <c r="Q61" s="438"/>
      <c r="R61" s="438"/>
      <c r="S61" s="438"/>
      <c r="T61" s="438"/>
      <c r="U61" s="438"/>
      <c r="V61" s="441"/>
      <c r="W61" s="441"/>
      <c r="X61" s="441"/>
      <c r="Y61" s="441"/>
      <c r="Z61" s="441"/>
      <c r="AA61" s="441"/>
      <c r="AB61" s="441"/>
      <c r="AC61" s="441"/>
      <c r="AD61" s="442"/>
      <c r="AF61" s="93">
        <f>16*3000</f>
        <v>48000</v>
      </c>
    </row>
    <row r="62" spans="1:32" ht="27.75" thickBot="1">
      <c r="A62" s="432" t="s">
        <v>277</v>
      </c>
      <c r="B62" s="432"/>
      <c r="C62" s="432"/>
      <c r="D62" s="432"/>
      <c r="E62" s="432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3">
        <v>24000</v>
      </c>
    </row>
    <row r="63" spans="1:32" ht="29.25" customHeight="1" thickBot="1">
      <c r="A63" s="433" t="s">
        <v>113</v>
      </c>
      <c r="B63" s="430"/>
      <c r="C63" s="167" t="s">
        <v>2</v>
      </c>
      <c r="D63" s="167" t="s">
        <v>37</v>
      </c>
      <c r="E63" s="167" t="s">
        <v>3</v>
      </c>
      <c r="F63" s="430" t="s">
        <v>110</v>
      </c>
      <c r="G63" s="430"/>
      <c r="H63" s="430"/>
      <c r="I63" s="430"/>
      <c r="J63" s="430"/>
      <c r="K63" s="430" t="s">
        <v>39</v>
      </c>
      <c r="L63" s="430"/>
      <c r="M63" s="167" t="s">
        <v>40</v>
      </c>
      <c r="N63" s="430" t="s">
        <v>41</v>
      </c>
      <c r="O63" s="430"/>
      <c r="P63" s="427" t="s">
        <v>42</v>
      </c>
      <c r="Q63" s="429"/>
      <c r="R63" s="427" t="s">
        <v>43</v>
      </c>
      <c r="S63" s="428"/>
      <c r="T63" s="428"/>
      <c r="U63" s="428"/>
      <c r="V63" s="428"/>
      <c r="W63" s="428"/>
      <c r="X63" s="428"/>
      <c r="Y63" s="428"/>
      <c r="Z63" s="428"/>
      <c r="AA63" s="429"/>
      <c r="AB63" s="430" t="s">
        <v>44</v>
      </c>
      <c r="AC63" s="430"/>
      <c r="AD63" s="431"/>
      <c r="AF63" s="93">
        <f>SUM(AF60:AF62)</f>
        <v>96000</v>
      </c>
    </row>
    <row r="64" spans="1:32" ht="25.5" customHeight="1">
      <c r="A64" s="422">
        <v>1</v>
      </c>
      <c r="B64" s="423"/>
      <c r="C64" s="123" t="s">
        <v>123</v>
      </c>
      <c r="D64" s="170"/>
      <c r="E64" s="168" t="s">
        <v>227</v>
      </c>
      <c r="F64" s="424" t="s">
        <v>141</v>
      </c>
      <c r="G64" s="416"/>
      <c r="H64" s="416"/>
      <c r="I64" s="416"/>
      <c r="J64" s="416"/>
      <c r="K64" s="416" t="s">
        <v>121</v>
      </c>
      <c r="L64" s="416"/>
      <c r="M64" s="54" t="s">
        <v>253</v>
      </c>
      <c r="N64" s="416">
        <v>11</v>
      </c>
      <c r="O64" s="416"/>
      <c r="P64" s="425">
        <v>100</v>
      </c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2</v>
      </c>
      <c r="B65" s="423"/>
      <c r="C65" s="123"/>
      <c r="D65" s="170"/>
      <c r="E65" s="168"/>
      <c r="F65" s="424"/>
      <c r="G65" s="416"/>
      <c r="H65" s="416"/>
      <c r="I65" s="416"/>
      <c r="J65" s="416"/>
      <c r="K65" s="416"/>
      <c r="L65" s="416"/>
      <c r="M65" s="54"/>
      <c r="N65" s="416"/>
      <c r="O65" s="416"/>
      <c r="P65" s="425"/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3</v>
      </c>
      <c r="B66" s="423"/>
      <c r="C66" s="123"/>
      <c r="D66" s="170"/>
      <c r="E66" s="168"/>
      <c r="F66" s="424"/>
      <c r="G66" s="416"/>
      <c r="H66" s="416"/>
      <c r="I66" s="416"/>
      <c r="J66" s="416"/>
      <c r="K66" s="416"/>
      <c r="L66" s="416"/>
      <c r="M66" s="54"/>
      <c r="N66" s="416"/>
      <c r="O66" s="416"/>
      <c r="P66" s="425"/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4</v>
      </c>
      <c r="B67" s="423"/>
      <c r="C67" s="123"/>
      <c r="D67" s="170"/>
      <c r="E67" s="168"/>
      <c r="F67" s="424"/>
      <c r="G67" s="416"/>
      <c r="H67" s="416"/>
      <c r="I67" s="416"/>
      <c r="J67" s="416"/>
      <c r="K67" s="416"/>
      <c r="L67" s="416"/>
      <c r="M67" s="54"/>
      <c r="N67" s="416"/>
      <c r="O67" s="416"/>
      <c r="P67" s="425"/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5</v>
      </c>
      <c r="B68" s="423"/>
      <c r="C68" s="123"/>
      <c r="D68" s="170"/>
      <c r="E68" s="168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6</v>
      </c>
      <c r="B69" s="423"/>
      <c r="C69" s="123"/>
      <c r="D69" s="170"/>
      <c r="E69" s="168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7</v>
      </c>
      <c r="B70" s="423"/>
      <c r="C70" s="123"/>
      <c r="D70" s="170"/>
      <c r="E70" s="168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5.5" customHeight="1">
      <c r="A71" s="422">
        <v>8</v>
      </c>
      <c r="B71" s="423"/>
      <c r="C71" s="123"/>
      <c r="D71" s="170"/>
      <c r="E71" s="168"/>
      <c r="F71" s="424"/>
      <c r="G71" s="416"/>
      <c r="H71" s="416"/>
      <c r="I71" s="416"/>
      <c r="J71" s="416"/>
      <c r="K71" s="416"/>
      <c r="L71" s="416"/>
      <c r="M71" s="54"/>
      <c r="N71" s="416"/>
      <c r="O71" s="416"/>
      <c r="P71" s="425"/>
      <c r="Q71" s="425"/>
      <c r="R71" s="426"/>
      <c r="S71" s="426"/>
      <c r="T71" s="426"/>
      <c r="U71" s="426"/>
      <c r="V71" s="426"/>
      <c r="W71" s="426"/>
      <c r="X71" s="426"/>
      <c r="Y71" s="426"/>
      <c r="Z71" s="426"/>
      <c r="AA71" s="426"/>
      <c r="AB71" s="416"/>
      <c r="AC71" s="416"/>
      <c r="AD71" s="417"/>
      <c r="AF71" s="53"/>
    </row>
    <row r="72" spans="1:32" ht="26.25" customHeight="1" thickBot="1">
      <c r="A72" s="396" t="s">
        <v>278</v>
      </c>
      <c r="B72" s="396"/>
      <c r="C72" s="396"/>
      <c r="D72" s="396"/>
      <c r="E72" s="396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97" t="s">
        <v>113</v>
      </c>
      <c r="B73" s="398"/>
      <c r="C73" s="169" t="s">
        <v>2</v>
      </c>
      <c r="D73" s="169" t="s">
        <v>37</v>
      </c>
      <c r="E73" s="169" t="s">
        <v>3</v>
      </c>
      <c r="F73" s="398" t="s">
        <v>38</v>
      </c>
      <c r="G73" s="398"/>
      <c r="H73" s="398"/>
      <c r="I73" s="398"/>
      <c r="J73" s="398"/>
      <c r="K73" s="418" t="s">
        <v>58</v>
      </c>
      <c r="L73" s="419"/>
      <c r="M73" s="419"/>
      <c r="N73" s="419"/>
      <c r="O73" s="419"/>
      <c r="P73" s="419"/>
      <c r="Q73" s="419"/>
      <c r="R73" s="419"/>
      <c r="S73" s="420"/>
      <c r="T73" s="398" t="s">
        <v>49</v>
      </c>
      <c r="U73" s="398"/>
      <c r="V73" s="418" t="s">
        <v>50</v>
      </c>
      <c r="W73" s="420"/>
      <c r="X73" s="419" t="s">
        <v>51</v>
      </c>
      <c r="Y73" s="419"/>
      <c r="Z73" s="419"/>
      <c r="AA73" s="419"/>
      <c r="AB73" s="419"/>
      <c r="AC73" s="419"/>
      <c r="AD73" s="421"/>
      <c r="AF73" s="53"/>
    </row>
    <row r="74" spans="1:32" ht="33.75" customHeight="1">
      <c r="A74" s="390">
        <v>1</v>
      </c>
      <c r="B74" s="391"/>
      <c r="C74" s="171" t="s">
        <v>114</v>
      </c>
      <c r="D74" s="171"/>
      <c r="E74" s="71" t="s">
        <v>127</v>
      </c>
      <c r="F74" s="405" t="s">
        <v>126</v>
      </c>
      <c r="G74" s="406"/>
      <c r="H74" s="406"/>
      <c r="I74" s="406"/>
      <c r="J74" s="407"/>
      <c r="K74" s="408" t="s">
        <v>128</v>
      </c>
      <c r="L74" s="409"/>
      <c r="M74" s="409"/>
      <c r="N74" s="409"/>
      <c r="O74" s="409"/>
      <c r="P74" s="409"/>
      <c r="Q74" s="409"/>
      <c r="R74" s="409"/>
      <c r="S74" s="410"/>
      <c r="T74" s="411">
        <v>43384</v>
      </c>
      <c r="U74" s="412"/>
      <c r="V74" s="413"/>
      <c r="W74" s="413"/>
      <c r="X74" s="414"/>
      <c r="Y74" s="414"/>
      <c r="Z74" s="414"/>
      <c r="AA74" s="414"/>
      <c r="AB74" s="414"/>
      <c r="AC74" s="414"/>
      <c r="AD74" s="415"/>
      <c r="AF74" s="53"/>
    </row>
    <row r="75" spans="1:32" ht="30" customHeight="1">
      <c r="A75" s="383">
        <f>A74+1</f>
        <v>2</v>
      </c>
      <c r="B75" s="384"/>
      <c r="C75" s="170"/>
      <c r="D75" s="170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ref="A76:A82" si="19">A75+1</f>
        <v>3</v>
      </c>
      <c r="B76" s="384"/>
      <c r="C76" s="170"/>
      <c r="D76" s="170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9"/>
        <v>4</v>
      </c>
      <c r="B77" s="384"/>
      <c r="C77" s="170"/>
      <c r="D77" s="170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9"/>
        <v>5</v>
      </c>
      <c r="B78" s="384"/>
      <c r="C78" s="170"/>
      <c r="D78" s="170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9"/>
        <v>6</v>
      </c>
      <c r="B79" s="384"/>
      <c r="C79" s="170"/>
      <c r="D79" s="170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9"/>
        <v>7</v>
      </c>
      <c r="B80" s="384"/>
      <c r="C80" s="170"/>
      <c r="D80" s="170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9"/>
        <v>8</v>
      </c>
      <c r="B81" s="384"/>
      <c r="C81" s="170"/>
      <c r="D81" s="170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0" customHeight="1">
      <c r="A82" s="383">
        <f t="shared" si="19"/>
        <v>9</v>
      </c>
      <c r="B82" s="384"/>
      <c r="C82" s="170"/>
      <c r="D82" s="170"/>
      <c r="E82" s="35"/>
      <c r="F82" s="384"/>
      <c r="G82" s="384"/>
      <c r="H82" s="384"/>
      <c r="I82" s="384"/>
      <c r="J82" s="384"/>
      <c r="K82" s="399"/>
      <c r="L82" s="400"/>
      <c r="M82" s="400"/>
      <c r="N82" s="400"/>
      <c r="O82" s="400"/>
      <c r="P82" s="400"/>
      <c r="Q82" s="400"/>
      <c r="R82" s="400"/>
      <c r="S82" s="401"/>
      <c r="T82" s="402"/>
      <c r="U82" s="402"/>
      <c r="V82" s="402"/>
      <c r="W82" s="402"/>
      <c r="X82" s="403"/>
      <c r="Y82" s="403"/>
      <c r="Z82" s="403"/>
      <c r="AA82" s="403"/>
      <c r="AB82" s="403"/>
      <c r="AC82" s="403"/>
      <c r="AD82" s="404"/>
      <c r="AF82" s="53"/>
    </row>
    <row r="83" spans="1:32" ht="36" thickBot="1">
      <c r="A83" s="396" t="s">
        <v>279</v>
      </c>
      <c r="B83" s="396"/>
      <c r="C83" s="396"/>
      <c r="D83" s="396"/>
      <c r="E83" s="396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97" t="s">
        <v>113</v>
      </c>
      <c r="B84" s="398"/>
      <c r="C84" s="388" t="s">
        <v>52</v>
      </c>
      <c r="D84" s="388"/>
      <c r="E84" s="388" t="s">
        <v>53</v>
      </c>
      <c r="F84" s="388"/>
      <c r="G84" s="388"/>
      <c r="H84" s="388"/>
      <c r="I84" s="388"/>
      <c r="J84" s="388"/>
      <c r="K84" s="388" t="s">
        <v>54</v>
      </c>
      <c r="L84" s="388"/>
      <c r="M84" s="388"/>
      <c r="N84" s="388"/>
      <c r="O84" s="388"/>
      <c r="P84" s="388"/>
      <c r="Q84" s="388"/>
      <c r="R84" s="388"/>
      <c r="S84" s="388"/>
      <c r="T84" s="388" t="s">
        <v>55</v>
      </c>
      <c r="U84" s="388"/>
      <c r="V84" s="388" t="s">
        <v>56</v>
      </c>
      <c r="W84" s="388"/>
      <c r="X84" s="388"/>
      <c r="Y84" s="388" t="s">
        <v>51</v>
      </c>
      <c r="Z84" s="388"/>
      <c r="AA84" s="388"/>
      <c r="AB84" s="388"/>
      <c r="AC84" s="388"/>
      <c r="AD84" s="389"/>
      <c r="AF84" s="53"/>
    </row>
    <row r="85" spans="1:32" ht="30.75" customHeight="1">
      <c r="A85" s="390">
        <v>1</v>
      </c>
      <c r="B85" s="391"/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3"/>
      <c r="W85" s="393"/>
      <c r="X85" s="393"/>
      <c r="Y85" s="394"/>
      <c r="Z85" s="394"/>
      <c r="AA85" s="394"/>
      <c r="AB85" s="394"/>
      <c r="AC85" s="394"/>
      <c r="AD85" s="395"/>
      <c r="AF85" s="53"/>
    </row>
    <row r="86" spans="1:32" ht="30.75" customHeight="1">
      <c r="A86" s="383">
        <v>2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6"/>
      <c r="U86" s="386"/>
      <c r="V86" s="387"/>
      <c r="W86" s="387"/>
      <c r="X86" s="387"/>
      <c r="Y86" s="376"/>
      <c r="Z86" s="376"/>
      <c r="AA86" s="376"/>
      <c r="AB86" s="376"/>
      <c r="AC86" s="376"/>
      <c r="AD86" s="377"/>
      <c r="AF86" s="53"/>
    </row>
    <row r="87" spans="1:32" ht="30.75" customHeight="1" thickBot="1">
      <c r="A87" s="378">
        <v>3</v>
      </c>
      <c r="B87" s="379"/>
      <c r="C87" s="380"/>
      <c r="D87" s="380"/>
      <c r="E87" s="380"/>
      <c r="F87" s="380"/>
      <c r="G87" s="380"/>
      <c r="H87" s="380"/>
      <c r="I87" s="380"/>
      <c r="J87" s="380"/>
      <c r="K87" s="380"/>
      <c r="L87" s="380"/>
      <c r="M87" s="380"/>
      <c r="N87" s="380"/>
      <c r="O87" s="380"/>
      <c r="P87" s="380"/>
      <c r="Q87" s="380"/>
      <c r="R87" s="380"/>
      <c r="S87" s="380"/>
      <c r="T87" s="380"/>
      <c r="U87" s="380"/>
      <c r="V87" s="380"/>
      <c r="W87" s="380"/>
      <c r="X87" s="380"/>
      <c r="Y87" s="381"/>
      <c r="Z87" s="381"/>
      <c r="AA87" s="381"/>
      <c r="AB87" s="381"/>
      <c r="AC87" s="381"/>
      <c r="AD87" s="382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E0C2-AC44-416C-832D-E6FCC58B0B01}">
  <sheetPr>
    <pageSetUpPr fitToPage="1"/>
  </sheetPr>
  <dimension ref="A1:AF86"/>
  <sheetViews>
    <sheetView zoomScale="72" zoomScaleNormal="72" zoomScaleSheetLayoutView="70" workbookViewId="0">
      <selection activeCell="AD22" sqref="AD2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280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182" t="s">
        <v>17</v>
      </c>
      <c r="L5" s="182" t="s">
        <v>18</v>
      </c>
      <c r="M5" s="182" t="s">
        <v>19</v>
      </c>
      <c r="N5" s="18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0.36388888888888893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0.36388888888888893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192</v>
      </c>
      <c r="D8" s="55" t="s">
        <v>257</v>
      </c>
      <c r="E8" s="57" t="s">
        <v>258</v>
      </c>
      <c r="F8" s="33" t="s">
        <v>259</v>
      </c>
      <c r="G8" s="36">
        <v>3</v>
      </c>
      <c r="H8" s="38">
        <v>25</v>
      </c>
      <c r="I8" s="7">
        <v>20000</v>
      </c>
      <c r="J8" s="5">
        <v>11307</v>
      </c>
      <c r="K8" s="15">
        <f>L8+14004</f>
        <v>25311</v>
      </c>
      <c r="L8" s="15">
        <f>1150*3+2619*3</f>
        <v>11307</v>
      </c>
      <c r="M8" s="16">
        <f t="shared" si="0"/>
        <v>11307</v>
      </c>
      <c r="N8" s="16">
        <v>0</v>
      </c>
      <c r="O8" s="62">
        <f t="shared" si="1"/>
        <v>0</v>
      </c>
      <c r="P8" s="42">
        <f t="shared" si="2"/>
        <v>20</v>
      </c>
      <c r="Q8" s="43">
        <f t="shared" si="3"/>
        <v>4</v>
      </c>
      <c r="R8" s="7"/>
      <c r="S8" s="6"/>
      <c r="T8" s="17"/>
      <c r="U8" s="17"/>
      <c r="V8" s="18"/>
      <c r="W8" s="19">
        <v>4</v>
      </c>
      <c r="X8" s="17"/>
      <c r="Y8" s="20"/>
      <c r="Z8" s="20"/>
      <c r="AA8" s="21"/>
      <c r="AB8" s="8">
        <f t="shared" si="4"/>
        <v>1</v>
      </c>
      <c r="AC8" s="9">
        <f t="shared" si="5"/>
        <v>0.83333333333333337</v>
      </c>
      <c r="AD8" s="10">
        <f t="shared" si="6"/>
        <v>0.83333333333333337</v>
      </c>
      <c r="AE8" s="39">
        <f t="shared" si="7"/>
        <v>0.36388888888888893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260</v>
      </c>
      <c r="D9" s="55" t="s">
        <v>120</v>
      </c>
      <c r="E9" s="57" t="s">
        <v>261</v>
      </c>
      <c r="F9" s="33" t="s">
        <v>242</v>
      </c>
      <c r="G9" s="36">
        <v>1</v>
      </c>
      <c r="H9" s="38">
        <v>24</v>
      </c>
      <c r="I9" s="7">
        <v>1000</v>
      </c>
      <c r="J9" s="14">
        <v>1240</v>
      </c>
      <c r="K9" s="15">
        <f>L9+1240</f>
        <v>1240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0.36388888888888893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123</v>
      </c>
      <c r="D10" s="55" t="s">
        <v>119</v>
      </c>
      <c r="E10" s="57" t="s">
        <v>147</v>
      </c>
      <c r="F10" s="12" t="s">
        <v>121</v>
      </c>
      <c r="G10" s="12">
        <v>4</v>
      </c>
      <c r="H10" s="13">
        <v>25</v>
      </c>
      <c r="I10" s="7">
        <v>400000</v>
      </c>
      <c r="J10" s="14">
        <v>16996</v>
      </c>
      <c r="K10" s="15">
        <f>L10+23776+26072+26756+24764+18432+17192+18752+24536+24336</f>
        <v>221612</v>
      </c>
      <c r="L10" s="15">
        <f>3213*4+1036*4</f>
        <v>16996</v>
      </c>
      <c r="M10" s="16">
        <f t="shared" si="0"/>
        <v>16996</v>
      </c>
      <c r="N10" s="16">
        <v>0</v>
      </c>
      <c r="O10" s="62">
        <f t="shared" si="1"/>
        <v>0</v>
      </c>
      <c r="P10" s="42">
        <f t="shared" si="2"/>
        <v>21</v>
      </c>
      <c r="Q10" s="43">
        <f t="shared" si="3"/>
        <v>3</v>
      </c>
      <c r="R10" s="7"/>
      <c r="S10" s="6">
        <v>3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0.875</v>
      </c>
      <c r="AD10" s="10">
        <f t="shared" si="6"/>
        <v>0.875</v>
      </c>
      <c r="AE10" s="39">
        <f t="shared" si="7"/>
        <v>0.36388888888888893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123</v>
      </c>
      <c r="D11" s="55" t="s">
        <v>120</v>
      </c>
      <c r="E11" s="57" t="s">
        <v>150</v>
      </c>
      <c r="F11" s="12" t="s">
        <v>151</v>
      </c>
      <c r="G11" s="12">
        <v>1</v>
      </c>
      <c r="H11" s="13">
        <v>25</v>
      </c>
      <c r="I11" s="7">
        <v>35000</v>
      </c>
      <c r="J11" s="14">
        <v>1202</v>
      </c>
      <c r="K11" s="15">
        <f>L11+3530+5736+6036+5863+4843+3771+4692+5992+1202</f>
        <v>41665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0.36388888888888893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115</v>
      </c>
      <c r="D12" s="55"/>
      <c r="E12" s="57" t="s">
        <v>262</v>
      </c>
      <c r="F12" s="33" t="s">
        <v>116</v>
      </c>
      <c r="G12" s="36">
        <v>4</v>
      </c>
      <c r="H12" s="38">
        <v>24</v>
      </c>
      <c r="I12" s="7">
        <v>100000</v>
      </c>
      <c r="J12" s="14">
        <v>25580</v>
      </c>
      <c r="K12" s="15">
        <f>L12+32836</f>
        <v>58416</v>
      </c>
      <c r="L12" s="15">
        <f>3691*4+2704*4</f>
        <v>25580</v>
      </c>
      <c r="M12" s="16">
        <f t="shared" si="0"/>
        <v>25580</v>
      </c>
      <c r="N12" s="16">
        <v>0</v>
      </c>
      <c r="O12" s="62">
        <f t="shared" si="1"/>
        <v>0</v>
      </c>
      <c r="P12" s="42">
        <f t="shared" si="2"/>
        <v>20</v>
      </c>
      <c r="Q12" s="43">
        <f t="shared" si="3"/>
        <v>4</v>
      </c>
      <c r="R12" s="7">
        <v>4</v>
      </c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0.83333333333333337</v>
      </c>
      <c r="AD12" s="10">
        <f t="shared" si="6"/>
        <v>0.83333333333333337</v>
      </c>
      <c r="AE12" s="39">
        <f t="shared" si="7"/>
        <v>0.36388888888888893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123</v>
      </c>
      <c r="D13" s="55" t="s">
        <v>263</v>
      </c>
      <c r="E13" s="57" t="s">
        <v>264</v>
      </c>
      <c r="F13" s="33" t="s">
        <v>129</v>
      </c>
      <c r="G13" s="36">
        <v>1</v>
      </c>
      <c r="H13" s="38">
        <v>24</v>
      </c>
      <c r="I13" s="7">
        <v>3000</v>
      </c>
      <c r="J13" s="14">
        <v>3117</v>
      </c>
      <c r="K13" s="15">
        <f>L13+3117</f>
        <v>3117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0.36388888888888893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114</v>
      </c>
      <c r="D14" s="55" t="s">
        <v>117</v>
      </c>
      <c r="E14" s="57" t="s">
        <v>159</v>
      </c>
      <c r="F14" s="33" t="s">
        <v>160</v>
      </c>
      <c r="G14" s="36">
        <v>1</v>
      </c>
      <c r="H14" s="38">
        <v>25</v>
      </c>
      <c r="I14" s="7">
        <v>2000</v>
      </c>
      <c r="J14" s="5">
        <v>1240</v>
      </c>
      <c r="K14" s="15">
        <f>L14</f>
        <v>1240</v>
      </c>
      <c r="L14" s="15">
        <v>1240</v>
      </c>
      <c r="M14" s="16">
        <f t="shared" si="0"/>
        <v>1240</v>
      </c>
      <c r="N14" s="16">
        <v>0</v>
      </c>
      <c r="O14" s="62">
        <f t="shared" si="1"/>
        <v>0</v>
      </c>
      <c r="P14" s="42">
        <f t="shared" si="2"/>
        <v>11</v>
      </c>
      <c r="Q14" s="43">
        <f t="shared" si="3"/>
        <v>13</v>
      </c>
      <c r="R14" s="7"/>
      <c r="S14" s="6"/>
      <c r="T14" s="17"/>
      <c r="U14" s="17"/>
      <c r="V14" s="18">
        <v>13</v>
      </c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0.45833333333333331</v>
      </c>
      <c r="AD14" s="10">
        <f t="shared" si="6"/>
        <v>0.45833333333333331</v>
      </c>
      <c r="AE14" s="39">
        <f t="shared" si="7"/>
        <v>0.36388888888888893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192</v>
      </c>
      <c r="D15" s="55" t="s">
        <v>194</v>
      </c>
      <c r="E15" s="57" t="s">
        <v>191</v>
      </c>
      <c r="F15" s="12" t="s">
        <v>201</v>
      </c>
      <c r="G15" s="12">
        <v>4</v>
      </c>
      <c r="H15" s="13">
        <v>24</v>
      </c>
      <c r="I15" s="34">
        <v>30000</v>
      </c>
      <c r="J15" s="14">
        <v>12736</v>
      </c>
      <c r="K15" s="15">
        <f>L15+15852+24288+12736</f>
        <v>52876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>
        <v>24</v>
      </c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0.36388888888888893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11" t="s">
        <v>123</v>
      </c>
      <c r="D16" s="55" t="s">
        <v>142</v>
      </c>
      <c r="E16" s="57" t="s">
        <v>141</v>
      </c>
      <c r="F16" s="12" t="s">
        <v>121</v>
      </c>
      <c r="G16" s="12">
        <v>3</v>
      </c>
      <c r="H16" s="13">
        <v>25</v>
      </c>
      <c r="I16" s="7">
        <v>62000</v>
      </c>
      <c r="J16" s="14">
        <v>23913</v>
      </c>
      <c r="K16" s="15">
        <f>L16+2238</f>
        <v>26151</v>
      </c>
      <c r="L16" s="15">
        <f>3706*3+4265*3</f>
        <v>23913</v>
      </c>
      <c r="M16" s="16">
        <f t="shared" si="0"/>
        <v>23913</v>
      </c>
      <c r="N16" s="16">
        <v>0</v>
      </c>
      <c r="O16" s="62">
        <f t="shared" si="1"/>
        <v>0</v>
      </c>
      <c r="P16" s="42">
        <f t="shared" si="2"/>
        <v>19</v>
      </c>
      <c r="Q16" s="43">
        <f t="shared" si="3"/>
        <v>5</v>
      </c>
      <c r="R16" s="7"/>
      <c r="S16" s="6">
        <v>5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0.79166666666666663</v>
      </c>
      <c r="AD16" s="10">
        <f t="shared" si="6"/>
        <v>0.79166666666666663</v>
      </c>
      <c r="AE16" s="39">
        <f t="shared" si="7"/>
        <v>0.36388888888888893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123</v>
      </c>
      <c r="D17" s="55" t="s">
        <v>124</v>
      </c>
      <c r="E17" s="57" t="s">
        <v>148</v>
      </c>
      <c r="F17" s="12" t="s">
        <v>131</v>
      </c>
      <c r="G17" s="12">
        <v>4</v>
      </c>
      <c r="H17" s="13">
        <v>24</v>
      </c>
      <c r="I17" s="34">
        <v>400000</v>
      </c>
      <c r="J17" s="14">
        <v>25036</v>
      </c>
      <c r="K17" s="15">
        <f>L17+19964+21928+25296+24300+24768+24688+11104+18160+24312</f>
        <v>219556</v>
      </c>
      <c r="L17" s="15">
        <f>3422*4+2837*4</f>
        <v>25036</v>
      </c>
      <c r="M17" s="16">
        <f t="shared" si="0"/>
        <v>25036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0.36388888888888893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123</v>
      </c>
      <c r="D18" s="55" t="s">
        <v>117</v>
      </c>
      <c r="E18" s="57" t="s">
        <v>153</v>
      </c>
      <c r="F18" s="12" t="s">
        <v>129</v>
      </c>
      <c r="G18" s="36">
        <v>4</v>
      </c>
      <c r="H18" s="38">
        <v>24</v>
      </c>
      <c r="I18" s="7">
        <v>400000</v>
      </c>
      <c r="J18" s="5">
        <v>10224</v>
      </c>
      <c r="K18" s="15">
        <f>L18+12380+14384+22568+16460+13888+20848+20972+20888+19996</f>
        <v>172608</v>
      </c>
      <c r="L18" s="15">
        <f>976*4+1580*4</f>
        <v>10224</v>
      </c>
      <c r="M18" s="16">
        <f t="shared" si="0"/>
        <v>10224</v>
      </c>
      <c r="N18" s="16">
        <v>0</v>
      </c>
      <c r="O18" s="62">
        <f t="shared" si="1"/>
        <v>0</v>
      </c>
      <c r="P18" s="42">
        <f t="shared" si="2"/>
        <v>16</v>
      </c>
      <c r="Q18" s="43">
        <f t="shared" si="3"/>
        <v>8</v>
      </c>
      <c r="R18" s="7"/>
      <c r="S18" s="6">
        <v>8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0.66666666666666663</v>
      </c>
      <c r="AD18" s="10">
        <f t="shared" si="6"/>
        <v>0.66666666666666663</v>
      </c>
      <c r="AE18" s="39">
        <f t="shared" si="7"/>
        <v>0.36388888888888893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123</v>
      </c>
      <c r="D19" s="55" t="s">
        <v>268</v>
      </c>
      <c r="E19" s="57" t="s">
        <v>269</v>
      </c>
      <c r="F19" s="12" t="s">
        <v>129</v>
      </c>
      <c r="G19" s="36" t="s">
        <v>240</v>
      </c>
      <c r="H19" s="13">
        <v>24</v>
      </c>
      <c r="I19" s="7">
        <v>500</v>
      </c>
      <c r="J19" s="14">
        <v>585</v>
      </c>
      <c r="K19" s="15">
        <f>L19+585</f>
        <v>585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0.36388888888888893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133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L20+39648+30712+45256+43600+10476</f>
        <v>169692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0.36388888888888893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1753500</v>
      </c>
      <c r="J21" s="22">
        <f t="shared" si="9"/>
        <v>143652</v>
      </c>
      <c r="K21" s="23">
        <f t="shared" si="9"/>
        <v>994069</v>
      </c>
      <c r="L21" s="24">
        <f t="shared" si="9"/>
        <v>114296</v>
      </c>
      <c r="M21" s="23">
        <f t="shared" si="9"/>
        <v>114296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131</v>
      </c>
      <c r="Q21" s="46">
        <f t="shared" si="10"/>
        <v>229</v>
      </c>
      <c r="R21" s="26">
        <f t="shared" si="10"/>
        <v>52</v>
      </c>
      <c r="S21" s="27">
        <f t="shared" si="10"/>
        <v>16</v>
      </c>
      <c r="T21" s="27">
        <f t="shared" si="10"/>
        <v>0</v>
      </c>
      <c r="U21" s="27">
        <f t="shared" si="10"/>
        <v>0</v>
      </c>
      <c r="V21" s="28">
        <f t="shared" si="10"/>
        <v>13</v>
      </c>
      <c r="W21" s="29">
        <f t="shared" si="10"/>
        <v>148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0.46666666666666667</v>
      </c>
      <c r="AC21" s="4">
        <f>SUM(AC6:AC20)/15</f>
        <v>0.36388888888888893</v>
      </c>
      <c r="AD21" s="4">
        <f>SUM(AD6:AD20)/15</f>
        <v>0.36388888888888893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281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283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181" t="s">
        <v>46</v>
      </c>
      <c r="D50" s="181" t="s">
        <v>47</v>
      </c>
      <c r="E50" s="181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181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4" t="s">
        <v>114</v>
      </c>
      <c r="B51" s="435"/>
      <c r="C51" s="178" t="s">
        <v>275</v>
      </c>
      <c r="D51" s="178" t="s">
        <v>117</v>
      </c>
      <c r="E51" s="178" t="s">
        <v>159</v>
      </c>
      <c r="F51" s="445" t="s">
        <v>207</v>
      </c>
      <c r="G51" s="446"/>
      <c r="H51" s="446"/>
      <c r="I51" s="446"/>
      <c r="J51" s="446"/>
      <c r="K51" s="446"/>
      <c r="L51" s="446"/>
      <c r="M51" s="447"/>
      <c r="N51" s="177" t="s">
        <v>123</v>
      </c>
      <c r="O51" s="124" t="s">
        <v>247</v>
      </c>
      <c r="P51" s="443" t="s">
        <v>227</v>
      </c>
      <c r="Q51" s="444"/>
      <c r="R51" s="435" t="s">
        <v>141</v>
      </c>
      <c r="S51" s="435"/>
      <c r="T51" s="435"/>
      <c r="U51" s="435"/>
      <c r="V51" s="426" t="s">
        <v>207</v>
      </c>
      <c r="W51" s="426"/>
      <c r="X51" s="426"/>
      <c r="Y51" s="426"/>
      <c r="Z51" s="426"/>
      <c r="AA51" s="426"/>
      <c r="AB51" s="426"/>
      <c r="AC51" s="426"/>
      <c r="AD51" s="436"/>
    </row>
    <row r="52" spans="1:32" ht="27" customHeight="1">
      <c r="A52" s="434" t="s">
        <v>123</v>
      </c>
      <c r="B52" s="435"/>
      <c r="C52" s="178" t="s">
        <v>122</v>
      </c>
      <c r="D52" s="178" t="s">
        <v>119</v>
      </c>
      <c r="E52" s="178" t="s">
        <v>147</v>
      </c>
      <c r="F52" s="445" t="s">
        <v>130</v>
      </c>
      <c r="G52" s="446"/>
      <c r="H52" s="446"/>
      <c r="I52" s="446"/>
      <c r="J52" s="446"/>
      <c r="K52" s="446"/>
      <c r="L52" s="446"/>
      <c r="M52" s="447"/>
      <c r="N52" s="177" t="s">
        <v>114</v>
      </c>
      <c r="O52" s="124" t="s">
        <v>173</v>
      </c>
      <c r="P52" s="443" t="s">
        <v>127</v>
      </c>
      <c r="Q52" s="444"/>
      <c r="R52" s="435" t="s">
        <v>273</v>
      </c>
      <c r="S52" s="435"/>
      <c r="T52" s="435"/>
      <c r="U52" s="435"/>
      <c r="V52" s="426" t="s">
        <v>274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123</v>
      </c>
      <c r="B53" s="435"/>
      <c r="C53" s="178" t="s">
        <v>247</v>
      </c>
      <c r="D53" s="178" t="s">
        <v>227</v>
      </c>
      <c r="E53" s="178" t="s">
        <v>141</v>
      </c>
      <c r="F53" s="445" t="s">
        <v>282</v>
      </c>
      <c r="G53" s="446"/>
      <c r="H53" s="446"/>
      <c r="I53" s="446"/>
      <c r="J53" s="446"/>
      <c r="K53" s="446"/>
      <c r="L53" s="446"/>
      <c r="M53" s="447"/>
      <c r="N53" s="177" t="s">
        <v>114</v>
      </c>
      <c r="O53" s="124" t="s">
        <v>275</v>
      </c>
      <c r="P53" s="435" t="s">
        <v>117</v>
      </c>
      <c r="Q53" s="435"/>
      <c r="R53" s="435" t="s">
        <v>284</v>
      </c>
      <c r="S53" s="435"/>
      <c r="T53" s="435"/>
      <c r="U53" s="435"/>
      <c r="V53" s="426" t="s">
        <v>171</v>
      </c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 t="s">
        <v>123</v>
      </c>
      <c r="B54" s="435"/>
      <c r="C54" s="178" t="s">
        <v>166</v>
      </c>
      <c r="D54" s="178" t="s">
        <v>117</v>
      </c>
      <c r="E54" s="178" t="s">
        <v>153</v>
      </c>
      <c r="F54" s="445" t="s">
        <v>130</v>
      </c>
      <c r="G54" s="446"/>
      <c r="H54" s="446"/>
      <c r="I54" s="446"/>
      <c r="J54" s="446"/>
      <c r="K54" s="446"/>
      <c r="L54" s="446"/>
      <c r="M54" s="447"/>
      <c r="N54" s="177"/>
      <c r="O54" s="124"/>
      <c r="P54" s="443"/>
      <c r="Q54" s="444"/>
      <c r="R54" s="435"/>
      <c r="S54" s="435"/>
      <c r="T54" s="435"/>
      <c r="U54" s="435"/>
      <c r="V54" s="426"/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/>
      <c r="B55" s="435"/>
      <c r="C55" s="178"/>
      <c r="D55" s="178"/>
      <c r="E55" s="178"/>
      <c r="F55" s="445"/>
      <c r="G55" s="446"/>
      <c r="H55" s="446"/>
      <c r="I55" s="446"/>
      <c r="J55" s="446"/>
      <c r="K55" s="446"/>
      <c r="L55" s="446"/>
      <c r="M55" s="447"/>
      <c r="N55" s="177"/>
      <c r="O55" s="124"/>
      <c r="P55" s="435"/>
      <c r="Q55" s="435"/>
      <c r="R55" s="435"/>
      <c r="S55" s="435"/>
      <c r="T55" s="435"/>
      <c r="U55" s="435"/>
      <c r="V55" s="426"/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178"/>
      <c r="D56" s="178"/>
      <c r="E56" s="178"/>
      <c r="F56" s="445"/>
      <c r="G56" s="446"/>
      <c r="H56" s="446"/>
      <c r="I56" s="446"/>
      <c r="J56" s="446"/>
      <c r="K56" s="446"/>
      <c r="L56" s="446"/>
      <c r="M56" s="447"/>
      <c r="N56" s="177"/>
      <c r="O56" s="124"/>
      <c r="P56" s="443"/>
      <c r="Q56" s="444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178"/>
      <c r="D57" s="178"/>
      <c r="E57" s="178"/>
      <c r="F57" s="445"/>
      <c r="G57" s="446"/>
      <c r="H57" s="446"/>
      <c r="I57" s="446"/>
      <c r="J57" s="446"/>
      <c r="K57" s="446"/>
      <c r="L57" s="446"/>
      <c r="M57" s="447"/>
      <c r="N57" s="177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178"/>
      <c r="D58" s="178"/>
      <c r="E58" s="178"/>
      <c r="F58" s="426"/>
      <c r="G58" s="426"/>
      <c r="H58" s="426"/>
      <c r="I58" s="426"/>
      <c r="J58" s="426"/>
      <c r="K58" s="426"/>
      <c r="L58" s="426"/>
      <c r="M58" s="436"/>
      <c r="N58" s="177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178"/>
      <c r="D59" s="178"/>
      <c r="E59" s="178"/>
      <c r="F59" s="445"/>
      <c r="G59" s="446"/>
      <c r="H59" s="446"/>
      <c r="I59" s="446"/>
      <c r="J59" s="446"/>
      <c r="K59" s="446"/>
      <c r="L59" s="446"/>
      <c r="M59" s="447"/>
      <c r="N59" s="177"/>
      <c r="O59" s="124"/>
      <c r="P59" s="435"/>
      <c r="Q59" s="435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  <c r="AF59" s="93">
        <f>8*3000</f>
        <v>24000</v>
      </c>
    </row>
    <row r="60" spans="1:32" ht="27" customHeight="1" thickBot="1">
      <c r="A60" s="437"/>
      <c r="B60" s="438"/>
      <c r="C60" s="180"/>
      <c r="D60" s="180"/>
      <c r="E60" s="180"/>
      <c r="F60" s="439"/>
      <c r="G60" s="439"/>
      <c r="H60" s="439"/>
      <c r="I60" s="439"/>
      <c r="J60" s="439"/>
      <c r="K60" s="439"/>
      <c r="L60" s="439"/>
      <c r="M60" s="440"/>
      <c r="N60" s="179"/>
      <c r="O60" s="120"/>
      <c r="P60" s="438"/>
      <c r="Q60" s="438"/>
      <c r="R60" s="438"/>
      <c r="S60" s="438"/>
      <c r="T60" s="438"/>
      <c r="U60" s="438"/>
      <c r="V60" s="441"/>
      <c r="W60" s="441"/>
      <c r="X60" s="441"/>
      <c r="Y60" s="441"/>
      <c r="Z60" s="441"/>
      <c r="AA60" s="441"/>
      <c r="AB60" s="441"/>
      <c r="AC60" s="441"/>
      <c r="AD60" s="442"/>
      <c r="AF60" s="93">
        <f>16*3000</f>
        <v>48000</v>
      </c>
    </row>
    <row r="61" spans="1:32" ht="27.75" thickBot="1">
      <c r="A61" s="432" t="s">
        <v>285</v>
      </c>
      <c r="B61" s="432"/>
      <c r="C61" s="432"/>
      <c r="D61" s="432"/>
      <c r="E61" s="43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3" t="s">
        <v>113</v>
      </c>
      <c r="B62" s="430"/>
      <c r="C62" s="176" t="s">
        <v>2</v>
      </c>
      <c r="D62" s="176" t="s">
        <v>37</v>
      </c>
      <c r="E62" s="176" t="s">
        <v>3</v>
      </c>
      <c r="F62" s="430" t="s">
        <v>110</v>
      </c>
      <c r="G62" s="430"/>
      <c r="H62" s="430"/>
      <c r="I62" s="430"/>
      <c r="J62" s="430"/>
      <c r="K62" s="430" t="s">
        <v>39</v>
      </c>
      <c r="L62" s="430"/>
      <c r="M62" s="176" t="s">
        <v>40</v>
      </c>
      <c r="N62" s="430" t="s">
        <v>41</v>
      </c>
      <c r="O62" s="430"/>
      <c r="P62" s="427" t="s">
        <v>42</v>
      </c>
      <c r="Q62" s="429"/>
      <c r="R62" s="427" t="s">
        <v>43</v>
      </c>
      <c r="S62" s="428"/>
      <c r="T62" s="428"/>
      <c r="U62" s="428"/>
      <c r="V62" s="428"/>
      <c r="W62" s="428"/>
      <c r="X62" s="428"/>
      <c r="Y62" s="428"/>
      <c r="Z62" s="428"/>
      <c r="AA62" s="429"/>
      <c r="AB62" s="430" t="s">
        <v>44</v>
      </c>
      <c r="AC62" s="430"/>
      <c r="AD62" s="431"/>
      <c r="AF62" s="93">
        <f>SUM(AF59:AF61)</f>
        <v>96000</v>
      </c>
    </row>
    <row r="63" spans="1:32" ht="25.5" customHeight="1">
      <c r="A63" s="422">
        <v>1</v>
      </c>
      <c r="B63" s="423"/>
      <c r="C63" s="123"/>
      <c r="D63" s="172"/>
      <c r="E63" s="175"/>
      <c r="F63" s="424"/>
      <c r="G63" s="416"/>
      <c r="H63" s="416"/>
      <c r="I63" s="416"/>
      <c r="J63" s="416"/>
      <c r="K63" s="416"/>
      <c r="L63" s="416"/>
      <c r="M63" s="54"/>
      <c r="N63" s="416"/>
      <c r="O63" s="416"/>
      <c r="P63" s="425"/>
      <c r="Q63" s="425"/>
      <c r="R63" s="426"/>
      <c r="S63" s="426"/>
      <c r="T63" s="426"/>
      <c r="U63" s="426"/>
      <c r="V63" s="426"/>
      <c r="W63" s="426"/>
      <c r="X63" s="426"/>
      <c r="Y63" s="426"/>
      <c r="Z63" s="426"/>
      <c r="AA63" s="426"/>
      <c r="AB63" s="416"/>
      <c r="AC63" s="416"/>
      <c r="AD63" s="417"/>
      <c r="AF63" s="53"/>
    </row>
    <row r="64" spans="1:32" ht="25.5" customHeight="1">
      <c r="A64" s="422">
        <v>2</v>
      </c>
      <c r="B64" s="423"/>
      <c r="C64" s="123"/>
      <c r="D64" s="172"/>
      <c r="E64" s="175"/>
      <c r="F64" s="424"/>
      <c r="G64" s="416"/>
      <c r="H64" s="416"/>
      <c r="I64" s="416"/>
      <c r="J64" s="416"/>
      <c r="K64" s="416"/>
      <c r="L64" s="416"/>
      <c r="M64" s="54"/>
      <c r="N64" s="416"/>
      <c r="O64" s="416"/>
      <c r="P64" s="425"/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3</v>
      </c>
      <c r="B65" s="423"/>
      <c r="C65" s="123"/>
      <c r="D65" s="172"/>
      <c r="E65" s="175"/>
      <c r="F65" s="424"/>
      <c r="G65" s="416"/>
      <c r="H65" s="416"/>
      <c r="I65" s="416"/>
      <c r="J65" s="416"/>
      <c r="K65" s="416"/>
      <c r="L65" s="416"/>
      <c r="M65" s="54"/>
      <c r="N65" s="416"/>
      <c r="O65" s="416"/>
      <c r="P65" s="425"/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4</v>
      </c>
      <c r="B66" s="423"/>
      <c r="C66" s="123"/>
      <c r="D66" s="172"/>
      <c r="E66" s="175"/>
      <c r="F66" s="424"/>
      <c r="G66" s="416"/>
      <c r="H66" s="416"/>
      <c r="I66" s="416"/>
      <c r="J66" s="416"/>
      <c r="K66" s="416"/>
      <c r="L66" s="416"/>
      <c r="M66" s="54"/>
      <c r="N66" s="416"/>
      <c r="O66" s="416"/>
      <c r="P66" s="425"/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5</v>
      </c>
      <c r="B67" s="423"/>
      <c r="C67" s="123"/>
      <c r="D67" s="172"/>
      <c r="E67" s="175"/>
      <c r="F67" s="424"/>
      <c r="G67" s="416"/>
      <c r="H67" s="416"/>
      <c r="I67" s="416"/>
      <c r="J67" s="416"/>
      <c r="K67" s="416"/>
      <c r="L67" s="416"/>
      <c r="M67" s="54"/>
      <c r="N67" s="416"/>
      <c r="O67" s="416"/>
      <c r="P67" s="425"/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6</v>
      </c>
      <c r="B68" s="423"/>
      <c r="C68" s="123"/>
      <c r="D68" s="172"/>
      <c r="E68" s="175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7</v>
      </c>
      <c r="B69" s="423"/>
      <c r="C69" s="123"/>
      <c r="D69" s="172"/>
      <c r="E69" s="175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8</v>
      </c>
      <c r="B70" s="423"/>
      <c r="C70" s="123"/>
      <c r="D70" s="172"/>
      <c r="E70" s="175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6.25" customHeight="1" thickBot="1">
      <c r="A71" s="396" t="s">
        <v>286</v>
      </c>
      <c r="B71" s="396"/>
      <c r="C71" s="396"/>
      <c r="D71" s="396"/>
      <c r="E71" s="396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7" t="s">
        <v>113</v>
      </c>
      <c r="B72" s="398"/>
      <c r="C72" s="174" t="s">
        <v>2</v>
      </c>
      <c r="D72" s="174" t="s">
        <v>37</v>
      </c>
      <c r="E72" s="174" t="s">
        <v>3</v>
      </c>
      <c r="F72" s="398" t="s">
        <v>38</v>
      </c>
      <c r="G72" s="398"/>
      <c r="H72" s="398"/>
      <c r="I72" s="398"/>
      <c r="J72" s="398"/>
      <c r="K72" s="418" t="s">
        <v>58</v>
      </c>
      <c r="L72" s="419"/>
      <c r="M72" s="419"/>
      <c r="N72" s="419"/>
      <c r="O72" s="419"/>
      <c r="P72" s="419"/>
      <c r="Q72" s="419"/>
      <c r="R72" s="419"/>
      <c r="S72" s="420"/>
      <c r="T72" s="398" t="s">
        <v>49</v>
      </c>
      <c r="U72" s="398"/>
      <c r="V72" s="418" t="s">
        <v>50</v>
      </c>
      <c r="W72" s="420"/>
      <c r="X72" s="419" t="s">
        <v>51</v>
      </c>
      <c r="Y72" s="419"/>
      <c r="Z72" s="419"/>
      <c r="AA72" s="419"/>
      <c r="AB72" s="419"/>
      <c r="AC72" s="419"/>
      <c r="AD72" s="421"/>
      <c r="AF72" s="53"/>
    </row>
    <row r="73" spans="1:32" ht="33.75" customHeight="1">
      <c r="A73" s="390">
        <v>1</v>
      </c>
      <c r="B73" s="391"/>
      <c r="C73" s="173" t="s">
        <v>114</v>
      </c>
      <c r="D73" s="173"/>
      <c r="E73" s="71" t="s">
        <v>127</v>
      </c>
      <c r="F73" s="405" t="s">
        <v>126</v>
      </c>
      <c r="G73" s="406"/>
      <c r="H73" s="406"/>
      <c r="I73" s="406"/>
      <c r="J73" s="407"/>
      <c r="K73" s="408" t="s">
        <v>128</v>
      </c>
      <c r="L73" s="409"/>
      <c r="M73" s="409"/>
      <c r="N73" s="409"/>
      <c r="O73" s="409"/>
      <c r="P73" s="409"/>
      <c r="Q73" s="409"/>
      <c r="R73" s="409"/>
      <c r="S73" s="410"/>
      <c r="T73" s="411">
        <v>43384</v>
      </c>
      <c r="U73" s="412"/>
      <c r="V73" s="413"/>
      <c r="W73" s="413"/>
      <c r="X73" s="414"/>
      <c r="Y73" s="414"/>
      <c r="Z73" s="414"/>
      <c r="AA73" s="414"/>
      <c r="AB73" s="414"/>
      <c r="AC73" s="414"/>
      <c r="AD73" s="415"/>
      <c r="AF73" s="53"/>
    </row>
    <row r="74" spans="1:32" ht="30" customHeight="1">
      <c r="A74" s="383">
        <f>A73+1</f>
        <v>2</v>
      </c>
      <c r="B74" s="384"/>
      <c r="C74" s="172"/>
      <c r="D74" s="172"/>
      <c r="E74" s="35"/>
      <c r="F74" s="384"/>
      <c r="G74" s="384"/>
      <c r="H74" s="384"/>
      <c r="I74" s="384"/>
      <c r="J74" s="384"/>
      <c r="K74" s="399"/>
      <c r="L74" s="400"/>
      <c r="M74" s="400"/>
      <c r="N74" s="400"/>
      <c r="O74" s="400"/>
      <c r="P74" s="400"/>
      <c r="Q74" s="400"/>
      <c r="R74" s="400"/>
      <c r="S74" s="401"/>
      <c r="T74" s="402"/>
      <c r="U74" s="402"/>
      <c r="V74" s="402"/>
      <c r="W74" s="402"/>
      <c r="X74" s="403"/>
      <c r="Y74" s="403"/>
      <c r="Z74" s="403"/>
      <c r="AA74" s="403"/>
      <c r="AB74" s="403"/>
      <c r="AC74" s="403"/>
      <c r="AD74" s="404"/>
      <c r="AF74" s="53"/>
    </row>
    <row r="75" spans="1:32" ht="30" customHeight="1">
      <c r="A75" s="383">
        <f t="shared" ref="A75:A81" si="11">A74+1</f>
        <v>3</v>
      </c>
      <c r="B75" s="384"/>
      <c r="C75" s="172"/>
      <c r="D75" s="172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si="11"/>
        <v>4</v>
      </c>
      <c r="B76" s="384"/>
      <c r="C76" s="172"/>
      <c r="D76" s="172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1"/>
        <v>5</v>
      </c>
      <c r="B77" s="384"/>
      <c r="C77" s="172"/>
      <c r="D77" s="172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1"/>
        <v>6</v>
      </c>
      <c r="B78" s="384"/>
      <c r="C78" s="172"/>
      <c r="D78" s="172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1"/>
        <v>7</v>
      </c>
      <c r="B79" s="384"/>
      <c r="C79" s="172"/>
      <c r="D79" s="172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1"/>
        <v>8</v>
      </c>
      <c r="B80" s="384"/>
      <c r="C80" s="172"/>
      <c r="D80" s="172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1"/>
        <v>9</v>
      </c>
      <c r="B81" s="384"/>
      <c r="C81" s="172"/>
      <c r="D81" s="172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6" thickBot="1">
      <c r="A82" s="396" t="s">
        <v>287</v>
      </c>
      <c r="B82" s="396"/>
      <c r="C82" s="396"/>
      <c r="D82" s="396"/>
      <c r="E82" s="396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7" t="s">
        <v>113</v>
      </c>
      <c r="B83" s="398"/>
      <c r="C83" s="388" t="s">
        <v>52</v>
      </c>
      <c r="D83" s="388"/>
      <c r="E83" s="388" t="s">
        <v>53</v>
      </c>
      <c r="F83" s="388"/>
      <c r="G83" s="388"/>
      <c r="H83" s="388"/>
      <c r="I83" s="388"/>
      <c r="J83" s="388"/>
      <c r="K83" s="388" t="s">
        <v>54</v>
      </c>
      <c r="L83" s="388"/>
      <c r="M83" s="388"/>
      <c r="N83" s="388"/>
      <c r="O83" s="388"/>
      <c r="P83" s="388"/>
      <c r="Q83" s="388"/>
      <c r="R83" s="388"/>
      <c r="S83" s="388"/>
      <c r="T83" s="388" t="s">
        <v>55</v>
      </c>
      <c r="U83" s="388"/>
      <c r="V83" s="388" t="s">
        <v>56</v>
      </c>
      <c r="W83" s="388"/>
      <c r="X83" s="388"/>
      <c r="Y83" s="388" t="s">
        <v>51</v>
      </c>
      <c r="Z83" s="388"/>
      <c r="AA83" s="388"/>
      <c r="AB83" s="388"/>
      <c r="AC83" s="388"/>
      <c r="AD83" s="389"/>
      <c r="AF83" s="53"/>
    </row>
    <row r="84" spans="1:32" ht="30.75" customHeight="1">
      <c r="A84" s="390">
        <v>1</v>
      </c>
      <c r="B84" s="391"/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3"/>
      <c r="W84" s="393"/>
      <c r="X84" s="393"/>
      <c r="Y84" s="394"/>
      <c r="Z84" s="394"/>
      <c r="AA84" s="394"/>
      <c r="AB84" s="394"/>
      <c r="AC84" s="394"/>
      <c r="AD84" s="395"/>
      <c r="AF84" s="53"/>
    </row>
    <row r="85" spans="1:32" ht="30.75" customHeight="1">
      <c r="A85" s="383">
        <v>2</v>
      </c>
      <c r="B85" s="384"/>
      <c r="C85" s="385"/>
      <c r="D85" s="385"/>
      <c r="E85" s="385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6"/>
      <c r="U85" s="386"/>
      <c r="V85" s="387"/>
      <c r="W85" s="387"/>
      <c r="X85" s="387"/>
      <c r="Y85" s="376"/>
      <c r="Z85" s="376"/>
      <c r="AA85" s="376"/>
      <c r="AB85" s="376"/>
      <c r="AC85" s="376"/>
      <c r="AD85" s="377"/>
      <c r="AF85" s="53"/>
    </row>
    <row r="86" spans="1:32" ht="30.75" customHeight="1" thickBot="1">
      <c r="A86" s="378">
        <v>3</v>
      </c>
      <c r="B86" s="379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  <c r="X86" s="380"/>
      <c r="Y86" s="381"/>
      <c r="Z86" s="381"/>
      <c r="AA86" s="381"/>
      <c r="AB86" s="381"/>
      <c r="AC86" s="381"/>
      <c r="AD86" s="382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976F-E02F-4390-AB93-90323E44E8E3}">
  <sheetPr>
    <pageSetUpPr fitToPage="1"/>
  </sheetPr>
  <dimension ref="A1:AF86"/>
  <sheetViews>
    <sheetView topLeftCell="A43" zoomScale="72" zoomScaleNormal="72" zoomScaleSheetLayoutView="70" workbookViewId="0">
      <selection activeCell="C65" sqref="C65:Q6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288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183" t="s">
        <v>17</v>
      </c>
      <c r="L5" s="183" t="s">
        <v>18</v>
      </c>
      <c r="M5" s="183" t="s">
        <v>19</v>
      </c>
      <c r="N5" s="18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0.41388888888888886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0.41388888888888886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192</v>
      </c>
      <c r="D8" s="55" t="s">
        <v>289</v>
      </c>
      <c r="E8" s="57" t="s">
        <v>290</v>
      </c>
      <c r="F8" s="33" t="s">
        <v>291</v>
      </c>
      <c r="G8" s="36">
        <v>3</v>
      </c>
      <c r="H8" s="38">
        <v>25</v>
      </c>
      <c r="I8" s="7">
        <v>50000</v>
      </c>
      <c r="J8" s="5">
        <v>15021</v>
      </c>
      <c r="K8" s="15">
        <f>L8</f>
        <v>15021</v>
      </c>
      <c r="L8" s="15">
        <f>2216*3+2791*3</f>
        <v>15021</v>
      </c>
      <c r="M8" s="16">
        <f t="shared" si="0"/>
        <v>15021</v>
      </c>
      <c r="N8" s="16">
        <v>0</v>
      </c>
      <c r="O8" s="62">
        <f t="shared" si="1"/>
        <v>0</v>
      </c>
      <c r="P8" s="42">
        <f t="shared" si="2"/>
        <v>23</v>
      </c>
      <c r="Q8" s="43">
        <f t="shared" si="3"/>
        <v>1</v>
      </c>
      <c r="R8" s="7"/>
      <c r="S8" s="6"/>
      <c r="T8" s="17">
        <v>1</v>
      </c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0.95833333333333337</v>
      </c>
      <c r="AD8" s="10">
        <f t="shared" si="6"/>
        <v>0.95833333333333337</v>
      </c>
      <c r="AE8" s="39">
        <f t="shared" si="7"/>
        <v>0.41388888888888886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114</v>
      </c>
      <c r="D9" s="55" t="s">
        <v>127</v>
      </c>
      <c r="E9" s="57" t="s">
        <v>273</v>
      </c>
      <c r="F9" s="33" t="s">
        <v>121</v>
      </c>
      <c r="G9" s="36">
        <v>1</v>
      </c>
      <c r="H9" s="38">
        <v>24</v>
      </c>
      <c r="I9" s="7">
        <v>4000</v>
      </c>
      <c r="J9" s="14">
        <v>4267</v>
      </c>
      <c r="K9" s="15">
        <f>L9</f>
        <v>4267</v>
      </c>
      <c r="L9" s="15">
        <f>1681+2586</f>
        <v>4267</v>
      </c>
      <c r="M9" s="16">
        <f t="shared" si="0"/>
        <v>4267</v>
      </c>
      <c r="N9" s="16">
        <v>0</v>
      </c>
      <c r="O9" s="62">
        <f t="shared" si="1"/>
        <v>0</v>
      </c>
      <c r="P9" s="42">
        <f t="shared" si="2"/>
        <v>21</v>
      </c>
      <c r="Q9" s="43">
        <f t="shared" si="3"/>
        <v>3</v>
      </c>
      <c r="R9" s="7"/>
      <c r="S9" s="6">
        <v>3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9">
        <f t="shared" si="7"/>
        <v>0.41388888888888886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123</v>
      </c>
      <c r="D10" s="55" t="s">
        <v>119</v>
      </c>
      <c r="E10" s="57" t="s">
        <v>147</v>
      </c>
      <c r="F10" s="12" t="s">
        <v>121</v>
      </c>
      <c r="G10" s="12">
        <v>4</v>
      </c>
      <c r="H10" s="13">
        <v>25</v>
      </c>
      <c r="I10" s="7">
        <v>400000</v>
      </c>
      <c r="J10" s="14">
        <v>23988</v>
      </c>
      <c r="K10" s="15">
        <f>L10+23776+26072+26756+24764+18432+17192+18752+24536+24336+16996</f>
        <v>245600</v>
      </c>
      <c r="L10" s="15">
        <f>3056*4+2941*4</f>
        <v>23988</v>
      </c>
      <c r="M10" s="16">
        <f t="shared" si="0"/>
        <v>23988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0.41388888888888886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123</v>
      </c>
      <c r="D11" s="55" t="s">
        <v>120</v>
      </c>
      <c r="E11" s="57" t="s">
        <v>150</v>
      </c>
      <c r="F11" s="12" t="s">
        <v>151</v>
      </c>
      <c r="G11" s="12">
        <v>1</v>
      </c>
      <c r="H11" s="13">
        <v>25</v>
      </c>
      <c r="I11" s="7">
        <v>35000</v>
      </c>
      <c r="J11" s="14">
        <v>1202</v>
      </c>
      <c r="K11" s="15">
        <f>L11+3530+5736+6036+5863+4843+3771+4692+5992+1202</f>
        <v>41665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0.41388888888888886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123</v>
      </c>
      <c r="D12" s="55" t="s">
        <v>292</v>
      </c>
      <c r="E12" s="57" t="s">
        <v>293</v>
      </c>
      <c r="F12" s="33" t="s">
        <v>116</v>
      </c>
      <c r="G12" s="36">
        <v>1</v>
      </c>
      <c r="H12" s="38">
        <v>24</v>
      </c>
      <c r="I12" s="7">
        <v>10000</v>
      </c>
      <c r="J12" s="14">
        <v>1507</v>
      </c>
      <c r="K12" s="15">
        <f>L12</f>
        <v>1507</v>
      </c>
      <c r="L12" s="15">
        <f>1507</f>
        <v>1507</v>
      </c>
      <c r="M12" s="16">
        <f t="shared" si="0"/>
        <v>1507</v>
      </c>
      <c r="N12" s="16">
        <v>0</v>
      </c>
      <c r="O12" s="62">
        <f t="shared" si="1"/>
        <v>0</v>
      </c>
      <c r="P12" s="42">
        <f t="shared" si="2"/>
        <v>10</v>
      </c>
      <c r="Q12" s="43">
        <f t="shared" si="3"/>
        <v>14</v>
      </c>
      <c r="R12" s="7"/>
      <c r="S12" s="6"/>
      <c r="T12" s="17">
        <v>2</v>
      </c>
      <c r="U12" s="17"/>
      <c r="V12" s="18">
        <v>12</v>
      </c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0.41666666666666669</v>
      </c>
      <c r="AD12" s="10">
        <f t="shared" si="6"/>
        <v>0.41666666666666669</v>
      </c>
      <c r="AE12" s="39">
        <f t="shared" si="7"/>
        <v>0.41388888888888886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123</v>
      </c>
      <c r="D13" s="55" t="s">
        <v>263</v>
      </c>
      <c r="E13" s="57" t="s">
        <v>264</v>
      </c>
      <c r="F13" s="33" t="s">
        <v>129</v>
      </c>
      <c r="G13" s="36">
        <v>1</v>
      </c>
      <c r="H13" s="38">
        <v>24</v>
      </c>
      <c r="I13" s="7">
        <v>3000</v>
      </c>
      <c r="J13" s="14">
        <v>3117</v>
      </c>
      <c r="K13" s="15">
        <f>L13+3117</f>
        <v>3117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0.41388888888888886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114</v>
      </c>
      <c r="D14" s="55" t="s">
        <v>117</v>
      </c>
      <c r="E14" s="57" t="s">
        <v>284</v>
      </c>
      <c r="F14" s="33" t="s">
        <v>160</v>
      </c>
      <c r="G14" s="36">
        <v>1</v>
      </c>
      <c r="H14" s="38">
        <v>25</v>
      </c>
      <c r="I14" s="7">
        <v>2000</v>
      </c>
      <c r="J14" s="5">
        <v>446</v>
      </c>
      <c r="K14" s="15">
        <f>L14</f>
        <v>446</v>
      </c>
      <c r="L14" s="15">
        <v>446</v>
      </c>
      <c r="M14" s="16">
        <f t="shared" si="0"/>
        <v>446</v>
      </c>
      <c r="N14" s="16">
        <v>0</v>
      </c>
      <c r="O14" s="62">
        <f t="shared" si="1"/>
        <v>0</v>
      </c>
      <c r="P14" s="42">
        <f t="shared" si="2"/>
        <v>7</v>
      </c>
      <c r="Q14" s="43">
        <f t="shared" si="3"/>
        <v>17</v>
      </c>
      <c r="R14" s="7"/>
      <c r="S14" s="6"/>
      <c r="T14" s="17">
        <v>4</v>
      </c>
      <c r="U14" s="17"/>
      <c r="V14" s="18">
        <v>13</v>
      </c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0.29166666666666669</v>
      </c>
      <c r="AD14" s="10">
        <f t="shared" si="6"/>
        <v>0.29166666666666669</v>
      </c>
      <c r="AE14" s="39">
        <f t="shared" si="7"/>
        <v>0.41388888888888886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192</v>
      </c>
      <c r="D15" s="55" t="s">
        <v>194</v>
      </c>
      <c r="E15" s="57" t="s">
        <v>191</v>
      </c>
      <c r="F15" s="12" t="s">
        <v>201</v>
      </c>
      <c r="G15" s="12">
        <v>4</v>
      </c>
      <c r="H15" s="13">
        <v>24</v>
      </c>
      <c r="I15" s="34">
        <v>30000</v>
      </c>
      <c r="J15" s="14">
        <v>12736</v>
      </c>
      <c r="K15" s="15">
        <f>L15+15852+24288+12736</f>
        <v>52876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>
        <v>24</v>
      </c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0.41388888888888886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11" t="s">
        <v>123</v>
      </c>
      <c r="D16" s="55" t="s">
        <v>142</v>
      </c>
      <c r="E16" s="57" t="s">
        <v>141</v>
      </c>
      <c r="F16" s="12" t="s">
        <v>121</v>
      </c>
      <c r="G16" s="12">
        <v>3</v>
      </c>
      <c r="H16" s="13">
        <v>25</v>
      </c>
      <c r="I16" s="7">
        <v>62000</v>
      </c>
      <c r="J16" s="14">
        <v>29388</v>
      </c>
      <c r="K16" s="15">
        <f>L16+2238+23913</f>
        <v>55539</v>
      </c>
      <c r="L16" s="15">
        <f>4649*3+5147*3</f>
        <v>29388</v>
      </c>
      <c r="M16" s="16">
        <f t="shared" si="0"/>
        <v>29388</v>
      </c>
      <c r="N16" s="16">
        <v>0</v>
      </c>
      <c r="O16" s="62">
        <f t="shared" si="1"/>
        <v>0</v>
      </c>
      <c r="P16" s="42">
        <f t="shared" si="2"/>
        <v>23</v>
      </c>
      <c r="Q16" s="43">
        <f t="shared" si="3"/>
        <v>1</v>
      </c>
      <c r="R16" s="7"/>
      <c r="S16" s="6">
        <v>1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0.95833333333333337</v>
      </c>
      <c r="AD16" s="10">
        <f t="shared" si="6"/>
        <v>0.95833333333333337</v>
      </c>
      <c r="AE16" s="39">
        <f t="shared" si="7"/>
        <v>0.41388888888888886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123</v>
      </c>
      <c r="D17" s="55" t="s">
        <v>124</v>
      </c>
      <c r="E17" s="57" t="s">
        <v>148</v>
      </c>
      <c r="F17" s="12" t="s">
        <v>131</v>
      </c>
      <c r="G17" s="12">
        <v>4</v>
      </c>
      <c r="H17" s="13">
        <v>24</v>
      </c>
      <c r="I17" s="34">
        <v>400000</v>
      </c>
      <c r="J17" s="14">
        <v>24132</v>
      </c>
      <c r="K17" s="15">
        <f>L17+19964+21928+25296+24300+24768+24688+11104+18160+24312+25036</f>
        <v>243688</v>
      </c>
      <c r="L17" s="15">
        <f>3073*4+2960*4</f>
        <v>24132</v>
      </c>
      <c r="M17" s="16">
        <f t="shared" si="0"/>
        <v>24132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0.41388888888888886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123</v>
      </c>
      <c r="D18" s="55" t="s">
        <v>117</v>
      </c>
      <c r="E18" s="57" t="s">
        <v>153</v>
      </c>
      <c r="F18" s="12" t="s">
        <v>129</v>
      </c>
      <c r="G18" s="36">
        <v>4</v>
      </c>
      <c r="H18" s="38">
        <v>24</v>
      </c>
      <c r="I18" s="7">
        <v>400000</v>
      </c>
      <c r="J18" s="5">
        <v>14424</v>
      </c>
      <c r="K18" s="15">
        <f>L18+12380+14384+22568+16460+13888+20848+20972+20888+19996+10224</f>
        <v>187032</v>
      </c>
      <c r="L18" s="15">
        <f>2587*4+1019*4</f>
        <v>14424</v>
      </c>
      <c r="M18" s="16">
        <f t="shared" si="0"/>
        <v>14424</v>
      </c>
      <c r="N18" s="16">
        <v>0</v>
      </c>
      <c r="O18" s="62">
        <f t="shared" si="1"/>
        <v>0</v>
      </c>
      <c r="P18" s="42">
        <f t="shared" si="2"/>
        <v>17</v>
      </c>
      <c r="Q18" s="43">
        <f t="shared" si="3"/>
        <v>7</v>
      </c>
      <c r="R18" s="7"/>
      <c r="S18" s="6">
        <v>7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0.70833333333333337</v>
      </c>
      <c r="AD18" s="10">
        <f t="shared" si="6"/>
        <v>0.70833333333333337</v>
      </c>
      <c r="AE18" s="39">
        <f t="shared" si="7"/>
        <v>0.41388888888888886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123</v>
      </c>
      <c r="D19" s="55" t="s">
        <v>268</v>
      </c>
      <c r="E19" s="57" t="s">
        <v>269</v>
      </c>
      <c r="F19" s="12" t="s">
        <v>129</v>
      </c>
      <c r="G19" s="36" t="s">
        <v>240</v>
      </c>
      <c r="H19" s="13">
        <v>24</v>
      </c>
      <c r="I19" s="7">
        <v>500</v>
      </c>
      <c r="J19" s="14">
        <v>585</v>
      </c>
      <c r="K19" s="15">
        <f>L19+585</f>
        <v>585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0.41388888888888886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133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L20+39648+30712+45256+43600+10476</f>
        <v>169692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0.41388888888888886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1696500</v>
      </c>
      <c r="J21" s="22">
        <f t="shared" si="9"/>
        <v>141289</v>
      </c>
      <c r="K21" s="23">
        <f t="shared" si="9"/>
        <v>1021035</v>
      </c>
      <c r="L21" s="24">
        <f t="shared" si="9"/>
        <v>113173</v>
      </c>
      <c r="M21" s="23">
        <f t="shared" si="9"/>
        <v>113173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149</v>
      </c>
      <c r="Q21" s="46">
        <f t="shared" si="10"/>
        <v>211</v>
      </c>
      <c r="R21" s="26">
        <f t="shared" si="10"/>
        <v>48</v>
      </c>
      <c r="S21" s="27">
        <f t="shared" si="10"/>
        <v>11</v>
      </c>
      <c r="T21" s="27">
        <f t="shared" si="10"/>
        <v>7</v>
      </c>
      <c r="U21" s="27">
        <f t="shared" si="10"/>
        <v>0</v>
      </c>
      <c r="V21" s="28">
        <f t="shared" si="10"/>
        <v>25</v>
      </c>
      <c r="W21" s="29">
        <f t="shared" si="10"/>
        <v>120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0.53333333333333333</v>
      </c>
      <c r="AC21" s="4">
        <f>SUM(AC6:AC20)/15</f>
        <v>0.41388888888888886</v>
      </c>
      <c r="AD21" s="4">
        <f>SUM(AD6:AD20)/15</f>
        <v>0.41388888888888886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294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296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184" t="s">
        <v>46</v>
      </c>
      <c r="D50" s="184" t="s">
        <v>47</v>
      </c>
      <c r="E50" s="184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184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4" t="s">
        <v>114</v>
      </c>
      <c r="B51" s="435"/>
      <c r="C51" s="186" t="s">
        <v>275</v>
      </c>
      <c r="D51" s="186" t="s">
        <v>117</v>
      </c>
      <c r="E51" s="186" t="s">
        <v>284</v>
      </c>
      <c r="F51" s="445" t="s">
        <v>171</v>
      </c>
      <c r="G51" s="446"/>
      <c r="H51" s="446"/>
      <c r="I51" s="446"/>
      <c r="J51" s="446"/>
      <c r="K51" s="446"/>
      <c r="L51" s="446"/>
      <c r="M51" s="447"/>
      <c r="N51" s="185" t="s">
        <v>114</v>
      </c>
      <c r="O51" s="124" t="s">
        <v>173</v>
      </c>
      <c r="P51" s="443" t="s">
        <v>134</v>
      </c>
      <c r="Q51" s="444"/>
      <c r="R51" s="435" t="s">
        <v>196</v>
      </c>
      <c r="S51" s="435"/>
      <c r="T51" s="435"/>
      <c r="U51" s="435"/>
      <c r="V51" s="426" t="s">
        <v>274</v>
      </c>
      <c r="W51" s="426"/>
      <c r="X51" s="426"/>
      <c r="Y51" s="426"/>
      <c r="Z51" s="426"/>
      <c r="AA51" s="426"/>
      <c r="AB51" s="426"/>
      <c r="AC51" s="426"/>
      <c r="AD51" s="436"/>
    </row>
    <row r="52" spans="1:32" ht="27" customHeight="1">
      <c r="A52" s="434" t="s">
        <v>123</v>
      </c>
      <c r="B52" s="435"/>
      <c r="C52" s="186" t="s">
        <v>178</v>
      </c>
      <c r="D52" s="186" t="s">
        <v>292</v>
      </c>
      <c r="E52" s="186" t="s">
        <v>293</v>
      </c>
      <c r="F52" s="445" t="s">
        <v>171</v>
      </c>
      <c r="G52" s="446"/>
      <c r="H52" s="446"/>
      <c r="I52" s="446"/>
      <c r="J52" s="446"/>
      <c r="K52" s="446"/>
      <c r="L52" s="446"/>
      <c r="M52" s="447"/>
      <c r="N52" s="185" t="s">
        <v>123</v>
      </c>
      <c r="O52" s="124" t="s">
        <v>247</v>
      </c>
      <c r="P52" s="443" t="s">
        <v>227</v>
      </c>
      <c r="Q52" s="444"/>
      <c r="R52" s="435" t="s">
        <v>141</v>
      </c>
      <c r="S52" s="435"/>
      <c r="T52" s="435"/>
      <c r="U52" s="435"/>
      <c r="V52" s="426" t="s">
        <v>207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114</v>
      </c>
      <c r="B53" s="435"/>
      <c r="C53" s="186" t="s">
        <v>173</v>
      </c>
      <c r="D53" s="186" t="s">
        <v>127</v>
      </c>
      <c r="E53" s="186" t="s">
        <v>273</v>
      </c>
      <c r="F53" s="445" t="s">
        <v>274</v>
      </c>
      <c r="G53" s="446"/>
      <c r="H53" s="446"/>
      <c r="I53" s="446"/>
      <c r="J53" s="446"/>
      <c r="K53" s="446"/>
      <c r="L53" s="446"/>
      <c r="M53" s="447"/>
      <c r="N53" s="185"/>
      <c r="O53" s="124"/>
      <c r="P53" s="435"/>
      <c r="Q53" s="435"/>
      <c r="R53" s="435"/>
      <c r="S53" s="435"/>
      <c r="T53" s="435"/>
      <c r="U53" s="435"/>
      <c r="V53" s="426"/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 t="s">
        <v>123</v>
      </c>
      <c r="B54" s="435"/>
      <c r="C54" s="186" t="s">
        <v>166</v>
      </c>
      <c r="D54" s="186" t="s">
        <v>117</v>
      </c>
      <c r="E54" s="186" t="s">
        <v>153</v>
      </c>
      <c r="F54" s="445" t="s">
        <v>295</v>
      </c>
      <c r="G54" s="446"/>
      <c r="H54" s="446"/>
      <c r="I54" s="446"/>
      <c r="J54" s="446"/>
      <c r="K54" s="446"/>
      <c r="L54" s="446"/>
      <c r="M54" s="447"/>
      <c r="N54" s="185"/>
      <c r="O54" s="124"/>
      <c r="P54" s="443"/>
      <c r="Q54" s="444"/>
      <c r="R54" s="435"/>
      <c r="S54" s="435"/>
      <c r="T54" s="435"/>
      <c r="U54" s="435"/>
      <c r="V54" s="426"/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/>
      <c r="B55" s="435"/>
      <c r="C55" s="186"/>
      <c r="D55" s="186"/>
      <c r="E55" s="186"/>
      <c r="F55" s="445"/>
      <c r="G55" s="446"/>
      <c r="H55" s="446"/>
      <c r="I55" s="446"/>
      <c r="J55" s="446"/>
      <c r="K55" s="446"/>
      <c r="L55" s="446"/>
      <c r="M55" s="447"/>
      <c r="N55" s="185"/>
      <c r="O55" s="124"/>
      <c r="P55" s="435"/>
      <c r="Q55" s="435"/>
      <c r="R55" s="435"/>
      <c r="S55" s="435"/>
      <c r="T55" s="435"/>
      <c r="U55" s="435"/>
      <c r="V55" s="426"/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186"/>
      <c r="D56" s="186"/>
      <c r="E56" s="186"/>
      <c r="F56" s="445"/>
      <c r="G56" s="446"/>
      <c r="H56" s="446"/>
      <c r="I56" s="446"/>
      <c r="J56" s="446"/>
      <c r="K56" s="446"/>
      <c r="L56" s="446"/>
      <c r="M56" s="447"/>
      <c r="N56" s="185"/>
      <c r="O56" s="124"/>
      <c r="P56" s="443"/>
      <c r="Q56" s="444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186"/>
      <c r="D57" s="186"/>
      <c r="E57" s="186"/>
      <c r="F57" s="445"/>
      <c r="G57" s="446"/>
      <c r="H57" s="446"/>
      <c r="I57" s="446"/>
      <c r="J57" s="446"/>
      <c r="K57" s="446"/>
      <c r="L57" s="446"/>
      <c r="M57" s="447"/>
      <c r="N57" s="185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186"/>
      <c r="D58" s="186"/>
      <c r="E58" s="186"/>
      <c r="F58" s="426"/>
      <c r="G58" s="426"/>
      <c r="H58" s="426"/>
      <c r="I58" s="426"/>
      <c r="J58" s="426"/>
      <c r="K58" s="426"/>
      <c r="L58" s="426"/>
      <c r="M58" s="436"/>
      <c r="N58" s="185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186"/>
      <c r="D59" s="186"/>
      <c r="E59" s="186"/>
      <c r="F59" s="445"/>
      <c r="G59" s="446"/>
      <c r="H59" s="446"/>
      <c r="I59" s="446"/>
      <c r="J59" s="446"/>
      <c r="K59" s="446"/>
      <c r="L59" s="446"/>
      <c r="M59" s="447"/>
      <c r="N59" s="185"/>
      <c r="O59" s="124"/>
      <c r="P59" s="435"/>
      <c r="Q59" s="435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  <c r="AF59" s="93">
        <f>8*3000</f>
        <v>24000</v>
      </c>
    </row>
    <row r="60" spans="1:32" ht="27" customHeight="1" thickBot="1">
      <c r="A60" s="437"/>
      <c r="B60" s="438"/>
      <c r="C60" s="188"/>
      <c r="D60" s="188"/>
      <c r="E60" s="188"/>
      <c r="F60" s="439"/>
      <c r="G60" s="439"/>
      <c r="H60" s="439"/>
      <c r="I60" s="439"/>
      <c r="J60" s="439"/>
      <c r="K60" s="439"/>
      <c r="L60" s="439"/>
      <c r="M60" s="440"/>
      <c r="N60" s="187"/>
      <c r="O60" s="120"/>
      <c r="P60" s="438"/>
      <c r="Q60" s="438"/>
      <c r="R60" s="438"/>
      <c r="S60" s="438"/>
      <c r="T60" s="438"/>
      <c r="U60" s="438"/>
      <c r="V60" s="441"/>
      <c r="W60" s="441"/>
      <c r="X60" s="441"/>
      <c r="Y60" s="441"/>
      <c r="Z60" s="441"/>
      <c r="AA60" s="441"/>
      <c r="AB60" s="441"/>
      <c r="AC60" s="441"/>
      <c r="AD60" s="442"/>
      <c r="AF60" s="93">
        <f>16*3000</f>
        <v>48000</v>
      </c>
    </row>
    <row r="61" spans="1:32" ht="27.75" thickBot="1">
      <c r="A61" s="432" t="s">
        <v>297</v>
      </c>
      <c r="B61" s="432"/>
      <c r="C61" s="432"/>
      <c r="D61" s="432"/>
      <c r="E61" s="43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3" t="s">
        <v>113</v>
      </c>
      <c r="B62" s="430"/>
      <c r="C62" s="189" t="s">
        <v>2</v>
      </c>
      <c r="D62" s="189" t="s">
        <v>37</v>
      </c>
      <c r="E62" s="189" t="s">
        <v>3</v>
      </c>
      <c r="F62" s="430" t="s">
        <v>110</v>
      </c>
      <c r="G62" s="430"/>
      <c r="H62" s="430"/>
      <c r="I62" s="430"/>
      <c r="J62" s="430"/>
      <c r="K62" s="430" t="s">
        <v>39</v>
      </c>
      <c r="L62" s="430"/>
      <c r="M62" s="189" t="s">
        <v>40</v>
      </c>
      <c r="N62" s="430" t="s">
        <v>41</v>
      </c>
      <c r="O62" s="430"/>
      <c r="P62" s="427" t="s">
        <v>42</v>
      </c>
      <c r="Q62" s="429"/>
      <c r="R62" s="427" t="s">
        <v>43</v>
      </c>
      <c r="S62" s="428"/>
      <c r="T62" s="428"/>
      <c r="U62" s="428"/>
      <c r="V62" s="428"/>
      <c r="W62" s="428"/>
      <c r="X62" s="428"/>
      <c r="Y62" s="428"/>
      <c r="Z62" s="428"/>
      <c r="AA62" s="429"/>
      <c r="AB62" s="430" t="s">
        <v>44</v>
      </c>
      <c r="AC62" s="430"/>
      <c r="AD62" s="431"/>
      <c r="AF62" s="93">
        <f>SUM(AF59:AF61)</f>
        <v>96000</v>
      </c>
    </row>
    <row r="63" spans="1:32" ht="25.5" customHeight="1">
      <c r="A63" s="422">
        <v>1</v>
      </c>
      <c r="B63" s="423"/>
      <c r="C63" s="123" t="s">
        <v>114</v>
      </c>
      <c r="D63" s="192"/>
      <c r="E63" s="190" t="s">
        <v>231</v>
      </c>
      <c r="F63" s="424" t="s">
        <v>299</v>
      </c>
      <c r="G63" s="416"/>
      <c r="H63" s="416"/>
      <c r="I63" s="416"/>
      <c r="J63" s="416"/>
      <c r="K63" s="416">
        <v>7301</v>
      </c>
      <c r="L63" s="416"/>
      <c r="M63" s="54" t="s">
        <v>197</v>
      </c>
      <c r="N63" s="416">
        <v>9</v>
      </c>
      <c r="O63" s="416"/>
      <c r="P63" s="425">
        <v>50</v>
      </c>
      <c r="Q63" s="425"/>
      <c r="R63" s="426"/>
      <c r="S63" s="426"/>
      <c r="T63" s="426"/>
      <c r="U63" s="426"/>
      <c r="V63" s="426"/>
      <c r="W63" s="426"/>
      <c r="X63" s="426"/>
      <c r="Y63" s="426"/>
      <c r="Z63" s="426"/>
      <c r="AA63" s="426"/>
      <c r="AB63" s="416"/>
      <c r="AC63" s="416"/>
      <c r="AD63" s="417"/>
      <c r="AF63" s="53"/>
    </row>
    <row r="64" spans="1:32" ht="25.5" customHeight="1">
      <c r="A64" s="422">
        <v>2</v>
      </c>
      <c r="B64" s="423"/>
      <c r="C64" s="123" t="s">
        <v>114</v>
      </c>
      <c r="D64" s="192"/>
      <c r="E64" s="190" t="s">
        <v>298</v>
      </c>
      <c r="F64" s="424" t="s">
        <v>180</v>
      </c>
      <c r="G64" s="416"/>
      <c r="H64" s="416"/>
      <c r="I64" s="416"/>
      <c r="J64" s="416"/>
      <c r="K64" s="416" t="s">
        <v>303</v>
      </c>
      <c r="L64" s="416"/>
      <c r="M64" s="54" t="s">
        <v>197</v>
      </c>
      <c r="N64" s="416">
        <v>8</v>
      </c>
      <c r="O64" s="416"/>
      <c r="P64" s="425">
        <v>50</v>
      </c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3</v>
      </c>
      <c r="B65" s="423"/>
      <c r="C65" s="123" t="s">
        <v>300</v>
      </c>
      <c r="D65" s="192"/>
      <c r="E65" s="190" t="s">
        <v>298</v>
      </c>
      <c r="F65" s="424" t="s">
        <v>301</v>
      </c>
      <c r="G65" s="416"/>
      <c r="H65" s="416"/>
      <c r="I65" s="416"/>
      <c r="J65" s="416"/>
      <c r="K65" s="416" t="s">
        <v>303</v>
      </c>
      <c r="L65" s="416"/>
      <c r="M65" s="54" t="s">
        <v>304</v>
      </c>
      <c r="N65" s="416">
        <v>8</v>
      </c>
      <c r="O65" s="416"/>
      <c r="P65" s="425">
        <v>50</v>
      </c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4</v>
      </c>
      <c r="B66" s="423"/>
      <c r="C66" s="123" t="s">
        <v>300</v>
      </c>
      <c r="D66" s="192"/>
      <c r="E66" s="190" t="s">
        <v>305</v>
      </c>
      <c r="F66" s="424" t="s">
        <v>302</v>
      </c>
      <c r="G66" s="416"/>
      <c r="H66" s="416"/>
      <c r="I66" s="416"/>
      <c r="J66" s="416"/>
      <c r="K66" s="416" t="s">
        <v>303</v>
      </c>
      <c r="L66" s="416"/>
      <c r="M66" s="54" t="s">
        <v>304</v>
      </c>
      <c r="N66" s="416">
        <v>8</v>
      </c>
      <c r="O66" s="416"/>
      <c r="P66" s="425">
        <v>50</v>
      </c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5</v>
      </c>
      <c r="B67" s="423"/>
      <c r="C67" s="123"/>
      <c r="D67" s="192"/>
      <c r="E67" s="190"/>
      <c r="F67" s="424"/>
      <c r="G67" s="416"/>
      <c r="H67" s="416"/>
      <c r="I67" s="416"/>
      <c r="J67" s="416"/>
      <c r="K67" s="416"/>
      <c r="L67" s="416"/>
      <c r="M67" s="54"/>
      <c r="N67" s="416"/>
      <c r="O67" s="416"/>
      <c r="P67" s="425"/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6</v>
      </c>
      <c r="B68" s="423"/>
      <c r="C68" s="123"/>
      <c r="D68" s="192"/>
      <c r="E68" s="190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7</v>
      </c>
      <c r="B69" s="423"/>
      <c r="C69" s="123"/>
      <c r="D69" s="192"/>
      <c r="E69" s="190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8</v>
      </c>
      <c r="B70" s="423"/>
      <c r="C70" s="123"/>
      <c r="D70" s="192"/>
      <c r="E70" s="190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6.25" customHeight="1" thickBot="1">
      <c r="A71" s="396" t="s">
        <v>306</v>
      </c>
      <c r="B71" s="396"/>
      <c r="C71" s="396"/>
      <c r="D71" s="396"/>
      <c r="E71" s="396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7" t="s">
        <v>113</v>
      </c>
      <c r="B72" s="398"/>
      <c r="C72" s="191" t="s">
        <v>2</v>
      </c>
      <c r="D72" s="191" t="s">
        <v>37</v>
      </c>
      <c r="E72" s="191" t="s">
        <v>3</v>
      </c>
      <c r="F72" s="398" t="s">
        <v>38</v>
      </c>
      <c r="G72" s="398"/>
      <c r="H72" s="398"/>
      <c r="I72" s="398"/>
      <c r="J72" s="398"/>
      <c r="K72" s="418" t="s">
        <v>58</v>
      </c>
      <c r="L72" s="419"/>
      <c r="M72" s="419"/>
      <c r="N72" s="419"/>
      <c r="O72" s="419"/>
      <c r="P72" s="419"/>
      <c r="Q72" s="419"/>
      <c r="R72" s="419"/>
      <c r="S72" s="420"/>
      <c r="T72" s="398" t="s">
        <v>49</v>
      </c>
      <c r="U72" s="398"/>
      <c r="V72" s="418" t="s">
        <v>50</v>
      </c>
      <c r="W72" s="420"/>
      <c r="X72" s="419" t="s">
        <v>51</v>
      </c>
      <c r="Y72" s="419"/>
      <c r="Z72" s="419"/>
      <c r="AA72" s="419"/>
      <c r="AB72" s="419"/>
      <c r="AC72" s="419"/>
      <c r="AD72" s="421"/>
      <c r="AF72" s="53"/>
    </row>
    <row r="73" spans="1:32" ht="33.75" customHeight="1">
      <c r="A73" s="390">
        <v>1</v>
      </c>
      <c r="B73" s="391"/>
      <c r="C73" s="193" t="s">
        <v>114</v>
      </c>
      <c r="D73" s="193"/>
      <c r="E73" s="71" t="s">
        <v>127</v>
      </c>
      <c r="F73" s="405" t="s">
        <v>126</v>
      </c>
      <c r="G73" s="406"/>
      <c r="H73" s="406"/>
      <c r="I73" s="406"/>
      <c r="J73" s="407"/>
      <c r="K73" s="408" t="s">
        <v>128</v>
      </c>
      <c r="L73" s="409"/>
      <c r="M73" s="409"/>
      <c r="N73" s="409"/>
      <c r="O73" s="409"/>
      <c r="P73" s="409"/>
      <c r="Q73" s="409"/>
      <c r="R73" s="409"/>
      <c r="S73" s="410"/>
      <c r="T73" s="411">
        <v>43384</v>
      </c>
      <c r="U73" s="412"/>
      <c r="V73" s="413"/>
      <c r="W73" s="413"/>
      <c r="X73" s="414"/>
      <c r="Y73" s="414"/>
      <c r="Z73" s="414"/>
      <c r="AA73" s="414"/>
      <c r="AB73" s="414"/>
      <c r="AC73" s="414"/>
      <c r="AD73" s="415"/>
      <c r="AF73" s="53"/>
    </row>
    <row r="74" spans="1:32" ht="30" customHeight="1">
      <c r="A74" s="383">
        <f>A73+1</f>
        <v>2</v>
      </c>
      <c r="B74" s="384"/>
      <c r="C74" s="192"/>
      <c r="D74" s="192"/>
      <c r="E74" s="35"/>
      <c r="F74" s="384"/>
      <c r="G74" s="384"/>
      <c r="H74" s="384"/>
      <c r="I74" s="384"/>
      <c r="J74" s="384"/>
      <c r="K74" s="399"/>
      <c r="L74" s="400"/>
      <c r="M74" s="400"/>
      <c r="N74" s="400"/>
      <c r="O74" s="400"/>
      <c r="P74" s="400"/>
      <c r="Q74" s="400"/>
      <c r="R74" s="400"/>
      <c r="S74" s="401"/>
      <c r="T74" s="402"/>
      <c r="U74" s="402"/>
      <c r="V74" s="402"/>
      <c r="W74" s="402"/>
      <c r="X74" s="403"/>
      <c r="Y74" s="403"/>
      <c r="Z74" s="403"/>
      <c r="AA74" s="403"/>
      <c r="AB74" s="403"/>
      <c r="AC74" s="403"/>
      <c r="AD74" s="404"/>
      <c r="AF74" s="53"/>
    </row>
    <row r="75" spans="1:32" ht="30" customHeight="1">
      <c r="A75" s="383">
        <f t="shared" ref="A75:A81" si="11">A74+1</f>
        <v>3</v>
      </c>
      <c r="B75" s="384"/>
      <c r="C75" s="192"/>
      <c r="D75" s="192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si="11"/>
        <v>4</v>
      </c>
      <c r="B76" s="384"/>
      <c r="C76" s="192"/>
      <c r="D76" s="192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1"/>
        <v>5</v>
      </c>
      <c r="B77" s="384"/>
      <c r="C77" s="192"/>
      <c r="D77" s="192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1"/>
        <v>6</v>
      </c>
      <c r="B78" s="384"/>
      <c r="C78" s="192"/>
      <c r="D78" s="192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1"/>
        <v>7</v>
      </c>
      <c r="B79" s="384"/>
      <c r="C79" s="192"/>
      <c r="D79" s="192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1"/>
        <v>8</v>
      </c>
      <c r="B80" s="384"/>
      <c r="C80" s="192"/>
      <c r="D80" s="192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1"/>
        <v>9</v>
      </c>
      <c r="B81" s="384"/>
      <c r="C81" s="192"/>
      <c r="D81" s="192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6" thickBot="1">
      <c r="A82" s="396" t="s">
        <v>307</v>
      </c>
      <c r="B82" s="396"/>
      <c r="C82" s="396"/>
      <c r="D82" s="396"/>
      <c r="E82" s="396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7" t="s">
        <v>113</v>
      </c>
      <c r="B83" s="398"/>
      <c r="C83" s="388" t="s">
        <v>52</v>
      </c>
      <c r="D83" s="388"/>
      <c r="E83" s="388" t="s">
        <v>53</v>
      </c>
      <c r="F83" s="388"/>
      <c r="G83" s="388"/>
      <c r="H83" s="388"/>
      <c r="I83" s="388"/>
      <c r="J83" s="388"/>
      <c r="K83" s="388" t="s">
        <v>54</v>
      </c>
      <c r="L83" s="388"/>
      <c r="M83" s="388"/>
      <c r="N83" s="388"/>
      <c r="O83" s="388"/>
      <c r="P83" s="388"/>
      <c r="Q83" s="388"/>
      <c r="R83" s="388"/>
      <c r="S83" s="388"/>
      <c r="T83" s="388" t="s">
        <v>55</v>
      </c>
      <c r="U83" s="388"/>
      <c r="V83" s="388" t="s">
        <v>56</v>
      </c>
      <c r="W83" s="388"/>
      <c r="X83" s="388"/>
      <c r="Y83" s="388" t="s">
        <v>51</v>
      </c>
      <c r="Z83" s="388"/>
      <c r="AA83" s="388"/>
      <c r="AB83" s="388"/>
      <c r="AC83" s="388"/>
      <c r="AD83" s="389"/>
      <c r="AF83" s="53"/>
    </row>
    <row r="84" spans="1:32" ht="30.75" customHeight="1">
      <c r="A84" s="390">
        <v>1</v>
      </c>
      <c r="B84" s="391"/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3"/>
      <c r="W84" s="393"/>
      <c r="X84" s="393"/>
      <c r="Y84" s="394"/>
      <c r="Z84" s="394"/>
      <c r="AA84" s="394"/>
      <c r="AB84" s="394"/>
      <c r="AC84" s="394"/>
      <c r="AD84" s="395"/>
      <c r="AF84" s="53"/>
    </row>
    <row r="85" spans="1:32" ht="30.75" customHeight="1">
      <c r="A85" s="383">
        <v>2</v>
      </c>
      <c r="B85" s="384"/>
      <c r="C85" s="385"/>
      <c r="D85" s="385"/>
      <c r="E85" s="385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6"/>
      <c r="U85" s="386"/>
      <c r="V85" s="387"/>
      <c r="W85" s="387"/>
      <c r="X85" s="387"/>
      <c r="Y85" s="376"/>
      <c r="Z85" s="376"/>
      <c r="AA85" s="376"/>
      <c r="AB85" s="376"/>
      <c r="AC85" s="376"/>
      <c r="AD85" s="377"/>
      <c r="AF85" s="53"/>
    </row>
    <row r="86" spans="1:32" ht="30.75" customHeight="1" thickBot="1">
      <c r="A86" s="378">
        <v>3</v>
      </c>
      <c r="B86" s="379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  <c r="X86" s="380"/>
      <c r="Y86" s="381"/>
      <c r="Z86" s="381"/>
      <c r="AA86" s="381"/>
      <c r="AB86" s="381"/>
      <c r="AC86" s="381"/>
      <c r="AD86" s="382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CD1F-D18A-47F1-A8B0-AE79DBBD84AE}">
  <sheetPr>
    <pageSetUpPr fitToPage="1"/>
  </sheetPr>
  <dimension ref="A1:AF86"/>
  <sheetViews>
    <sheetView topLeftCell="A46" zoomScale="72" zoomScaleNormal="72" zoomScaleSheetLayoutView="70" workbookViewId="0">
      <selection activeCell="P66" sqref="P66:Q6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308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04" t="s">
        <v>17</v>
      </c>
      <c r="L5" s="204" t="s">
        <v>18</v>
      </c>
      <c r="M5" s="204" t="s">
        <v>19</v>
      </c>
      <c r="N5" s="20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0.42222222222222222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0.42222222222222222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192</v>
      </c>
      <c r="D8" s="55" t="s">
        <v>289</v>
      </c>
      <c r="E8" s="57" t="s">
        <v>290</v>
      </c>
      <c r="F8" s="33" t="s">
        <v>291</v>
      </c>
      <c r="G8" s="36">
        <v>3</v>
      </c>
      <c r="H8" s="38">
        <v>25</v>
      </c>
      <c r="I8" s="7">
        <v>50000</v>
      </c>
      <c r="J8" s="5">
        <v>17700</v>
      </c>
      <c r="K8" s="15">
        <f>L8+15021</f>
        <v>32721</v>
      </c>
      <c r="L8" s="15">
        <f>3129*3+2771*3</f>
        <v>17700</v>
      </c>
      <c r="M8" s="16">
        <f t="shared" si="0"/>
        <v>17700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0.42222222222222222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114</v>
      </c>
      <c r="D9" s="55" t="s">
        <v>127</v>
      </c>
      <c r="E9" s="57" t="s">
        <v>273</v>
      </c>
      <c r="F9" s="33" t="s">
        <v>121</v>
      </c>
      <c r="G9" s="36">
        <v>1</v>
      </c>
      <c r="H9" s="38">
        <v>24</v>
      </c>
      <c r="I9" s="7">
        <v>4000</v>
      </c>
      <c r="J9" s="14">
        <v>4267</v>
      </c>
      <c r="K9" s="15">
        <f>L9+4267</f>
        <v>4267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0.42222222222222222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123</v>
      </c>
      <c r="D10" s="55" t="s">
        <v>119</v>
      </c>
      <c r="E10" s="57" t="s">
        <v>147</v>
      </c>
      <c r="F10" s="12" t="s">
        <v>121</v>
      </c>
      <c r="G10" s="12">
        <v>4</v>
      </c>
      <c r="H10" s="13">
        <v>25</v>
      </c>
      <c r="I10" s="7">
        <v>400000</v>
      </c>
      <c r="J10" s="14">
        <v>25708</v>
      </c>
      <c r="K10" s="15">
        <f>L10+23776+26072+26756+24764+18432+17192+18752+24536+24336+16996+23988</f>
        <v>271308</v>
      </c>
      <c r="L10" s="15">
        <f>3394*4+3033*4</f>
        <v>25708</v>
      </c>
      <c r="M10" s="16">
        <f t="shared" si="0"/>
        <v>25708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0.42222222222222222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123</v>
      </c>
      <c r="D11" s="55" t="s">
        <v>120</v>
      </c>
      <c r="E11" s="57" t="s">
        <v>150</v>
      </c>
      <c r="F11" s="12" t="s">
        <v>151</v>
      </c>
      <c r="G11" s="12">
        <v>1</v>
      </c>
      <c r="H11" s="13">
        <v>25</v>
      </c>
      <c r="I11" s="7">
        <v>35000</v>
      </c>
      <c r="J11" s="14">
        <v>1202</v>
      </c>
      <c r="K11" s="15">
        <f>L11+3530+5736+6036+5863+4843+3771+4692+5992+1202</f>
        <v>41665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0.42222222222222222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123</v>
      </c>
      <c r="D12" s="55" t="s">
        <v>292</v>
      </c>
      <c r="E12" s="57" t="s">
        <v>293</v>
      </c>
      <c r="F12" s="33" t="s">
        <v>116</v>
      </c>
      <c r="G12" s="36">
        <v>1</v>
      </c>
      <c r="H12" s="38">
        <v>24</v>
      </c>
      <c r="I12" s="7">
        <v>10000</v>
      </c>
      <c r="J12" s="14">
        <v>2959</v>
      </c>
      <c r="K12" s="15">
        <f>L12+1507</f>
        <v>4466</v>
      </c>
      <c r="L12" s="15">
        <v>2959</v>
      </c>
      <c r="M12" s="16">
        <f t="shared" si="0"/>
        <v>2959</v>
      </c>
      <c r="N12" s="16">
        <v>0</v>
      </c>
      <c r="O12" s="62">
        <f t="shared" si="1"/>
        <v>0</v>
      </c>
      <c r="P12" s="42">
        <f t="shared" si="2"/>
        <v>12</v>
      </c>
      <c r="Q12" s="43">
        <f t="shared" si="3"/>
        <v>12</v>
      </c>
      <c r="R12" s="7"/>
      <c r="S12" s="6"/>
      <c r="T12" s="17"/>
      <c r="U12" s="17"/>
      <c r="V12" s="18">
        <v>12</v>
      </c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0.5</v>
      </c>
      <c r="AD12" s="10">
        <f t="shared" si="6"/>
        <v>0.5</v>
      </c>
      <c r="AE12" s="39">
        <f t="shared" si="7"/>
        <v>0.42222222222222222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123</v>
      </c>
      <c r="D13" s="55" t="s">
        <v>263</v>
      </c>
      <c r="E13" s="57" t="s">
        <v>264</v>
      </c>
      <c r="F13" s="33" t="s">
        <v>129</v>
      </c>
      <c r="G13" s="36">
        <v>1</v>
      </c>
      <c r="H13" s="38">
        <v>24</v>
      </c>
      <c r="I13" s="7">
        <v>3000</v>
      </c>
      <c r="J13" s="14">
        <v>3117</v>
      </c>
      <c r="K13" s="15">
        <f>L13+3117</f>
        <v>3117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0.42222222222222222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114</v>
      </c>
      <c r="D14" s="55" t="s">
        <v>117</v>
      </c>
      <c r="E14" s="57" t="s">
        <v>284</v>
      </c>
      <c r="F14" s="33" t="s">
        <v>160</v>
      </c>
      <c r="G14" s="36">
        <v>1</v>
      </c>
      <c r="H14" s="38">
        <v>25</v>
      </c>
      <c r="I14" s="7">
        <v>2000</v>
      </c>
      <c r="J14" s="5">
        <v>1276</v>
      </c>
      <c r="K14" s="15">
        <f>L14+446</f>
        <v>1722</v>
      </c>
      <c r="L14" s="15">
        <v>1276</v>
      </c>
      <c r="M14" s="16">
        <f t="shared" si="0"/>
        <v>1276</v>
      </c>
      <c r="N14" s="16">
        <v>0</v>
      </c>
      <c r="O14" s="62">
        <f t="shared" si="1"/>
        <v>0</v>
      </c>
      <c r="P14" s="42">
        <f t="shared" si="2"/>
        <v>11</v>
      </c>
      <c r="Q14" s="43">
        <f t="shared" si="3"/>
        <v>13</v>
      </c>
      <c r="R14" s="7"/>
      <c r="S14" s="6"/>
      <c r="T14" s="17"/>
      <c r="U14" s="17"/>
      <c r="V14" s="18">
        <v>13</v>
      </c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0.45833333333333331</v>
      </c>
      <c r="AD14" s="10">
        <f t="shared" si="6"/>
        <v>0.45833333333333331</v>
      </c>
      <c r="AE14" s="39">
        <f t="shared" si="7"/>
        <v>0.42222222222222222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192</v>
      </c>
      <c r="D15" s="55" t="s">
        <v>194</v>
      </c>
      <c r="E15" s="57" t="s">
        <v>191</v>
      </c>
      <c r="F15" s="12" t="s">
        <v>201</v>
      </c>
      <c r="G15" s="12">
        <v>4</v>
      </c>
      <c r="H15" s="13">
        <v>24</v>
      </c>
      <c r="I15" s="34">
        <v>30000</v>
      </c>
      <c r="J15" s="14">
        <v>12736</v>
      </c>
      <c r="K15" s="15">
        <f>L15+15852+24288+12736</f>
        <v>52876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>
        <v>24</v>
      </c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0.42222222222222222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11" t="s">
        <v>123</v>
      </c>
      <c r="D16" s="55" t="s">
        <v>142</v>
      </c>
      <c r="E16" s="57" t="s">
        <v>141</v>
      </c>
      <c r="F16" s="12" t="s">
        <v>121</v>
      </c>
      <c r="G16" s="12">
        <v>3</v>
      </c>
      <c r="H16" s="13">
        <v>25</v>
      </c>
      <c r="I16" s="7">
        <v>62000</v>
      </c>
      <c r="J16" s="14">
        <v>22761</v>
      </c>
      <c r="K16" s="15">
        <f>L16+2238+23913+29388</f>
        <v>78300</v>
      </c>
      <c r="L16" s="15">
        <f>6758*3+829*3</f>
        <v>22761</v>
      </c>
      <c r="M16" s="16">
        <f t="shared" si="0"/>
        <v>22761</v>
      </c>
      <c r="N16" s="16">
        <v>0</v>
      </c>
      <c r="O16" s="62">
        <f t="shared" si="1"/>
        <v>0</v>
      </c>
      <c r="P16" s="42">
        <f t="shared" si="2"/>
        <v>19</v>
      </c>
      <c r="Q16" s="43">
        <f t="shared" si="3"/>
        <v>5</v>
      </c>
      <c r="R16" s="7"/>
      <c r="S16" s="6">
        <v>5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0.79166666666666663</v>
      </c>
      <c r="AD16" s="10">
        <f t="shared" si="6"/>
        <v>0.79166666666666663</v>
      </c>
      <c r="AE16" s="39">
        <f t="shared" si="7"/>
        <v>0.42222222222222222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123</v>
      </c>
      <c r="D17" s="55" t="s">
        <v>124</v>
      </c>
      <c r="E17" s="57" t="s">
        <v>148</v>
      </c>
      <c r="F17" s="12" t="s">
        <v>131</v>
      </c>
      <c r="G17" s="12">
        <v>4</v>
      </c>
      <c r="H17" s="13">
        <v>24</v>
      </c>
      <c r="I17" s="34">
        <v>400000</v>
      </c>
      <c r="J17" s="14">
        <v>25812</v>
      </c>
      <c r="K17" s="15">
        <f>L17+19964+21928+25296+24300+24768+24688+11104+18160+24312+25036+24132</f>
        <v>269500</v>
      </c>
      <c r="L17" s="15">
        <f>3414*4+3039*4</f>
        <v>25812</v>
      </c>
      <c r="M17" s="16">
        <f t="shared" si="0"/>
        <v>25812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0.42222222222222222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123</v>
      </c>
      <c r="D18" s="55" t="s">
        <v>117</v>
      </c>
      <c r="E18" s="57" t="s">
        <v>153</v>
      </c>
      <c r="F18" s="12" t="s">
        <v>129</v>
      </c>
      <c r="G18" s="36">
        <v>4</v>
      </c>
      <c r="H18" s="38">
        <v>24</v>
      </c>
      <c r="I18" s="7">
        <v>400000</v>
      </c>
      <c r="J18" s="5">
        <v>21632</v>
      </c>
      <c r="K18" s="15">
        <f>L18+12380+14384+22568+16460+13888+20848+20972+20888+19996+10224+14424</f>
        <v>208664</v>
      </c>
      <c r="L18" s="15">
        <f>2852*4+2556*4</f>
        <v>21632</v>
      </c>
      <c r="M18" s="16">
        <f t="shared" si="0"/>
        <v>21632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>AC18*AB18*(1-O18)</f>
        <v>1</v>
      </c>
      <c r="AE18" s="39">
        <f t="shared" si="7"/>
        <v>0.42222222222222222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118</v>
      </c>
      <c r="D19" s="55" t="s">
        <v>119</v>
      </c>
      <c r="E19" s="57" t="s">
        <v>309</v>
      </c>
      <c r="F19" s="12" t="s">
        <v>310</v>
      </c>
      <c r="G19" s="36">
        <v>1</v>
      </c>
      <c r="H19" s="13">
        <v>24</v>
      </c>
      <c r="I19" s="7">
        <v>6000</v>
      </c>
      <c r="J19" s="14">
        <v>2947</v>
      </c>
      <c r="K19" s="15">
        <f>L19</f>
        <v>2947</v>
      </c>
      <c r="L19" s="15">
        <f>2947</f>
        <v>2947</v>
      </c>
      <c r="M19" s="16">
        <f t="shared" si="0"/>
        <v>2947</v>
      </c>
      <c r="N19" s="16">
        <v>0</v>
      </c>
      <c r="O19" s="62">
        <f t="shared" si="1"/>
        <v>0</v>
      </c>
      <c r="P19" s="42">
        <f t="shared" si="2"/>
        <v>14</v>
      </c>
      <c r="Q19" s="43">
        <f t="shared" si="3"/>
        <v>10</v>
      </c>
      <c r="R19" s="7"/>
      <c r="S19" s="6"/>
      <c r="T19" s="17">
        <v>10</v>
      </c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0.58333333333333337</v>
      </c>
      <c r="AD19" s="10">
        <f t="shared" si="6"/>
        <v>0.58333333333333337</v>
      </c>
      <c r="AE19" s="39">
        <f t="shared" si="7"/>
        <v>0.42222222222222222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133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L20+39648+30712+45256+43600+10476</f>
        <v>169692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0.42222222222222222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1702000</v>
      </c>
      <c r="J21" s="22">
        <f t="shared" si="9"/>
        <v>152593</v>
      </c>
      <c r="K21" s="23">
        <f t="shared" si="9"/>
        <v>1141245</v>
      </c>
      <c r="L21" s="24">
        <f t="shared" si="9"/>
        <v>120795</v>
      </c>
      <c r="M21" s="23">
        <f t="shared" si="9"/>
        <v>120795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152</v>
      </c>
      <c r="Q21" s="46">
        <f t="shared" si="10"/>
        <v>208</v>
      </c>
      <c r="R21" s="26">
        <f t="shared" si="10"/>
        <v>48</v>
      </c>
      <c r="S21" s="27">
        <f t="shared" si="10"/>
        <v>5</v>
      </c>
      <c r="T21" s="27">
        <f t="shared" si="10"/>
        <v>10</v>
      </c>
      <c r="U21" s="27">
        <f t="shared" si="10"/>
        <v>0</v>
      </c>
      <c r="V21" s="28">
        <f t="shared" si="10"/>
        <v>25</v>
      </c>
      <c r="W21" s="29">
        <f t="shared" si="10"/>
        <v>120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0.53333333333333333</v>
      </c>
      <c r="AC21" s="4">
        <f>SUM(AC6:AC20)/15</f>
        <v>0.42222222222222222</v>
      </c>
      <c r="AD21" s="4">
        <f>SUM(AD6:AD20)/15</f>
        <v>0.42222222222222222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311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314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203" t="s">
        <v>46</v>
      </c>
      <c r="D50" s="203" t="s">
        <v>47</v>
      </c>
      <c r="E50" s="203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203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4" t="s">
        <v>123</v>
      </c>
      <c r="B51" s="435"/>
      <c r="C51" s="200" t="s">
        <v>247</v>
      </c>
      <c r="D51" s="200" t="s">
        <v>227</v>
      </c>
      <c r="E51" s="200" t="s">
        <v>141</v>
      </c>
      <c r="F51" s="445" t="s">
        <v>207</v>
      </c>
      <c r="G51" s="446"/>
      <c r="H51" s="446"/>
      <c r="I51" s="446"/>
      <c r="J51" s="446"/>
      <c r="K51" s="446"/>
      <c r="L51" s="446"/>
      <c r="M51" s="447"/>
      <c r="N51" s="199" t="s">
        <v>118</v>
      </c>
      <c r="O51" s="124" t="s">
        <v>225</v>
      </c>
      <c r="P51" s="443" t="s">
        <v>117</v>
      </c>
      <c r="Q51" s="444"/>
      <c r="R51" s="435" t="s">
        <v>312</v>
      </c>
      <c r="S51" s="435"/>
      <c r="T51" s="435"/>
      <c r="U51" s="435"/>
      <c r="V51" s="426" t="s">
        <v>171</v>
      </c>
      <c r="W51" s="426"/>
      <c r="X51" s="426"/>
      <c r="Y51" s="426"/>
      <c r="Z51" s="426"/>
      <c r="AA51" s="426"/>
      <c r="AB51" s="426"/>
      <c r="AC51" s="426"/>
      <c r="AD51" s="436"/>
    </row>
    <row r="52" spans="1:32" ht="27" customHeight="1">
      <c r="A52" s="434" t="s">
        <v>118</v>
      </c>
      <c r="B52" s="435"/>
      <c r="C52" s="200" t="s">
        <v>219</v>
      </c>
      <c r="D52" s="200" t="s">
        <v>119</v>
      </c>
      <c r="E52" s="200" t="s">
        <v>309</v>
      </c>
      <c r="F52" s="445" t="s">
        <v>171</v>
      </c>
      <c r="G52" s="446"/>
      <c r="H52" s="446"/>
      <c r="I52" s="446"/>
      <c r="J52" s="446"/>
      <c r="K52" s="446"/>
      <c r="L52" s="446"/>
      <c r="M52" s="447"/>
      <c r="N52" s="199" t="s">
        <v>118</v>
      </c>
      <c r="O52" s="124" t="s">
        <v>247</v>
      </c>
      <c r="P52" s="443" t="s">
        <v>124</v>
      </c>
      <c r="Q52" s="444"/>
      <c r="R52" s="435" t="s">
        <v>313</v>
      </c>
      <c r="S52" s="435"/>
      <c r="T52" s="435"/>
      <c r="U52" s="435"/>
      <c r="V52" s="426" t="s">
        <v>171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/>
      <c r="B53" s="435"/>
      <c r="C53" s="200"/>
      <c r="D53" s="200"/>
      <c r="E53" s="200"/>
      <c r="F53" s="445"/>
      <c r="G53" s="446"/>
      <c r="H53" s="446"/>
      <c r="I53" s="446"/>
      <c r="J53" s="446"/>
      <c r="K53" s="446"/>
      <c r="L53" s="446"/>
      <c r="M53" s="447"/>
      <c r="N53" s="199"/>
      <c r="O53" s="124"/>
      <c r="P53" s="435"/>
      <c r="Q53" s="435"/>
      <c r="R53" s="435"/>
      <c r="S53" s="435"/>
      <c r="T53" s="435"/>
      <c r="U53" s="435"/>
      <c r="V53" s="426"/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/>
      <c r="B54" s="435"/>
      <c r="C54" s="200"/>
      <c r="D54" s="200"/>
      <c r="E54" s="200"/>
      <c r="F54" s="445"/>
      <c r="G54" s="446"/>
      <c r="H54" s="446"/>
      <c r="I54" s="446"/>
      <c r="J54" s="446"/>
      <c r="K54" s="446"/>
      <c r="L54" s="446"/>
      <c r="M54" s="447"/>
      <c r="N54" s="199"/>
      <c r="O54" s="124"/>
      <c r="P54" s="443"/>
      <c r="Q54" s="444"/>
      <c r="R54" s="435"/>
      <c r="S54" s="435"/>
      <c r="T54" s="435"/>
      <c r="U54" s="435"/>
      <c r="V54" s="426"/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/>
      <c r="B55" s="435"/>
      <c r="C55" s="200"/>
      <c r="D55" s="200"/>
      <c r="E55" s="200"/>
      <c r="F55" s="445"/>
      <c r="G55" s="446"/>
      <c r="H55" s="446"/>
      <c r="I55" s="446"/>
      <c r="J55" s="446"/>
      <c r="K55" s="446"/>
      <c r="L55" s="446"/>
      <c r="M55" s="447"/>
      <c r="N55" s="199"/>
      <c r="O55" s="124"/>
      <c r="P55" s="435"/>
      <c r="Q55" s="435"/>
      <c r="R55" s="435"/>
      <c r="S55" s="435"/>
      <c r="T55" s="435"/>
      <c r="U55" s="435"/>
      <c r="V55" s="426"/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200"/>
      <c r="D56" s="200"/>
      <c r="E56" s="200"/>
      <c r="F56" s="445"/>
      <c r="G56" s="446"/>
      <c r="H56" s="446"/>
      <c r="I56" s="446"/>
      <c r="J56" s="446"/>
      <c r="K56" s="446"/>
      <c r="L56" s="446"/>
      <c r="M56" s="447"/>
      <c r="N56" s="199"/>
      <c r="O56" s="124"/>
      <c r="P56" s="443"/>
      <c r="Q56" s="444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200"/>
      <c r="D57" s="200"/>
      <c r="E57" s="200"/>
      <c r="F57" s="445"/>
      <c r="G57" s="446"/>
      <c r="H57" s="446"/>
      <c r="I57" s="446"/>
      <c r="J57" s="446"/>
      <c r="K57" s="446"/>
      <c r="L57" s="446"/>
      <c r="M57" s="447"/>
      <c r="N57" s="199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200"/>
      <c r="D58" s="200"/>
      <c r="E58" s="200"/>
      <c r="F58" s="426"/>
      <c r="G58" s="426"/>
      <c r="H58" s="426"/>
      <c r="I58" s="426"/>
      <c r="J58" s="426"/>
      <c r="K58" s="426"/>
      <c r="L58" s="426"/>
      <c r="M58" s="436"/>
      <c r="N58" s="199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200"/>
      <c r="D59" s="200"/>
      <c r="E59" s="200"/>
      <c r="F59" s="445"/>
      <c r="G59" s="446"/>
      <c r="H59" s="446"/>
      <c r="I59" s="446"/>
      <c r="J59" s="446"/>
      <c r="K59" s="446"/>
      <c r="L59" s="446"/>
      <c r="M59" s="447"/>
      <c r="N59" s="199"/>
      <c r="O59" s="124"/>
      <c r="P59" s="435"/>
      <c r="Q59" s="435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  <c r="AF59" s="93">
        <f>8*3000</f>
        <v>24000</v>
      </c>
    </row>
    <row r="60" spans="1:32" ht="27" customHeight="1" thickBot="1">
      <c r="A60" s="437"/>
      <c r="B60" s="438"/>
      <c r="C60" s="202"/>
      <c r="D60" s="202"/>
      <c r="E60" s="202"/>
      <c r="F60" s="439"/>
      <c r="G60" s="439"/>
      <c r="H60" s="439"/>
      <c r="I60" s="439"/>
      <c r="J60" s="439"/>
      <c r="K60" s="439"/>
      <c r="L60" s="439"/>
      <c r="M60" s="440"/>
      <c r="N60" s="201"/>
      <c r="O60" s="120"/>
      <c r="P60" s="438"/>
      <c r="Q60" s="438"/>
      <c r="R60" s="438"/>
      <c r="S60" s="438"/>
      <c r="T60" s="438"/>
      <c r="U60" s="438"/>
      <c r="V60" s="441"/>
      <c r="W60" s="441"/>
      <c r="X60" s="441"/>
      <c r="Y60" s="441"/>
      <c r="Z60" s="441"/>
      <c r="AA60" s="441"/>
      <c r="AB60" s="441"/>
      <c r="AC60" s="441"/>
      <c r="AD60" s="442"/>
      <c r="AF60" s="93">
        <f>16*3000</f>
        <v>48000</v>
      </c>
    </row>
    <row r="61" spans="1:32" ht="27.75" thickBot="1">
      <c r="A61" s="432" t="s">
        <v>315</v>
      </c>
      <c r="B61" s="432"/>
      <c r="C61" s="432"/>
      <c r="D61" s="432"/>
      <c r="E61" s="43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3" t="s">
        <v>113</v>
      </c>
      <c r="B62" s="430"/>
      <c r="C62" s="198" t="s">
        <v>2</v>
      </c>
      <c r="D62" s="198" t="s">
        <v>37</v>
      </c>
      <c r="E62" s="198" t="s">
        <v>3</v>
      </c>
      <c r="F62" s="430" t="s">
        <v>110</v>
      </c>
      <c r="G62" s="430"/>
      <c r="H62" s="430"/>
      <c r="I62" s="430"/>
      <c r="J62" s="430"/>
      <c r="K62" s="430" t="s">
        <v>39</v>
      </c>
      <c r="L62" s="430"/>
      <c r="M62" s="198" t="s">
        <v>40</v>
      </c>
      <c r="N62" s="430" t="s">
        <v>41</v>
      </c>
      <c r="O62" s="430"/>
      <c r="P62" s="427" t="s">
        <v>42</v>
      </c>
      <c r="Q62" s="429"/>
      <c r="R62" s="427" t="s">
        <v>43</v>
      </c>
      <c r="S62" s="428"/>
      <c r="T62" s="428"/>
      <c r="U62" s="428"/>
      <c r="V62" s="428"/>
      <c r="W62" s="428"/>
      <c r="X62" s="428"/>
      <c r="Y62" s="428"/>
      <c r="Z62" s="428"/>
      <c r="AA62" s="429"/>
      <c r="AB62" s="430" t="s">
        <v>44</v>
      </c>
      <c r="AC62" s="430"/>
      <c r="AD62" s="431"/>
      <c r="AF62" s="93">
        <f>SUM(AF59:AF61)</f>
        <v>96000</v>
      </c>
    </row>
    <row r="63" spans="1:32" ht="25.5" customHeight="1">
      <c r="A63" s="422">
        <v>1</v>
      </c>
      <c r="B63" s="423"/>
      <c r="C63" s="123" t="s">
        <v>114</v>
      </c>
      <c r="D63" s="194"/>
      <c r="E63" s="197" t="s">
        <v>305</v>
      </c>
      <c r="F63" s="424" t="s">
        <v>235</v>
      </c>
      <c r="G63" s="416"/>
      <c r="H63" s="416"/>
      <c r="I63" s="416"/>
      <c r="J63" s="416"/>
      <c r="K63" s="416" t="s">
        <v>303</v>
      </c>
      <c r="L63" s="416"/>
      <c r="M63" s="54" t="s">
        <v>197</v>
      </c>
      <c r="N63" s="416">
        <v>8</v>
      </c>
      <c r="O63" s="416"/>
      <c r="P63" s="425">
        <v>50</v>
      </c>
      <c r="Q63" s="425"/>
      <c r="R63" s="426"/>
      <c r="S63" s="426"/>
      <c r="T63" s="426"/>
      <c r="U63" s="426"/>
      <c r="V63" s="426"/>
      <c r="W63" s="426"/>
      <c r="X63" s="426"/>
      <c r="Y63" s="426"/>
      <c r="Z63" s="426"/>
      <c r="AA63" s="426"/>
      <c r="AB63" s="416"/>
      <c r="AC63" s="416"/>
      <c r="AD63" s="417"/>
      <c r="AF63" s="53"/>
    </row>
    <row r="64" spans="1:32" ht="25.5" customHeight="1">
      <c r="A64" s="422">
        <v>2</v>
      </c>
      <c r="B64" s="423"/>
      <c r="C64" s="123" t="s">
        <v>114</v>
      </c>
      <c r="D64" s="194"/>
      <c r="E64" s="197" t="s">
        <v>134</v>
      </c>
      <c r="F64" s="424" t="s">
        <v>196</v>
      </c>
      <c r="G64" s="416"/>
      <c r="H64" s="416"/>
      <c r="I64" s="416"/>
      <c r="J64" s="416"/>
      <c r="K64" s="416" t="s">
        <v>121</v>
      </c>
      <c r="L64" s="416"/>
      <c r="M64" s="54" t="s">
        <v>197</v>
      </c>
      <c r="N64" s="416">
        <v>4</v>
      </c>
      <c r="O64" s="416"/>
      <c r="P64" s="425">
        <v>200</v>
      </c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3</v>
      </c>
      <c r="B65" s="423"/>
      <c r="C65" s="123" t="s">
        <v>114</v>
      </c>
      <c r="D65" s="194"/>
      <c r="E65" s="197" t="s">
        <v>318</v>
      </c>
      <c r="F65" s="424" t="s">
        <v>319</v>
      </c>
      <c r="G65" s="416"/>
      <c r="H65" s="416"/>
      <c r="I65" s="416"/>
      <c r="J65" s="416"/>
      <c r="K65" s="416" t="s">
        <v>320</v>
      </c>
      <c r="L65" s="416"/>
      <c r="M65" s="54" t="s">
        <v>135</v>
      </c>
      <c r="N65" s="416">
        <v>6</v>
      </c>
      <c r="O65" s="416"/>
      <c r="P65" s="425">
        <v>50</v>
      </c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4</v>
      </c>
      <c r="B66" s="423"/>
      <c r="C66" s="123"/>
      <c r="D66" s="194"/>
      <c r="E66" s="197"/>
      <c r="F66" s="424"/>
      <c r="G66" s="416"/>
      <c r="H66" s="416"/>
      <c r="I66" s="416"/>
      <c r="J66" s="416"/>
      <c r="K66" s="416"/>
      <c r="L66" s="416"/>
      <c r="M66" s="54"/>
      <c r="N66" s="416"/>
      <c r="O66" s="416"/>
      <c r="P66" s="425"/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5</v>
      </c>
      <c r="B67" s="423"/>
      <c r="C67" s="123"/>
      <c r="D67" s="194"/>
      <c r="E67" s="197"/>
      <c r="F67" s="424"/>
      <c r="G67" s="416"/>
      <c r="H67" s="416"/>
      <c r="I67" s="416"/>
      <c r="J67" s="416"/>
      <c r="K67" s="416"/>
      <c r="L67" s="416"/>
      <c r="M67" s="54"/>
      <c r="N67" s="416"/>
      <c r="O67" s="416"/>
      <c r="P67" s="425"/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6</v>
      </c>
      <c r="B68" s="423"/>
      <c r="C68" s="123"/>
      <c r="D68" s="194"/>
      <c r="E68" s="197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7</v>
      </c>
      <c r="B69" s="423"/>
      <c r="C69" s="123"/>
      <c r="D69" s="194"/>
      <c r="E69" s="197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8</v>
      </c>
      <c r="B70" s="423"/>
      <c r="C70" s="123"/>
      <c r="D70" s="194"/>
      <c r="E70" s="197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6.25" customHeight="1" thickBot="1">
      <c r="A71" s="396" t="s">
        <v>316</v>
      </c>
      <c r="B71" s="396"/>
      <c r="C71" s="396"/>
      <c r="D71" s="396"/>
      <c r="E71" s="396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7" t="s">
        <v>113</v>
      </c>
      <c r="B72" s="398"/>
      <c r="C72" s="196" t="s">
        <v>2</v>
      </c>
      <c r="D72" s="196" t="s">
        <v>37</v>
      </c>
      <c r="E72" s="196" t="s">
        <v>3</v>
      </c>
      <c r="F72" s="398" t="s">
        <v>38</v>
      </c>
      <c r="G72" s="398"/>
      <c r="H72" s="398"/>
      <c r="I72" s="398"/>
      <c r="J72" s="398"/>
      <c r="K72" s="418" t="s">
        <v>58</v>
      </c>
      <c r="L72" s="419"/>
      <c r="M72" s="419"/>
      <c r="N72" s="419"/>
      <c r="O72" s="419"/>
      <c r="P72" s="419"/>
      <c r="Q72" s="419"/>
      <c r="R72" s="419"/>
      <c r="S72" s="420"/>
      <c r="T72" s="398" t="s">
        <v>49</v>
      </c>
      <c r="U72" s="398"/>
      <c r="V72" s="418" t="s">
        <v>50</v>
      </c>
      <c r="W72" s="420"/>
      <c r="X72" s="419" t="s">
        <v>51</v>
      </c>
      <c r="Y72" s="419"/>
      <c r="Z72" s="419"/>
      <c r="AA72" s="419"/>
      <c r="AB72" s="419"/>
      <c r="AC72" s="419"/>
      <c r="AD72" s="421"/>
      <c r="AF72" s="53"/>
    </row>
    <row r="73" spans="1:32" ht="33.75" customHeight="1">
      <c r="A73" s="390">
        <v>1</v>
      </c>
      <c r="B73" s="391"/>
      <c r="C73" s="195" t="s">
        <v>114</v>
      </c>
      <c r="D73" s="195"/>
      <c r="E73" s="71" t="s">
        <v>127</v>
      </c>
      <c r="F73" s="405" t="s">
        <v>126</v>
      </c>
      <c r="G73" s="406"/>
      <c r="H73" s="406"/>
      <c r="I73" s="406"/>
      <c r="J73" s="407"/>
      <c r="K73" s="408" t="s">
        <v>128</v>
      </c>
      <c r="L73" s="409"/>
      <c r="M73" s="409"/>
      <c r="N73" s="409"/>
      <c r="O73" s="409"/>
      <c r="P73" s="409"/>
      <c r="Q73" s="409"/>
      <c r="R73" s="409"/>
      <c r="S73" s="410"/>
      <c r="T73" s="411">
        <v>43384</v>
      </c>
      <c r="U73" s="412"/>
      <c r="V73" s="413"/>
      <c r="W73" s="413"/>
      <c r="X73" s="414"/>
      <c r="Y73" s="414"/>
      <c r="Z73" s="414"/>
      <c r="AA73" s="414"/>
      <c r="AB73" s="414"/>
      <c r="AC73" s="414"/>
      <c r="AD73" s="415"/>
      <c r="AF73" s="53"/>
    </row>
    <row r="74" spans="1:32" ht="30" customHeight="1">
      <c r="A74" s="383">
        <f>A73+1</f>
        <v>2</v>
      </c>
      <c r="B74" s="384"/>
      <c r="C74" s="194"/>
      <c r="D74" s="194"/>
      <c r="E74" s="35"/>
      <c r="F74" s="384"/>
      <c r="G74" s="384"/>
      <c r="H74" s="384"/>
      <c r="I74" s="384"/>
      <c r="J74" s="384"/>
      <c r="K74" s="399"/>
      <c r="L74" s="400"/>
      <c r="M74" s="400"/>
      <c r="N74" s="400"/>
      <c r="O74" s="400"/>
      <c r="P74" s="400"/>
      <c r="Q74" s="400"/>
      <c r="R74" s="400"/>
      <c r="S74" s="401"/>
      <c r="T74" s="402"/>
      <c r="U74" s="402"/>
      <c r="V74" s="402"/>
      <c r="W74" s="402"/>
      <c r="X74" s="403"/>
      <c r="Y74" s="403"/>
      <c r="Z74" s="403"/>
      <c r="AA74" s="403"/>
      <c r="AB74" s="403"/>
      <c r="AC74" s="403"/>
      <c r="AD74" s="404"/>
      <c r="AF74" s="53"/>
    </row>
    <row r="75" spans="1:32" ht="30" customHeight="1">
      <c r="A75" s="383">
        <f t="shared" ref="A75:A81" si="11">A74+1</f>
        <v>3</v>
      </c>
      <c r="B75" s="384"/>
      <c r="C75" s="194"/>
      <c r="D75" s="194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si="11"/>
        <v>4</v>
      </c>
      <c r="B76" s="384"/>
      <c r="C76" s="194"/>
      <c r="D76" s="194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1"/>
        <v>5</v>
      </c>
      <c r="B77" s="384"/>
      <c r="C77" s="194"/>
      <c r="D77" s="194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1"/>
        <v>6</v>
      </c>
      <c r="B78" s="384"/>
      <c r="C78" s="194"/>
      <c r="D78" s="194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1"/>
        <v>7</v>
      </c>
      <c r="B79" s="384"/>
      <c r="C79" s="194"/>
      <c r="D79" s="194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1"/>
        <v>8</v>
      </c>
      <c r="B80" s="384"/>
      <c r="C80" s="194"/>
      <c r="D80" s="194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1"/>
        <v>9</v>
      </c>
      <c r="B81" s="384"/>
      <c r="C81" s="194"/>
      <c r="D81" s="194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6" thickBot="1">
      <c r="A82" s="396" t="s">
        <v>317</v>
      </c>
      <c r="B82" s="396"/>
      <c r="C82" s="396"/>
      <c r="D82" s="396"/>
      <c r="E82" s="396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7" t="s">
        <v>113</v>
      </c>
      <c r="B83" s="398"/>
      <c r="C83" s="388" t="s">
        <v>52</v>
      </c>
      <c r="D83" s="388"/>
      <c r="E83" s="388" t="s">
        <v>53</v>
      </c>
      <c r="F83" s="388"/>
      <c r="G83" s="388"/>
      <c r="H83" s="388"/>
      <c r="I83" s="388"/>
      <c r="J83" s="388"/>
      <c r="K83" s="388" t="s">
        <v>54</v>
      </c>
      <c r="L83" s="388"/>
      <c r="M83" s="388"/>
      <c r="N83" s="388"/>
      <c r="O83" s="388"/>
      <c r="P83" s="388"/>
      <c r="Q83" s="388"/>
      <c r="R83" s="388"/>
      <c r="S83" s="388"/>
      <c r="T83" s="388" t="s">
        <v>55</v>
      </c>
      <c r="U83" s="388"/>
      <c r="V83" s="388" t="s">
        <v>56</v>
      </c>
      <c r="W83" s="388"/>
      <c r="X83" s="388"/>
      <c r="Y83" s="388" t="s">
        <v>51</v>
      </c>
      <c r="Z83" s="388"/>
      <c r="AA83" s="388"/>
      <c r="AB83" s="388"/>
      <c r="AC83" s="388"/>
      <c r="AD83" s="389"/>
      <c r="AF83" s="53"/>
    </row>
    <row r="84" spans="1:32" ht="30.75" customHeight="1">
      <c r="A84" s="390">
        <v>1</v>
      </c>
      <c r="B84" s="391"/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3"/>
      <c r="W84" s="393"/>
      <c r="X84" s="393"/>
      <c r="Y84" s="394"/>
      <c r="Z84" s="394"/>
      <c r="AA84" s="394"/>
      <c r="AB84" s="394"/>
      <c r="AC84" s="394"/>
      <c r="AD84" s="395"/>
      <c r="AF84" s="53"/>
    </row>
    <row r="85" spans="1:32" ht="30.75" customHeight="1">
      <c r="A85" s="383">
        <v>2</v>
      </c>
      <c r="B85" s="384"/>
      <c r="C85" s="385"/>
      <c r="D85" s="385"/>
      <c r="E85" s="385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6"/>
      <c r="U85" s="386"/>
      <c r="V85" s="387"/>
      <c r="W85" s="387"/>
      <c r="X85" s="387"/>
      <c r="Y85" s="376"/>
      <c r="Z85" s="376"/>
      <c r="AA85" s="376"/>
      <c r="AB85" s="376"/>
      <c r="AC85" s="376"/>
      <c r="AD85" s="377"/>
      <c r="AF85" s="53"/>
    </row>
    <row r="86" spans="1:32" ht="30.75" customHeight="1" thickBot="1">
      <c r="A86" s="378">
        <v>3</v>
      </c>
      <c r="B86" s="379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  <c r="X86" s="380"/>
      <c r="Y86" s="381"/>
      <c r="Z86" s="381"/>
      <c r="AA86" s="381"/>
      <c r="AB86" s="381"/>
      <c r="AC86" s="381"/>
      <c r="AD86" s="382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72C9-1996-462E-86E4-755B93EB680C}">
  <sheetPr>
    <pageSetUpPr fitToPage="1"/>
  </sheetPr>
  <dimension ref="A1:AF86"/>
  <sheetViews>
    <sheetView topLeftCell="A40"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321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05" t="s">
        <v>17</v>
      </c>
      <c r="L5" s="205" t="s">
        <v>18</v>
      </c>
      <c r="M5" s="205" t="s">
        <v>19</v>
      </c>
      <c r="N5" s="20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0.53332078853046594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0.53332078853046594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192</v>
      </c>
      <c r="D8" s="55" t="s">
        <v>289</v>
      </c>
      <c r="E8" s="57" t="s">
        <v>290</v>
      </c>
      <c r="F8" s="33" t="s">
        <v>291</v>
      </c>
      <c r="G8" s="36">
        <v>3</v>
      </c>
      <c r="H8" s="38">
        <v>25</v>
      </c>
      <c r="I8" s="7">
        <v>50000</v>
      </c>
      <c r="J8" s="5">
        <v>8460</v>
      </c>
      <c r="K8" s="15">
        <f>L8+15021+17700</f>
        <v>41181</v>
      </c>
      <c r="L8" s="15">
        <f>2820*3</f>
        <v>8460</v>
      </c>
      <c r="M8" s="16">
        <f t="shared" si="0"/>
        <v>8460</v>
      </c>
      <c r="N8" s="16">
        <v>0</v>
      </c>
      <c r="O8" s="62">
        <f t="shared" si="1"/>
        <v>0</v>
      </c>
      <c r="P8" s="42">
        <f t="shared" si="2"/>
        <v>14</v>
      </c>
      <c r="Q8" s="43">
        <f t="shared" si="3"/>
        <v>10</v>
      </c>
      <c r="R8" s="7"/>
      <c r="S8" s="6"/>
      <c r="T8" s="17"/>
      <c r="U8" s="17"/>
      <c r="V8" s="18"/>
      <c r="W8" s="19">
        <v>10</v>
      </c>
      <c r="X8" s="17"/>
      <c r="Y8" s="20"/>
      <c r="Z8" s="20"/>
      <c r="AA8" s="21"/>
      <c r="AB8" s="8">
        <f t="shared" si="4"/>
        <v>1</v>
      </c>
      <c r="AC8" s="9">
        <f t="shared" si="5"/>
        <v>0.58333333333333337</v>
      </c>
      <c r="AD8" s="10">
        <f t="shared" si="6"/>
        <v>0.58333333333333337</v>
      </c>
      <c r="AE8" s="39">
        <f t="shared" si="7"/>
        <v>0.53332078853046594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114</v>
      </c>
      <c r="D9" s="55" t="s">
        <v>127</v>
      </c>
      <c r="E9" s="57" t="s">
        <v>273</v>
      </c>
      <c r="F9" s="33" t="s">
        <v>121</v>
      </c>
      <c r="G9" s="36">
        <v>1</v>
      </c>
      <c r="H9" s="38">
        <v>24</v>
      </c>
      <c r="I9" s="7">
        <v>4000</v>
      </c>
      <c r="J9" s="14">
        <v>4267</v>
      </c>
      <c r="K9" s="15">
        <f>L9+4267</f>
        <v>4267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0.53332078853046594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123</v>
      </c>
      <c r="D10" s="55" t="s">
        <v>119</v>
      </c>
      <c r="E10" s="57" t="s">
        <v>147</v>
      </c>
      <c r="F10" s="12" t="s">
        <v>121</v>
      </c>
      <c r="G10" s="12">
        <v>4</v>
      </c>
      <c r="H10" s="13">
        <v>25</v>
      </c>
      <c r="I10" s="7">
        <v>400000</v>
      </c>
      <c r="J10" s="14">
        <v>23312</v>
      </c>
      <c r="K10" s="15">
        <f>L10+23776+26072+26756+24764+18432+17192+18752+24536+24336+16996+23988+25708</f>
        <v>294620</v>
      </c>
      <c r="L10" s="15">
        <f>3178*4+2650*4</f>
        <v>23312</v>
      </c>
      <c r="M10" s="16">
        <f t="shared" si="0"/>
        <v>23312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0.53332078853046594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123</v>
      </c>
      <c r="D11" s="55" t="s">
        <v>124</v>
      </c>
      <c r="E11" s="57" t="s">
        <v>322</v>
      </c>
      <c r="F11" s="12" t="s">
        <v>131</v>
      </c>
      <c r="G11" s="12">
        <v>1</v>
      </c>
      <c r="H11" s="13">
        <v>25</v>
      </c>
      <c r="I11" s="7">
        <v>6000</v>
      </c>
      <c r="J11" s="14">
        <v>4219</v>
      </c>
      <c r="K11" s="15">
        <f>L11</f>
        <v>4219</v>
      </c>
      <c r="L11" s="15">
        <f>1122+3097</f>
        <v>4219</v>
      </c>
      <c r="M11" s="16">
        <f t="shared" si="0"/>
        <v>4219</v>
      </c>
      <c r="N11" s="16">
        <v>0</v>
      </c>
      <c r="O11" s="62">
        <f t="shared" si="1"/>
        <v>0</v>
      </c>
      <c r="P11" s="42">
        <f t="shared" si="2"/>
        <v>21</v>
      </c>
      <c r="Q11" s="43">
        <f t="shared" si="3"/>
        <v>3</v>
      </c>
      <c r="R11" s="7"/>
      <c r="S11" s="6"/>
      <c r="T11" s="17">
        <v>3</v>
      </c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0.875</v>
      </c>
      <c r="AD11" s="10">
        <f t="shared" si="6"/>
        <v>0.875</v>
      </c>
      <c r="AE11" s="39">
        <f t="shared" si="7"/>
        <v>0.53332078853046594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123</v>
      </c>
      <c r="D12" s="55" t="s">
        <v>292</v>
      </c>
      <c r="E12" s="57" t="s">
        <v>293</v>
      </c>
      <c r="F12" s="33" t="s">
        <v>116</v>
      </c>
      <c r="G12" s="36">
        <v>1</v>
      </c>
      <c r="H12" s="38">
        <v>24</v>
      </c>
      <c r="I12" s="7">
        <v>10000</v>
      </c>
      <c r="J12" s="14">
        <v>3100</v>
      </c>
      <c r="K12" s="15">
        <f>L12+1507+2959</f>
        <v>7565</v>
      </c>
      <c r="L12" s="15">
        <v>3099</v>
      </c>
      <c r="M12" s="16">
        <f t="shared" si="0"/>
        <v>3099</v>
      </c>
      <c r="N12" s="16">
        <v>0</v>
      </c>
      <c r="O12" s="62">
        <f t="shared" si="1"/>
        <v>0</v>
      </c>
      <c r="P12" s="42">
        <f t="shared" si="2"/>
        <v>14</v>
      </c>
      <c r="Q12" s="43">
        <f t="shared" si="3"/>
        <v>10</v>
      </c>
      <c r="R12" s="7"/>
      <c r="S12" s="6"/>
      <c r="T12" s="17"/>
      <c r="U12" s="17"/>
      <c r="V12" s="18">
        <v>10</v>
      </c>
      <c r="W12" s="19"/>
      <c r="X12" s="17"/>
      <c r="Y12" s="20"/>
      <c r="Z12" s="20"/>
      <c r="AA12" s="21"/>
      <c r="AB12" s="8">
        <f t="shared" si="4"/>
        <v>0.99967741935483867</v>
      </c>
      <c r="AC12" s="9">
        <f t="shared" si="5"/>
        <v>0.58333333333333337</v>
      </c>
      <c r="AD12" s="10">
        <f t="shared" si="6"/>
        <v>0.58314516129032257</v>
      </c>
      <c r="AE12" s="39">
        <f t="shared" si="7"/>
        <v>0.53332078853046594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117</v>
      </c>
      <c r="E13" s="57" t="s">
        <v>312</v>
      </c>
      <c r="F13" s="33" t="s">
        <v>242</v>
      </c>
      <c r="G13" s="36">
        <v>1</v>
      </c>
      <c r="H13" s="38">
        <v>24</v>
      </c>
      <c r="I13" s="7">
        <v>6000</v>
      </c>
      <c r="J13" s="14">
        <v>3091</v>
      </c>
      <c r="K13" s="15">
        <f>L13</f>
        <v>3091</v>
      </c>
      <c r="L13" s="15">
        <f>1124+1967</f>
        <v>3091</v>
      </c>
      <c r="M13" s="16">
        <f t="shared" si="0"/>
        <v>3091</v>
      </c>
      <c r="N13" s="16">
        <v>0</v>
      </c>
      <c r="O13" s="62">
        <f t="shared" si="1"/>
        <v>0</v>
      </c>
      <c r="P13" s="42">
        <f t="shared" si="2"/>
        <v>18</v>
      </c>
      <c r="Q13" s="43">
        <f t="shared" si="3"/>
        <v>6</v>
      </c>
      <c r="R13" s="7"/>
      <c r="S13" s="6">
        <v>6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0.75</v>
      </c>
      <c r="AD13" s="10">
        <f t="shared" si="6"/>
        <v>0.75</v>
      </c>
      <c r="AE13" s="39">
        <f t="shared" si="7"/>
        <v>0.53332078853046594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114</v>
      </c>
      <c r="D14" s="55" t="s">
        <v>117</v>
      </c>
      <c r="E14" s="57" t="s">
        <v>284</v>
      </c>
      <c r="F14" s="33" t="s">
        <v>160</v>
      </c>
      <c r="G14" s="36">
        <v>1</v>
      </c>
      <c r="H14" s="38">
        <v>25</v>
      </c>
      <c r="I14" s="7">
        <v>2000</v>
      </c>
      <c r="J14" s="5">
        <v>373</v>
      </c>
      <c r="K14" s="15">
        <f>L14+446+1276</f>
        <v>2095</v>
      </c>
      <c r="L14" s="15">
        <v>373</v>
      </c>
      <c r="M14" s="16">
        <f t="shared" si="0"/>
        <v>373</v>
      </c>
      <c r="N14" s="16">
        <v>0</v>
      </c>
      <c r="O14" s="62">
        <f t="shared" si="1"/>
        <v>0</v>
      </c>
      <c r="P14" s="42">
        <f t="shared" si="2"/>
        <v>6</v>
      </c>
      <c r="Q14" s="43">
        <f t="shared" si="3"/>
        <v>18</v>
      </c>
      <c r="R14" s="7"/>
      <c r="S14" s="6"/>
      <c r="T14" s="17"/>
      <c r="U14" s="17"/>
      <c r="V14" s="18"/>
      <c r="W14" s="19">
        <v>18</v>
      </c>
      <c r="X14" s="17"/>
      <c r="Y14" s="20"/>
      <c r="Z14" s="20"/>
      <c r="AA14" s="21"/>
      <c r="AB14" s="8">
        <f t="shared" si="4"/>
        <v>1</v>
      </c>
      <c r="AC14" s="9">
        <f t="shared" si="5"/>
        <v>0.25</v>
      </c>
      <c r="AD14" s="10">
        <f t="shared" si="6"/>
        <v>0.25</v>
      </c>
      <c r="AE14" s="39">
        <f t="shared" si="7"/>
        <v>0.53332078853046594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192</v>
      </c>
      <c r="D15" s="55" t="s">
        <v>194</v>
      </c>
      <c r="E15" s="57" t="s">
        <v>191</v>
      </c>
      <c r="F15" s="12" t="s">
        <v>201</v>
      </c>
      <c r="G15" s="12">
        <v>4</v>
      </c>
      <c r="H15" s="13">
        <v>24</v>
      </c>
      <c r="I15" s="34">
        <v>30000</v>
      </c>
      <c r="J15" s="14">
        <v>12736</v>
      </c>
      <c r="K15" s="15">
        <f>L15+15852+24288+12736</f>
        <v>52876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>
        <v>24</v>
      </c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0.53332078853046594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11" t="s">
        <v>118</v>
      </c>
      <c r="D16" s="55" t="s">
        <v>124</v>
      </c>
      <c r="E16" s="57" t="s">
        <v>313</v>
      </c>
      <c r="F16" s="12" t="s">
        <v>252</v>
      </c>
      <c r="G16" s="12">
        <v>1</v>
      </c>
      <c r="H16" s="13">
        <v>25</v>
      </c>
      <c r="I16" s="7">
        <v>6000</v>
      </c>
      <c r="J16" s="14">
        <v>4906</v>
      </c>
      <c r="K16" s="15">
        <f>L16</f>
        <v>4906</v>
      </c>
      <c r="L16" s="15">
        <f>1779+3127</f>
        <v>4906</v>
      </c>
      <c r="M16" s="16">
        <f t="shared" si="0"/>
        <v>4906</v>
      </c>
      <c r="N16" s="16">
        <v>0</v>
      </c>
      <c r="O16" s="62">
        <f t="shared" si="1"/>
        <v>0</v>
      </c>
      <c r="P16" s="42">
        <f t="shared" si="2"/>
        <v>23</v>
      </c>
      <c r="Q16" s="43">
        <f t="shared" si="3"/>
        <v>1</v>
      </c>
      <c r="R16" s="7"/>
      <c r="S16" s="6"/>
      <c r="T16" s="17">
        <v>1</v>
      </c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0.95833333333333337</v>
      </c>
      <c r="AD16" s="10">
        <f t="shared" si="6"/>
        <v>0.95833333333333337</v>
      </c>
      <c r="AE16" s="39">
        <f t="shared" si="7"/>
        <v>0.53332078853046594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123</v>
      </c>
      <c r="D17" s="55" t="s">
        <v>124</v>
      </c>
      <c r="E17" s="57" t="s">
        <v>148</v>
      </c>
      <c r="F17" s="12" t="s">
        <v>131</v>
      </c>
      <c r="G17" s="12">
        <v>4</v>
      </c>
      <c r="H17" s="13">
        <v>24</v>
      </c>
      <c r="I17" s="34">
        <v>400000</v>
      </c>
      <c r="J17" s="14">
        <v>24196</v>
      </c>
      <c r="K17" s="15">
        <f>L17+19964+21928+25296+24300+24768+24688+11104+18160+24312+25036+24132+25812</f>
        <v>293696</v>
      </c>
      <c r="L17" s="15">
        <f>2662*4+3387*4</f>
        <v>24196</v>
      </c>
      <c r="M17" s="16">
        <f t="shared" si="0"/>
        <v>24196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0.53332078853046594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123</v>
      </c>
      <c r="D18" s="55" t="s">
        <v>117</v>
      </c>
      <c r="E18" s="57" t="s">
        <v>153</v>
      </c>
      <c r="F18" s="12" t="s">
        <v>129</v>
      </c>
      <c r="G18" s="36">
        <v>4</v>
      </c>
      <c r="H18" s="38">
        <v>24</v>
      </c>
      <c r="I18" s="7">
        <v>400000</v>
      </c>
      <c r="J18" s="5">
        <v>20220</v>
      </c>
      <c r="K18" s="15">
        <f>L18+12380+14384+22568+16460+13888+20848+20972+20888+19996+10224+14424+21632</f>
        <v>228884</v>
      </c>
      <c r="L18" s="15">
        <f>2843*4+2212*4</f>
        <v>20220</v>
      </c>
      <c r="M18" s="16">
        <f t="shared" si="0"/>
        <v>20220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>AC18*AB18*(1-O18)</f>
        <v>1</v>
      </c>
      <c r="AE18" s="39">
        <f t="shared" si="7"/>
        <v>0.53332078853046594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118</v>
      </c>
      <c r="D19" s="55" t="s">
        <v>119</v>
      </c>
      <c r="E19" s="57" t="s">
        <v>309</v>
      </c>
      <c r="F19" s="12" t="s">
        <v>310</v>
      </c>
      <c r="G19" s="36">
        <v>1</v>
      </c>
      <c r="H19" s="13">
        <v>24</v>
      </c>
      <c r="I19" s="7">
        <v>6000</v>
      </c>
      <c r="J19" s="14">
        <v>5418</v>
      </c>
      <c r="K19" s="15">
        <f>L19+2947</f>
        <v>8365</v>
      </c>
      <c r="L19" s="15">
        <f>3062+2356</f>
        <v>5418</v>
      </c>
      <c r="M19" s="16">
        <f t="shared" si="0"/>
        <v>5418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0.53332078853046594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133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L20+39648+30712+45256+43600+10476</f>
        <v>169692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0.53332078853046594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1620000</v>
      </c>
      <c r="J21" s="22">
        <f t="shared" si="9"/>
        <v>124774</v>
      </c>
      <c r="K21" s="23">
        <f t="shared" si="9"/>
        <v>1115457</v>
      </c>
      <c r="L21" s="24">
        <f t="shared" si="9"/>
        <v>97294</v>
      </c>
      <c r="M21" s="23">
        <f t="shared" si="9"/>
        <v>97294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192</v>
      </c>
      <c r="Q21" s="46">
        <f t="shared" si="10"/>
        <v>168</v>
      </c>
      <c r="R21" s="26">
        <f t="shared" si="10"/>
        <v>48</v>
      </c>
      <c r="S21" s="27">
        <f t="shared" si="10"/>
        <v>6</v>
      </c>
      <c r="T21" s="27">
        <f t="shared" si="10"/>
        <v>4</v>
      </c>
      <c r="U21" s="27">
        <f t="shared" si="10"/>
        <v>0</v>
      </c>
      <c r="V21" s="28">
        <f t="shared" si="10"/>
        <v>10</v>
      </c>
      <c r="W21" s="29">
        <f t="shared" si="10"/>
        <v>100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0.66664516129032259</v>
      </c>
      <c r="AC21" s="4">
        <f>SUM(AC6:AC20)/15</f>
        <v>0.53333333333333333</v>
      </c>
      <c r="AD21" s="4">
        <f>SUM(AD6:AD20)/15</f>
        <v>0.53332078853046594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323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325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206" t="s">
        <v>46</v>
      </c>
      <c r="D50" s="206" t="s">
        <v>47</v>
      </c>
      <c r="E50" s="206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206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4" t="s">
        <v>118</v>
      </c>
      <c r="B51" s="435"/>
      <c r="C51" s="208" t="s">
        <v>247</v>
      </c>
      <c r="D51" s="208" t="s">
        <v>124</v>
      </c>
      <c r="E51" s="208" t="s">
        <v>313</v>
      </c>
      <c r="F51" s="445" t="s">
        <v>171</v>
      </c>
      <c r="G51" s="446"/>
      <c r="H51" s="446"/>
      <c r="I51" s="446"/>
      <c r="J51" s="446"/>
      <c r="K51" s="446"/>
      <c r="L51" s="446"/>
      <c r="M51" s="447"/>
      <c r="N51" s="207" t="s">
        <v>114</v>
      </c>
      <c r="O51" s="124" t="s">
        <v>275</v>
      </c>
      <c r="P51" s="443" t="s">
        <v>117</v>
      </c>
      <c r="Q51" s="444"/>
      <c r="R51" s="435" t="s">
        <v>299</v>
      </c>
      <c r="S51" s="435"/>
      <c r="T51" s="435"/>
      <c r="U51" s="435"/>
      <c r="V51" s="426" t="s">
        <v>171</v>
      </c>
      <c r="W51" s="426"/>
      <c r="X51" s="426"/>
      <c r="Y51" s="426"/>
      <c r="Z51" s="426"/>
      <c r="AA51" s="426"/>
      <c r="AB51" s="426"/>
      <c r="AC51" s="426"/>
      <c r="AD51" s="436"/>
    </row>
    <row r="52" spans="1:32" ht="27" customHeight="1">
      <c r="A52" s="434" t="s">
        <v>118</v>
      </c>
      <c r="B52" s="435"/>
      <c r="C52" s="208" t="s">
        <v>225</v>
      </c>
      <c r="D52" s="208" t="s">
        <v>117</v>
      </c>
      <c r="E52" s="208" t="s">
        <v>312</v>
      </c>
      <c r="F52" s="445" t="s">
        <v>324</v>
      </c>
      <c r="G52" s="446"/>
      <c r="H52" s="446"/>
      <c r="I52" s="446"/>
      <c r="J52" s="446"/>
      <c r="K52" s="446"/>
      <c r="L52" s="446"/>
      <c r="M52" s="447"/>
      <c r="N52" s="207"/>
      <c r="O52" s="124"/>
      <c r="P52" s="443"/>
      <c r="Q52" s="444"/>
      <c r="R52" s="435"/>
      <c r="S52" s="435"/>
      <c r="T52" s="435"/>
      <c r="U52" s="435"/>
      <c r="V52" s="426"/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118</v>
      </c>
      <c r="B53" s="435"/>
      <c r="C53" s="208" t="s">
        <v>144</v>
      </c>
      <c r="D53" s="208" t="s">
        <v>124</v>
      </c>
      <c r="E53" s="208" t="s">
        <v>322</v>
      </c>
      <c r="F53" s="445" t="s">
        <v>171</v>
      </c>
      <c r="G53" s="446"/>
      <c r="H53" s="446"/>
      <c r="I53" s="446"/>
      <c r="J53" s="446"/>
      <c r="K53" s="446"/>
      <c r="L53" s="446"/>
      <c r="M53" s="447"/>
      <c r="N53" s="207"/>
      <c r="O53" s="124"/>
      <c r="P53" s="435"/>
      <c r="Q53" s="435"/>
      <c r="R53" s="435"/>
      <c r="S53" s="435"/>
      <c r="T53" s="435"/>
      <c r="U53" s="435"/>
      <c r="V53" s="426"/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/>
      <c r="B54" s="435"/>
      <c r="C54" s="208"/>
      <c r="D54" s="208"/>
      <c r="E54" s="208"/>
      <c r="F54" s="445"/>
      <c r="G54" s="446"/>
      <c r="H54" s="446"/>
      <c r="I54" s="446"/>
      <c r="J54" s="446"/>
      <c r="K54" s="446"/>
      <c r="L54" s="446"/>
      <c r="M54" s="447"/>
      <c r="N54" s="207"/>
      <c r="O54" s="124"/>
      <c r="P54" s="443"/>
      <c r="Q54" s="444"/>
      <c r="R54" s="435"/>
      <c r="S54" s="435"/>
      <c r="T54" s="435"/>
      <c r="U54" s="435"/>
      <c r="V54" s="426"/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/>
      <c r="B55" s="435"/>
      <c r="C55" s="208"/>
      <c r="D55" s="208"/>
      <c r="E55" s="208"/>
      <c r="F55" s="445"/>
      <c r="G55" s="446"/>
      <c r="H55" s="446"/>
      <c r="I55" s="446"/>
      <c r="J55" s="446"/>
      <c r="K55" s="446"/>
      <c r="L55" s="446"/>
      <c r="M55" s="447"/>
      <c r="N55" s="207"/>
      <c r="O55" s="124"/>
      <c r="P55" s="435"/>
      <c r="Q55" s="435"/>
      <c r="R55" s="435"/>
      <c r="S55" s="435"/>
      <c r="T55" s="435"/>
      <c r="U55" s="435"/>
      <c r="V55" s="426"/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208"/>
      <c r="D56" s="208"/>
      <c r="E56" s="208"/>
      <c r="F56" s="445"/>
      <c r="G56" s="446"/>
      <c r="H56" s="446"/>
      <c r="I56" s="446"/>
      <c r="J56" s="446"/>
      <c r="K56" s="446"/>
      <c r="L56" s="446"/>
      <c r="M56" s="447"/>
      <c r="N56" s="207"/>
      <c r="O56" s="124"/>
      <c r="P56" s="443"/>
      <c r="Q56" s="444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208"/>
      <c r="D57" s="208"/>
      <c r="E57" s="208"/>
      <c r="F57" s="445"/>
      <c r="G57" s="446"/>
      <c r="H57" s="446"/>
      <c r="I57" s="446"/>
      <c r="J57" s="446"/>
      <c r="K57" s="446"/>
      <c r="L57" s="446"/>
      <c r="M57" s="447"/>
      <c r="N57" s="207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208"/>
      <c r="D58" s="208"/>
      <c r="E58" s="208"/>
      <c r="F58" s="426"/>
      <c r="G58" s="426"/>
      <c r="H58" s="426"/>
      <c r="I58" s="426"/>
      <c r="J58" s="426"/>
      <c r="K58" s="426"/>
      <c r="L58" s="426"/>
      <c r="M58" s="436"/>
      <c r="N58" s="207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208"/>
      <c r="D59" s="208"/>
      <c r="E59" s="208"/>
      <c r="F59" s="445"/>
      <c r="G59" s="446"/>
      <c r="H59" s="446"/>
      <c r="I59" s="446"/>
      <c r="J59" s="446"/>
      <c r="K59" s="446"/>
      <c r="L59" s="446"/>
      <c r="M59" s="447"/>
      <c r="N59" s="207"/>
      <c r="O59" s="124"/>
      <c r="P59" s="435"/>
      <c r="Q59" s="435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  <c r="AF59" s="93">
        <f>8*3000</f>
        <v>24000</v>
      </c>
    </row>
    <row r="60" spans="1:32" ht="27" customHeight="1" thickBot="1">
      <c r="A60" s="437"/>
      <c r="B60" s="438"/>
      <c r="C60" s="210"/>
      <c r="D60" s="210"/>
      <c r="E60" s="210"/>
      <c r="F60" s="439"/>
      <c r="G60" s="439"/>
      <c r="H60" s="439"/>
      <c r="I60" s="439"/>
      <c r="J60" s="439"/>
      <c r="K60" s="439"/>
      <c r="L60" s="439"/>
      <c r="M60" s="440"/>
      <c r="N60" s="209"/>
      <c r="O60" s="120"/>
      <c r="P60" s="438"/>
      <c r="Q60" s="438"/>
      <c r="R60" s="438"/>
      <c r="S60" s="438"/>
      <c r="T60" s="438"/>
      <c r="U60" s="438"/>
      <c r="V60" s="441"/>
      <c r="W60" s="441"/>
      <c r="X60" s="441"/>
      <c r="Y60" s="441"/>
      <c r="Z60" s="441"/>
      <c r="AA60" s="441"/>
      <c r="AB60" s="441"/>
      <c r="AC60" s="441"/>
      <c r="AD60" s="442"/>
      <c r="AF60" s="93">
        <f>16*3000</f>
        <v>48000</v>
      </c>
    </row>
    <row r="61" spans="1:32" ht="27.75" thickBot="1">
      <c r="A61" s="432" t="s">
        <v>326</v>
      </c>
      <c r="B61" s="432"/>
      <c r="C61" s="432"/>
      <c r="D61" s="432"/>
      <c r="E61" s="43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3" t="s">
        <v>113</v>
      </c>
      <c r="B62" s="430"/>
      <c r="C62" s="211" t="s">
        <v>2</v>
      </c>
      <c r="D62" s="211" t="s">
        <v>37</v>
      </c>
      <c r="E62" s="211" t="s">
        <v>3</v>
      </c>
      <c r="F62" s="430" t="s">
        <v>110</v>
      </c>
      <c r="G62" s="430"/>
      <c r="H62" s="430"/>
      <c r="I62" s="430"/>
      <c r="J62" s="430"/>
      <c r="K62" s="430" t="s">
        <v>39</v>
      </c>
      <c r="L62" s="430"/>
      <c r="M62" s="211" t="s">
        <v>40</v>
      </c>
      <c r="N62" s="430" t="s">
        <v>41</v>
      </c>
      <c r="O62" s="430"/>
      <c r="P62" s="427" t="s">
        <v>42</v>
      </c>
      <c r="Q62" s="429"/>
      <c r="R62" s="427" t="s">
        <v>43</v>
      </c>
      <c r="S62" s="428"/>
      <c r="T62" s="428"/>
      <c r="U62" s="428"/>
      <c r="V62" s="428"/>
      <c r="W62" s="428"/>
      <c r="X62" s="428"/>
      <c r="Y62" s="428"/>
      <c r="Z62" s="428"/>
      <c r="AA62" s="429"/>
      <c r="AB62" s="430" t="s">
        <v>44</v>
      </c>
      <c r="AC62" s="430"/>
      <c r="AD62" s="431"/>
      <c r="AF62" s="93">
        <f>SUM(AF59:AF61)</f>
        <v>96000</v>
      </c>
    </row>
    <row r="63" spans="1:32" ht="25.5" customHeight="1">
      <c r="A63" s="422">
        <v>1</v>
      </c>
      <c r="B63" s="423"/>
      <c r="C63" s="123" t="s">
        <v>118</v>
      </c>
      <c r="D63" s="214"/>
      <c r="E63" s="212" t="s">
        <v>202</v>
      </c>
      <c r="F63" s="424" t="s">
        <v>327</v>
      </c>
      <c r="G63" s="416"/>
      <c r="H63" s="416"/>
      <c r="I63" s="416"/>
      <c r="J63" s="416"/>
      <c r="K63" s="416" t="s">
        <v>121</v>
      </c>
      <c r="L63" s="416"/>
      <c r="M63" s="54" t="s">
        <v>197</v>
      </c>
      <c r="N63" s="416">
        <v>4</v>
      </c>
      <c r="O63" s="416"/>
      <c r="P63" s="425">
        <v>100</v>
      </c>
      <c r="Q63" s="425"/>
      <c r="R63" s="426"/>
      <c r="S63" s="426"/>
      <c r="T63" s="426"/>
      <c r="U63" s="426"/>
      <c r="V63" s="426"/>
      <c r="W63" s="426"/>
      <c r="X63" s="426"/>
      <c r="Y63" s="426"/>
      <c r="Z63" s="426"/>
      <c r="AA63" s="426"/>
      <c r="AB63" s="416"/>
      <c r="AC63" s="416"/>
      <c r="AD63" s="417"/>
      <c r="AF63" s="53"/>
    </row>
    <row r="64" spans="1:32" ht="25.5" customHeight="1">
      <c r="A64" s="422">
        <v>2</v>
      </c>
      <c r="B64" s="423"/>
      <c r="C64" s="123"/>
      <c r="D64" s="214"/>
      <c r="E64" s="212"/>
      <c r="F64" s="424"/>
      <c r="G64" s="416"/>
      <c r="H64" s="416"/>
      <c r="I64" s="416"/>
      <c r="J64" s="416"/>
      <c r="K64" s="416"/>
      <c r="L64" s="416"/>
      <c r="M64" s="54"/>
      <c r="N64" s="416"/>
      <c r="O64" s="416"/>
      <c r="P64" s="425"/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3</v>
      </c>
      <c r="B65" s="423"/>
      <c r="C65" s="123"/>
      <c r="D65" s="214"/>
      <c r="E65" s="212"/>
      <c r="F65" s="424"/>
      <c r="G65" s="416"/>
      <c r="H65" s="416"/>
      <c r="I65" s="416"/>
      <c r="J65" s="416"/>
      <c r="K65" s="416"/>
      <c r="L65" s="416"/>
      <c r="M65" s="54"/>
      <c r="N65" s="416"/>
      <c r="O65" s="416"/>
      <c r="P65" s="425"/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4</v>
      </c>
      <c r="B66" s="423"/>
      <c r="C66" s="123"/>
      <c r="D66" s="214"/>
      <c r="E66" s="212"/>
      <c r="F66" s="424"/>
      <c r="G66" s="416"/>
      <c r="H66" s="416"/>
      <c r="I66" s="416"/>
      <c r="J66" s="416"/>
      <c r="K66" s="416"/>
      <c r="L66" s="416"/>
      <c r="M66" s="54"/>
      <c r="N66" s="416"/>
      <c r="O66" s="416"/>
      <c r="P66" s="425"/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5</v>
      </c>
      <c r="B67" s="423"/>
      <c r="C67" s="123"/>
      <c r="D67" s="214"/>
      <c r="E67" s="212"/>
      <c r="F67" s="424"/>
      <c r="G67" s="416"/>
      <c r="H67" s="416"/>
      <c r="I67" s="416"/>
      <c r="J67" s="416"/>
      <c r="K67" s="416"/>
      <c r="L67" s="416"/>
      <c r="M67" s="54"/>
      <c r="N67" s="416"/>
      <c r="O67" s="416"/>
      <c r="P67" s="425"/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6</v>
      </c>
      <c r="B68" s="423"/>
      <c r="C68" s="123"/>
      <c r="D68" s="214"/>
      <c r="E68" s="212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7</v>
      </c>
      <c r="B69" s="423"/>
      <c r="C69" s="123"/>
      <c r="D69" s="214"/>
      <c r="E69" s="212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8</v>
      </c>
      <c r="B70" s="423"/>
      <c r="C70" s="123"/>
      <c r="D70" s="214"/>
      <c r="E70" s="212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6.25" customHeight="1" thickBot="1">
      <c r="A71" s="396" t="s">
        <v>328</v>
      </c>
      <c r="B71" s="396"/>
      <c r="C71" s="396"/>
      <c r="D71" s="396"/>
      <c r="E71" s="396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7" t="s">
        <v>113</v>
      </c>
      <c r="B72" s="398"/>
      <c r="C72" s="213" t="s">
        <v>2</v>
      </c>
      <c r="D72" s="213" t="s">
        <v>37</v>
      </c>
      <c r="E72" s="213" t="s">
        <v>3</v>
      </c>
      <c r="F72" s="398" t="s">
        <v>38</v>
      </c>
      <c r="G72" s="398"/>
      <c r="H72" s="398"/>
      <c r="I72" s="398"/>
      <c r="J72" s="398"/>
      <c r="K72" s="418" t="s">
        <v>58</v>
      </c>
      <c r="L72" s="419"/>
      <c r="M72" s="419"/>
      <c r="N72" s="419"/>
      <c r="O72" s="419"/>
      <c r="P72" s="419"/>
      <c r="Q72" s="419"/>
      <c r="R72" s="419"/>
      <c r="S72" s="420"/>
      <c r="T72" s="398" t="s">
        <v>49</v>
      </c>
      <c r="U72" s="398"/>
      <c r="V72" s="418" t="s">
        <v>50</v>
      </c>
      <c r="W72" s="420"/>
      <c r="X72" s="419" t="s">
        <v>51</v>
      </c>
      <c r="Y72" s="419"/>
      <c r="Z72" s="419"/>
      <c r="AA72" s="419"/>
      <c r="AB72" s="419"/>
      <c r="AC72" s="419"/>
      <c r="AD72" s="421"/>
      <c r="AF72" s="53"/>
    </row>
    <row r="73" spans="1:32" ht="33.75" customHeight="1">
      <c r="A73" s="390">
        <v>1</v>
      </c>
      <c r="B73" s="391"/>
      <c r="C73" s="215" t="s">
        <v>114</v>
      </c>
      <c r="D73" s="215"/>
      <c r="E73" s="71" t="s">
        <v>127</v>
      </c>
      <c r="F73" s="405" t="s">
        <v>126</v>
      </c>
      <c r="G73" s="406"/>
      <c r="H73" s="406"/>
      <c r="I73" s="406"/>
      <c r="J73" s="407"/>
      <c r="K73" s="408" t="s">
        <v>128</v>
      </c>
      <c r="L73" s="409"/>
      <c r="M73" s="409"/>
      <c r="N73" s="409"/>
      <c r="O73" s="409"/>
      <c r="P73" s="409"/>
      <c r="Q73" s="409"/>
      <c r="R73" s="409"/>
      <c r="S73" s="410"/>
      <c r="T73" s="411">
        <v>43384</v>
      </c>
      <c r="U73" s="412"/>
      <c r="V73" s="413"/>
      <c r="W73" s="413"/>
      <c r="X73" s="414"/>
      <c r="Y73" s="414"/>
      <c r="Z73" s="414"/>
      <c r="AA73" s="414"/>
      <c r="AB73" s="414"/>
      <c r="AC73" s="414"/>
      <c r="AD73" s="415"/>
      <c r="AF73" s="53"/>
    </row>
    <row r="74" spans="1:32" ht="30" customHeight="1">
      <c r="A74" s="383">
        <f>A73+1</f>
        <v>2</v>
      </c>
      <c r="B74" s="384"/>
      <c r="C74" s="214"/>
      <c r="D74" s="214"/>
      <c r="E74" s="35"/>
      <c r="F74" s="384"/>
      <c r="G74" s="384"/>
      <c r="H74" s="384"/>
      <c r="I74" s="384"/>
      <c r="J74" s="384"/>
      <c r="K74" s="399"/>
      <c r="L74" s="400"/>
      <c r="M74" s="400"/>
      <c r="N74" s="400"/>
      <c r="O74" s="400"/>
      <c r="P74" s="400"/>
      <c r="Q74" s="400"/>
      <c r="R74" s="400"/>
      <c r="S74" s="401"/>
      <c r="T74" s="402"/>
      <c r="U74" s="402"/>
      <c r="V74" s="402"/>
      <c r="W74" s="402"/>
      <c r="X74" s="403"/>
      <c r="Y74" s="403"/>
      <c r="Z74" s="403"/>
      <c r="AA74" s="403"/>
      <c r="AB74" s="403"/>
      <c r="AC74" s="403"/>
      <c r="AD74" s="404"/>
      <c r="AF74" s="53"/>
    </row>
    <row r="75" spans="1:32" ht="30" customHeight="1">
      <c r="A75" s="383">
        <f t="shared" ref="A75:A81" si="11">A74+1</f>
        <v>3</v>
      </c>
      <c r="B75" s="384"/>
      <c r="C75" s="214"/>
      <c r="D75" s="214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si="11"/>
        <v>4</v>
      </c>
      <c r="B76" s="384"/>
      <c r="C76" s="214"/>
      <c r="D76" s="214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1"/>
        <v>5</v>
      </c>
      <c r="B77" s="384"/>
      <c r="C77" s="214"/>
      <c r="D77" s="214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1"/>
        <v>6</v>
      </c>
      <c r="B78" s="384"/>
      <c r="C78" s="214"/>
      <c r="D78" s="214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1"/>
        <v>7</v>
      </c>
      <c r="B79" s="384"/>
      <c r="C79" s="214"/>
      <c r="D79" s="214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1"/>
        <v>8</v>
      </c>
      <c r="B80" s="384"/>
      <c r="C80" s="214"/>
      <c r="D80" s="214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1"/>
        <v>9</v>
      </c>
      <c r="B81" s="384"/>
      <c r="C81" s="214"/>
      <c r="D81" s="214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6" thickBot="1">
      <c r="A82" s="396" t="s">
        <v>329</v>
      </c>
      <c r="B82" s="396"/>
      <c r="C82" s="396"/>
      <c r="D82" s="396"/>
      <c r="E82" s="396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7" t="s">
        <v>113</v>
      </c>
      <c r="B83" s="398"/>
      <c r="C83" s="388" t="s">
        <v>52</v>
      </c>
      <c r="D83" s="388"/>
      <c r="E83" s="388" t="s">
        <v>53</v>
      </c>
      <c r="F83" s="388"/>
      <c r="G83" s="388"/>
      <c r="H83" s="388"/>
      <c r="I83" s="388"/>
      <c r="J83" s="388"/>
      <c r="K83" s="388" t="s">
        <v>54</v>
      </c>
      <c r="L83" s="388"/>
      <c r="M83" s="388"/>
      <c r="N83" s="388"/>
      <c r="O83" s="388"/>
      <c r="P83" s="388"/>
      <c r="Q83" s="388"/>
      <c r="R83" s="388"/>
      <c r="S83" s="388"/>
      <c r="T83" s="388" t="s">
        <v>55</v>
      </c>
      <c r="U83" s="388"/>
      <c r="V83" s="388" t="s">
        <v>56</v>
      </c>
      <c r="W83" s="388"/>
      <c r="X83" s="388"/>
      <c r="Y83" s="388" t="s">
        <v>51</v>
      </c>
      <c r="Z83" s="388"/>
      <c r="AA83" s="388"/>
      <c r="AB83" s="388"/>
      <c r="AC83" s="388"/>
      <c r="AD83" s="389"/>
      <c r="AF83" s="53"/>
    </row>
    <row r="84" spans="1:32" ht="30.75" customHeight="1">
      <c r="A84" s="390">
        <v>1</v>
      </c>
      <c r="B84" s="391"/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3"/>
      <c r="W84" s="393"/>
      <c r="X84" s="393"/>
      <c r="Y84" s="394"/>
      <c r="Z84" s="394"/>
      <c r="AA84" s="394"/>
      <c r="AB84" s="394"/>
      <c r="AC84" s="394"/>
      <c r="AD84" s="395"/>
      <c r="AF84" s="53"/>
    </row>
    <row r="85" spans="1:32" ht="30.75" customHeight="1">
      <c r="A85" s="383">
        <v>2</v>
      </c>
      <c r="B85" s="384"/>
      <c r="C85" s="385"/>
      <c r="D85" s="385"/>
      <c r="E85" s="385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6"/>
      <c r="U85" s="386"/>
      <c r="V85" s="387"/>
      <c r="W85" s="387"/>
      <c r="X85" s="387"/>
      <c r="Y85" s="376"/>
      <c r="Z85" s="376"/>
      <c r="AA85" s="376"/>
      <c r="AB85" s="376"/>
      <c r="AC85" s="376"/>
      <c r="AD85" s="377"/>
      <c r="AF85" s="53"/>
    </row>
    <row r="86" spans="1:32" ht="30.75" customHeight="1" thickBot="1">
      <c r="A86" s="378">
        <v>3</v>
      </c>
      <c r="B86" s="379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  <c r="X86" s="380"/>
      <c r="Y86" s="381"/>
      <c r="Z86" s="381"/>
      <c r="AA86" s="381"/>
      <c r="AB86" s="381"/>
      <c r="AC86" s="381"/>
      <c r="AD86" s="382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0B6B-9D92-458F-94EA-A4F985726237}">
  <sheetPr>
    <pageSetUpPr fitToPage="1"/>
  </sheetPr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330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26" t="s">
        <v>17</v>
      </c>
      <c r="L5" s="226" t="s">
        <v>18</v>
      </c>
      <c r="M5" s="226" t="s">
        <v>19</v>
      </c>
      <c r="N5" s="22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0.49444444444444441</v>
      </c>
      <c r="AF6" s="93">
        <f t="shared" ref="AF6:AF21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0.49444444444444441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192</v>
      </c>
      <c r="D8" s="55" t="s">
        <v>289</v>
      </c>
      <c r="E8" s="57" t="s">
        <v>290</v>
      </c>
      <c r="F8" s="33" t="s">
        <v>291</v>
      </c>
      <c r="G8" s="36">
        <v>3</v>
      </c>
      <c r="H8" s="38">
        <v>25</v>
      </c>
      <c r="I8" s="7">
        <v>50000</v>
      </c>
      <c r="J8" s="5">
        <v>8460</v>
      </c>
      <c r="K8" s="15">
        <f>L8+15021+17700+8460</f>
        <v>41181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0.49444444444444441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114</v>
      </c>
      <c r="D9" s="55" t="s">
        <v>127</v>
      </c>
      <c r="E9" s="57" t="s">
        <v>273</v>
      </c>
      <c r="F9" s="33" t="s">
        <v>121</v>
      </c>
      <c r="G9" s="36">
        <v>1</v>
      </c>
      <c r="H9" s="38">
        <v>24</v>
      </c>
      <c r="I9" s="7">
        <v>4000</v>
      </c>
      <c r="J9" s="14">
        <v>4267</v>
      </c>
      <c r="K9" s="15">
        <f>L9+4267</f>
        <v>4267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0.49444444444444441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123</v>
      </c>
      <c r="D10" s="55" t="s">
        <v>119</v>
      </c>
      <c r="E10" s="57" t="s">
        <v>147</v>
      </c>
      <c r="F10" s="12" t="s">
        <v>121</v>
      </c>
      <c r="G10" s="12">
        <v>4</v>
      </c>
      <c r="H10" s="13">
        <v>25</v>
      </c>
      <c r="I10" s="7">
        <v>400000</v>
      </c>
      <c r="J10" s="14">
        <v>23400</v>
      </c>
      <c r="K10" s="15">
        <f>L10+23776+26072+26756+24764+18432+17192+18752+24536+24336+16996+23988+25708+23312</f>
        <v>318020</v>
      </c>
      <c r="L10" s="15">
        <f>2591*4+3259*4</f>
        <v>23400</v>
      </c>
      <c r="M10" s="16">
        <f t="shared" si="0"/>
        <v>23400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0.49444444444444441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123</v>
      </c>
      <c r="D11" s="55" t="s">
        <v>124</v>
      </c>
      <c r="E11" s="57" t="s">
        <v>322</v>
      </c>
      <c r="F11" s="12" t="s">
        <v>131</v>
      </c>
      <c r="G11" s="12">
        <v>1</v>
      </c>
      <c r="H11" s="13">
        <v>25</v>
      </c>
      <c r="I11" s="7">
        <v>6000</v>
      </c>
      <c r="J11" s="14">
        <v>2002</v>
      </c>
      <c r="K11" s="15">
        <f>L11+4219</f>
        <v>6221</v>
      </c>
      <c r="L11" s="15">
        <v>2002</v>
      </c>
      <c r="M11" s="16">
        <f t="shared" si="0"/>
        <v>2002</v>
      </c>
      <c r="N11" s="16">
        <v>0</v>
      </c>
      <c r="O11" s="62">
        <f t="shared" si="1"/>
        <v>0</v>
      </c>
      <c r="P11" s="42">
        <f t="shared" si="2"/>
        <v>10</v>
      </c>
      <c r="Q11" s="43">
        <f t="shared" si="3"/>
        <v>14</v>
      </c>
      <c r="R11" s="7"/>
      <c r="S11" s="6"/>
      <c r="T11" s="17"/>
      <c r="U11" s="17"/>
      <c r="V11" s="18"/>
      <c r="W11" s="19">
        <v>14</v>
      </c>
      <c r="X11" s="17"/>
      <c r="Y11" s="20"/>
      <c r="Z11" s="20"/>
      <c r="AA11" s="21"/>
      <c r="AB11" s="8">
        <f t="shared" si="4"/>
        <v>1</v>
      </c>
      <c r="AC11" s="9">
        <f t="shared" si="5"/>
        <v>0.41666666666666669</v>
      </c>
      <c r="AD11" s="10">
        <f t="shared" si="6"/>
        <v>0.41666666666666669</v>
      </c>
      <c r="AE11" s="39">
        <f t="shared" si="7"/>
        <v>0.49444444444444441</v>
      </c>
      <c r="AF11" s="93">
        <f t="shared" si="8"/>
        <v>6</v>
      </c>
    </row>
    <row r="12" spans="1:32" ht="27" customHeight="1">
      <c r="A12" s="109">
        <v>6</v>
      </c>
      <c r="B12" s="11" t="s">
        <v>57</v>
      </c>
      <c r="C12" s="11" t="s">
        <v>123</v>
      </c>
      <c r="D12" s="55" t="s">
        <v>202</v>
      </c>
      <c r="E12" s="57" t="s">
        <v>331</v>
      </c>
      <c r="F12" s="12" t="s">
        <v>131</v>
      </c>
      <c r="G12" s="12">
        <v>2</v>
      </c>
      <c r="H12" s="13">
        <v>25</v>
      </c>
      <c r="I12" s="7">
        <v>12000</v>
      </c>
      <c r="J12" s="14">
        <v>5396</v>
      </c>
      <c r="K12" s="15">
        <f>L12</f>
        <v>5396</v>
      </c>
      <c r="L12" s="15">
        <f>2698*2</f>
        <v>5396</v>
      </c>
      <c r="M12" s="16">
        <f t="shared" ref="M12" si="9">L12-N12</f>
        <v>5396</v>
      </c>
      <c r="N12" s="16">
        <v>0</v>
      </c>
      <c r="O12" s="62">
        <f t="shared" ref="O12" si="10">IF(L12=0,"0",N12/L12)</f>
        <v>0</v>
      </c>
      <c r="P12" s="42">
        <f t="shared" ref="P12" si="11">IF(L12=0,"0",(24-Q12))</f>
        <v>12</v>
      </c>
      <c r="Q12" s="43">
        <f t="shared" ref="Q12" si="12">SUM(R12:AA12)</f>
        <v>12</v>
      </c>
      <c r="R12" s="7"/>
      <c r="S12" s="6"/>
      <c r="T12" s="17">
        <v>12</v>
      </c>
      <c r="U12" s="17"/>
      <c r="V12" s="18"/>
      <c r="W12" s="19"/>
      <c r="X12" s="17"/>
      <c r="Y12" s="20"/>
      <c r="Z12" s="20"/>
      <c r="AA12" s="21"/>
      <c r="AB12" s="8">
        <f t="shared" ref="AB12" si="13">IF(J12=0,"0",(L12/J12))</f>
        <v>1</v>
      </c>
      <c r="AC12" s="9">
        <f t="shared" ref="AC12" si="14">IF(P12=0,"0",(P12/24))</f>
        <v>0.5</v>
      </c>
      <c r="AD12" s="10">
        <f t="shared" ref="AD12" si="15">AC12*AB12*(1-O12)</f>
        <v>0.5</v>
      </c>
      <c r="AE12" s="39">
        <f t="shared" si="7"/>
        <v>0.49444444444444441</v>
      </c>
      <c r="AF12" s="93">
        <f t="shared" ref="AF12" si="16">A12</f>
        <v>6</v>
      </c>
    </row>
    <row r="13" spans="1:32" ht="27" customHeight="1">
      <c r="A13" s="109">
        <v>7</v>
      </c>
      <c r="B13" s="11" t="s">
        <v>57</v>
      </c>
      <c r="C13" s="11" t="s">
        <v>123</v>
      </c>
      <c r="D13" s="55" t="s">
        <v>292</v>
      </c>
      <c r="E13" s="57" t="s">
        <v>293</v>
      </c>
      <c r="F13" s="33" t="s">
        <v>116</v>
      </c>
      <c r="G13" s="36">
        <v>1</v>
      </c>
      <c r="H13" s="38">
        <v>24</v>
      </c>
      <c r="I13" s="7">
        <v>10000</v>
      </c>
      <c r="J13" s="14">
        <v>2837</v>
      </c>
      <c r="K13" s="15">
        <f>L13+1507+2959+3099</f>
        <v>10402</v>
      </c>
      <c r="L13" s="15">
        <v>2837</v>
      </c>
      <c r="M13" s="16">
        <f t="shared" si="0"/>
        <v>2837</v>
      </c>
      <c r="N13" s="16">
        <v>0</v>
      </c>
      <c r="O13" s="62">
        <f t="shared" si="1"/>
        <v>0</v>
      </c>
      <c r="P13" s="42">
        <f t="shared" si="2"/>
        <v>14</v>
      </c>
      <c r="Q13" s="43">
        <f t="shared" si="3"/>
        <v>10</v>
      </c>
      <c r="R13" s="7"/>
      <c r="S13" s="6"/>
      <c r="T13" s="17"/>
      <c r="U13" s="17"/>
      <c r="V13" s="18">
        <v>10</v>
      </c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0.58333333333333337</v>
      </c>
      <c r="AD13" s="10">
        <f t="shared" si="6"/>
        <v>0.58333333333333337</v>
      </c>
      <c r="AE13" s="39">
        <f t="shared" si="7"/>
        <v>0.49444444444444441</v>
      </c>
      <c r="AF13" s="93">
        <f t="shared" si="8"/>
        <v>7</v>
      </c>
    </row>
    <row r="14" spans="1:32" ht="27" customHeight="1">
      <c r="A14" s="109">
        <v>8</v>
      </c>
      <c r="B14" s="11" t="s">
        <v>57</v>
      </c>
      <c r="C14" s="11" t="s">
        <v>118</v>
      </c>
      <c r="D14" s="55" t="s">
        <v>117</v>
      </c>
      <c r="E14" s="57" t="s">
        <v>312</v>
      </c>
      <c r="F14" s="33" t="s">
        <v>242</v>
      </c>
      <c r="G14" s="36">
        <v>1</v>
      </c>
      <c r="H14" s="38">
        <v>24</v>
      </c>
      <c r="I14" s="7">
        <v>6000</v>
      </c>
      <c r="J14" s="14">
        <v>4808</v>
      </c>
      <c r="K14" s="15">
        <f>L14+3091</f>
        <v>7899</v>
      </c>
      <c r="L14" s="15">
        <f>2167+2641</f>
        <v>4808</v>
      </c>
      <c r="M14" s="16">
        <f t="shared" si="0"/>
        <v>4808</v>
      </c>
      <c r="N14" s="16">
        <v>0</v>
      </c>
      <c r="O14" s="62">
        <f t="shared" si="1"/>
        <v>0</v>
      </c>
      <c r="P14" s="42">
        <f t="shared" si="2"/>
        <v>18</v>
      </c>
      <c r="Q14" s="43">
        <f t="shared" si="3"/>
        <v>6</v>
      </c>
      <c r="R14" s="7"/>
      <c r="S14" s="6">
        <v>6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0.75</v>
      </c>
      <c r="AD14" s="10">
        <f t="shared" si="6"/>
        <v>0.75</v>
      </c>
      <c r="AE14" s="39">
        <f t="shared" si="7"/>
        <v>0.49444444444444441</v>
      </c>
      <c r="AF14" s="93">
        <f t="shared" si="8"/>
        <v>8</v>
      </c>
    </row>
    <row r="15" spans="1:32" ht="27" customHeight="1">
      <c r="A15" s="125">
        <v>9</v>
      </c>
      <c r="B15" s="11" t="s">
        <v>57</v>
      </c>
      <c r="C15" s="37" t="s">
        <v>114</v>
      </c>
      <c r="D15" s="55" t="s">
        <v>117</v>
      </c>
      <c r="E15" s="57" t="s">
        <v>299</v>
      </c>
      <c r="F15" s="33" t="s">
        <v>140</v>
      </c>
      <c r="G15" s="36">
        <v>1</v>
      </c>
      <c r="H15" s="38">
        <v>25</v>
      </c>
      <c r="I15" s="7">
        <v>100</v>
      </c>
      <c r="J15" s="5">
        <v>124</v>
      </c>
      <c r="K15" s="15">
        <f>L15</f>
        <v>124</v>
      </c>
      <c r="L15" s="15">
        <v>124</v>
      </c>
      <c r="M15" s="16">
        <f t="shared" si="0"/>
        <v>124</v>
      </c>
      <c r="N15" s="16">
        <v>0</v>
      </c>
      <c r="O15" s="62">
        <f t="shared" si="1"/>
        <v>0</v>
      </c>
      <c r="P15" s="42">
        <f t="shared" si="2"/>
        <v>4</v>
      </c>
      <c r="Q15" s="43">
        <f t="shared" si="3"/>
        <v>20</v>
      </c>
      <c r="R15" s="7"/>
      <c r="S15" s="6"/>
      <c r="T15" s="17"/>
      <c r="U15" s="17"/>
      <c r="V15" s="18"/>
      <c r="W15" s="19">
        <v>20</v>
      </c>
      <c r="X15" s="17"/>
      <c r="Y15" s="20"/>
      <c r="Z15" s="20"/>
      <c r="AA15" s="21"/>
      <c r="AB15" s="8">
        <f t="shared" si="4"/>
        <v>1</v>
      </c>
      <c r="AC15" s="9">
        <f t="shared" si="5"/>
        <v>0.16666666666666666</v>
      </c>
      <c r="AD15" s="10">
        <f t="shared" si="6"/>
        <v>0.16666666666666666</v>
      </c>
      <c r="AE15" s="39">
        <f t="shared" si="7"/>
        <v>0.49444444444444441</v>
      </c>
      <c r="AF15" s="93">
        <f t="shared" si="8"/>
        <v>9</v>
      </c>
    </row>
    <row r="16" spans="1:32" ht="27" customHeight="1">
      <c r="A16" s="108">
        <v>10</v>
      </c>
      <c r="B16" s="11" t="s">
        <v>57</v>
      </c>
      <c r="C16" s="37" t="s">
        <v>192</v>
      </c>
      <c r="D16" s="55" t="s">
        <v>194</v>
      </c>
      <c r="E16" s="57" t="s">
        <v>191</v>
      </c>
      <c r="F16" s="12" t="s">
        <v>201</v>
      </c>
      <c r="G16" s="12">
        <v>4</v>
      </c>
      <c r="H16" s="13">
        <v>24</v>
      </c>
      <c r="I16" s="34">
        <v>30000</v>
      </c>
      <c r="J16" s="14">
        <v>12736</v>
      </c>
      <c r="K16" s="15">
        <f>L16+15852+24288+12736</f>
        <v>52876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>
        <v>24</v>
      </c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0.49444444444444441</v>
      </c>
      <c r="AF16" s="93">
        <f t="shared" si="8"/>
        <v>10</v>
      </c>
    </row>
    <row r="17" spans="1:32" ht="27" customHeight="1">
      <c r="A17" s="108">
        <v>11</v>
      </c>
      <c r="B17" s="11" t="s">
        <v>57</v>
      </c>
      <c r="C17" s="11" t="s">
        <v>118</v>
      </c>
      <c r="D17" s="55" t="s">
        <v>124</v>
      </c>
      <c r="E17" s="57" t="s">
        <v>313</v>
      </c>
      <c r="F17" s="12" t="s">
        <v>252</v>
      </c>
      <c r="G17" s="12">
        <v>1</v>
      </c>
      <c r="H17" s="13">
        <v>25</v>
      </c>
      <c r="I17" s="7">
        <v>6000</v>
      </c>
      <c r="J17" s="14">
        <v>5493</v>
      </c>
      <c r="K17" s="15">
        <f>L17+4906</f>
        <v>10399</v>
      </c>
      <c r="L17" s="15">
        <f>3025+2468</f>
        <v>5493</v>
      </c>
      <c r="M17" s="16">
        <f t="shared" si="0"/>
        <v>5493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0.49444444444444441</v>
      </c>
      <c r="AF17" s="93">
        <f t="shared" si="8"/>
        <v>11</v>
      </c>
    </row>
    <row r="18" spans="1:32" ht="27" customHeight="1">
      <c r="A18" s="108">
        <v>12</v>
      </c>
      <c r="B18" s="11" t="s">
        <v>57</v>
      </c>
      <c r="C18" s="37" t="s">
        <v>123</v>
      </c>
      <c r="D18" s="55" t="s">
        <v>124</v>
      </c>
      <c r="E18" s="57" t="s">
        <v>148</v>
      </c>
      <c r="F18" s="12" t="s">
        <v>131</v>
      </c>
      <c r="G18" s="12">
        <v>4</v>
      </c>
      <c r="H18" s="13">
        <v>24</v>
      </c>
      <c r="I18" s="34">
        <v>400000</v>
      </c>
      <c r="J18" s="14">
        <v>24040</v>
      </c>
      <c r="K18" s="15">
        <f>L18+19964+21928+25296+24300+24768+24688+11104+18160+24312+25036+24132+25812+24196</f>
        <v>317736</v>
      </c>
      <c r="L18" s="15">
        <f>2749*4+3261*4</f>
        <v>24040</v>
      </c>
      <c r="M18" s="16">
        <f t="shared" si="0"/>
        <v>24040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0.49444444444444441</v>
      </c>
      <c r="AF18" s="93">
        <f t="shared" si="8"/>
        <v>12</v>
      </c>
    </row>
    <row r="19" spans="1:32" ht="27" customHeight="1">
      <c r="A19" s="109">
        <v>13</v>
      </c>
      <c r="B19" s="11" t="s">
        <v>57</v>
      </c>
      <c r="C19" s="37" t="s">
        <v>123</v>
      </c>
      <c r="D19" s="55" t="s">
        <v>117</v>
      </c>
      <c r="E19" s="57" t="s">
        <v>153</v>
      </c>
      <c r="F19" s="12" t="s">
        <v>129</v>
      </c>
      <c r="G19" s="36">
        <v>4</v>
      </c>
      <c r="H19" s="38">
        <v>24</v>
      </c>
      <c r="I19" s="7">
        <v>400000</v>
      </c>
      <c r="J19" s="5">
        <v>19704</v>
      </c>
      <c r="K19" s="15">
        <f>L19+12380+14384+22568+16460+13888+20848+20972+20888+19996+10224+14424+21632+20220</f>
        <v>248588</v>
      </c>
      <c r="L19" s="15">
        <f>2193*4+2733*4</f>
        <v>19704</v>
      </c>
      <c r="M19" s="16">
        <f t="shared" si="0"/>
        <v>19704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>AC19*AB19*(1-O19)</f>
        <v>1</v>
      </c>
      <c r="AE19" s="39">
        <f t="shared" si="7"/>
        <v>0.49444444444444441</v>
      </c>
      <c r="AF19" s="93">
        <f t="shared" si="8"/>
        <v>13</v>
      </c>
    </row>
    <row r="20" spans="1:32" ht="27" customHeight="1">
      <c r="A20" s="109">
        <v>14</v>
      </c>
      <c r="B20" s="11" t="s">
        <v>57</v>
      </c>
      <c r="C20" s="11" t="s">
        <v>118</v>
      </c>
      <c r="D20" s="55" t="s">
        <v>119</v>
      </c>
      <c r="E20" s="57" t="s">
        <v>309</v>
      </c>
      <c r="F20" s="12" t="s">
        <v>310</v>
      </c>
      <c r="G20" s="36">
        <v>1</v>
      </c>
      <c r="H20" s="13">
        <v>24</v>
      </c>
      <c r="I20" s="7">
        <v>6000</v>
      </c>
      <c r="J20" s="14">
        <v>4914</v>
      </c>
      <c r="K20" s="15">
        <f>L20+2947+5418</f>
        <v>13279</v>
      </c>
      <c r="L20" s="15">
        <f>2082+2832</f>
        <v>4914</v>
      </c>
      <c r="M20" s="16">
        <f t="shared" si="0"/>
        <v>4914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0.49444444444444441</v>
      </c>
      <c r="AF20" s="93">
        <f t="shared" si="8"/>
        <v>14</v>
      </c>
    </row>
    <row r="21" spans="1:32" ht="27" customHeight="1" thickBot="1">
      <c r="A21" s="109">
        <v>15</v>
      </c>
      <c r="B21" s="11" t="s">
        <v>57</v>
      </c>
      <c r="C21" s="11" t="s">
        <v>115</v>
      </c>
      <c r="D21" s="55"/>
      <c r="E21" s="56" t="s">
        <v>133</v>
      </c>
      <c r="F21" s="12" t="s">
        <v>116</v>
      </c>
      <c r="G21" s="12">
        <v>4</v>
      </c>
      <c r="H21" s="38">
        <v>20</v>
      </c>
      <c r="I21" s="7">
        <v>300000</v>
      </c>
      <c r="J21" s="14">
        <v>10476</v>
      </c>
      <c r="K21" s="15">
        <f>L21+39648+30712+45256+43600+10476</f>
        <v>169692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0.49444444444444441</v>
      </c>
      <c r="AF21" s="93">
        <f t="shared" si="8"/>
        <v>15</v>
      </c>
    </row>
    <row r="22" spans="1:32" ht="31.5" customHeight="1" thickBot="1">
      <c r="A22" s="450" t="s">
        <v>34</v>
      </c>
      <c r="B22" s="451"/>
      <c r="C22" s="451"/>
      <c r="D22" s="451"/>
      <c r="E22" s="451"/>
      <c r="F22" s="451"/>
      <c r="G22" s="451"/>
      <c r="H22" s="452"/>
      <c r="I22" s="25">
        <f t="shared" ref="I22:N22" si="17">SUM(I6:I21)</f>
        <v>1630100</v>
      </c>
      <c r="J22" s="22">
        <f t="shared" si="17"/>
        <v>128657</v>
      </c>
      <c r="K22" s="23">
        <f t="shared" si="17"/>
        <v>1206080</v>
      </c>
      <c r="L22" s="24">
        <f t="shared" si="17"/>
        <v>92718</v>
      </c>
      <c r="M22" s="23">
        <f t="shared" si="17"/>
        <v>92718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178</v>
      </c>
      <c r="Q22" s="46">
        <f t="shared" si="18"/>
        <v>206</v>
      </c>
      <c r="R22" s="26">
        <f t="shared" si="18"/>
        <v>48</v>
      </c>
      <c r="S22" s="27">
        <f t="shared" si="18"/>
        <v>6</v>
      </c>
      <c r="T22" s="27">
        <f t="shared" si="18"/>
        <v>12</v>
      </c>
      <c r="U22" s="27">
        <f t="shared" si="18"/>
        <v>0</v>
      </c>
      <c r="V22" s="28">
        <f t="shared" si="18"/>
        <v>10</v>
      </c>
      <c r="W22" s="29">
        <f t="shared" si="18"/>
        <v>130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0.66666666666666663</v>
      </c>
      <c r="AC22" s="4">
        <f>SUM(AC6:AC21)/15</f>
        <v>0.49444444444444441</v>
      </c>
      <c r="AD22" s="4">
        <f>SUM(AD6:AD21)/15</f>
        <v>0.49444444444444441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4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53" t="s">
        <v>45</v>
      </c>
      <c r="B49" s="453"/>
      <c r="C49" s="453"/>
      <c r="D49" s="453"/>
      <c r="E49" s="453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54" t="s">
        <v>333</v>
      </c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6"/>
      <c r="N50" s="457" t="s">
        <v>332</v>
      </c>
      <c r="O50" s="458"/>
      <c r="P50" s="458"/>
      <c r="Q50" s="458"/>
      <c r="R50" s="458"/>
      <c r="S50" s="458"/>
      <c r="T50" s="458"/>
      <c r="U50" s="458"/>
      <c r="V50" s="458"/>
      <c r="W50" s="458"/>
      <c r="X50" s="458"/>
      <c r="Y50" s="458"/>
      <c r="Z50" s="458"/>
      <c r="AA50" s="458"/>
      <c r="AB50" s="458"/>
      <c r="AC50" s="458"/>
      <c r="AD50" s="459"/>
    </row>
    <row r="51" spans="1:32" ht="27" customHeight="1">
      <c r="A51" s="460" t="s">
        <v>2</v>
      </c>
      <c r="B51" s="461"/>
      <c r="C51" s="225" t="s">
        <v>46</v>
      </c>
      <c r="D51" s="225" t="s">
        <v>47</v>
      </c>
      <c r="E51" s="225" t="s">
        <v>108</v>
      </c>
      <c r="F51" s="461" t="s">
        <v>107</v>
      </c>
      <c r="G51" s="461"/>
      <c r="H51" s="461"/>
      <c r="I51" s="461"/>
      <c r="J51" s="461"/>
      <c r="K51" s="461"/>
      <c r="L51" s="461"/>
      <c r="M51" s="462"/>
      <c r="N51" s="73" t="s">
        <v>112</v>
      </c>
      <c r="O51" s="225" t="s">
        <v>46</v>
      </c>
      <c r="P51" s="463" t="s">
        <v>47</v>
      </c>
      <c r="Q51" s="464"/>
      <c r="R51" s="463" t="s">
        <v>38</v>
      </c>
      <c r="S51" s="465"/>
      <c r="T51" s="465"/>
      <c r="U51" s="464"/>
      <c r="V51" s="463" t="s">
        <v>48</v>
      </c>
      <c r="W51" s="465"/>
      <c r="X51" s="465"/>
      <c r="Y51" s="465"/>
      <c r="Z51" s="465"/>
      <c r="AA51" s="465"/>
      <c r="AB51" s="465"/>
      <c r="AC51" s="465"/>
      <c r="AD51" s="466"/>
    </row>
    <row r="52" spans="1:32" ht="27" customHeight="1">
      <c r="A52" s="434" t="s">
        <v>114</v>
      </c>
      <c r="B52" s="435"/>
      <c r="C52" s="222" t="s">
        <v>275</v>
      </c>
      <c r="D52" s="222" t="s">
        <v>117</v>
      </c>
      <c r="E52" s="222" t="s">
        <v>299</v>
      </c>
      <c r="F52" s="445" t="s">
        <v>171</v>
      </c>
      <c r="G52" s="446"/>
      <c r="H52" s="446"/>
      <c r="I52" s="446"/>
      <c r="J52" s="446"/>
      <c r="K52" s="446"/>
      <c r="L52" s="446"/>
      <c r="M52" s="447"/>
      <c r="N52" s="221" t="s">
        <v>114</v>
      </c>
      <c r="O52" s="124" t="s">
        <v>275</v>
      </c>
      <c r="P52" s="443" t="s">
        <v>117</v>
      </c>
      <c r="Q52" s="444"/>
      <c r="R52" s="435" t="s">
        <v>159</v>
      </c>
      <c r="S52" s="435"/>
      <c r="T52" s="435"/>
      <c r="U52" s="435"/>
      <c r="V52" s="426" t="s">
        <v>171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123</v>
      </c>
      <c r="B53" s="435"/>
      <c r="C53" s="222" t="s">
        <v>144</v>
      </c>
      <c r="D53" s="222" t="s">
        <v>202</v>
      </c>
      <c r="E53" s="222" t="s">
        <v>331</v>
      </c>
      <c r="F53" s="445" t="s">
        <v>171</v>
      </c>
      <c r="G53" s="446"/>
      <c r="H53" s="446"/>
      <c r="I53" s="446"/>
      <c r="J53" s="446"/>
      <c r="K53" s="446"/>
      <c r="L53" s="446"/>
      <c r="M53" s="447"/>
      <c r="N53" s="221" t="s">
        <v>123</v>
      </c>
      <c r="O53" s="124" t="s">
        <v>193</v>
      </c>
      <c r="P53" s="443" t="s">
        <v>335</v>
      </c>
      <c r="Q53" s="444"/>
      <c r="R53" s="435" t="s">
        <v>334</v>
      </c>
      <c r="S53" s="435"/>
      <c r="T53" s="435"/>
      <c r="U53" s="435"/>
      <c r="V53" s="426" t="s">
        <v>171</v>
      </c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/>
      <c r="B54" s="435"/>
      <c r="C54" s="222"/>
      <c r="D54" s="222"/>
      <c r="E54" s="222"/>
      <c r="F54" s="445"/>
      <c r="G54" s="446"/>
      <c r="H54" s="446"/>
      <c r="I54" s="446"/>
      <c r="J54" s="446"/>
      <c r="K54" s="446"/>
      <c r="L54" s="446"/>
      <c r="M54" s="447"/>
      <c r="N54" s="221" t="s">
        <v>123</v>
      </c>
      <c r="O54" s="124" t="s">
        <v>166</v>
      </c>
      <c r="P54" s="435" t="s">
        <v>117</v>
      </c>
      <c r="Q54" s="435"/>
      <c r="R54" s="435" t="s">
        <v>153</v>
      </c>
      <c r="S54" s="435"/>
      <c r="T54" s="435"/>
      <c r="U54" s="435"/>
      <c r="V54" s="426" t="s">
        <v>130</v>
      </c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/>
      <c r="B55" s="435"/>
      <c r="C55" s="222"/>
      <c r="D55" s="222"/>
      <c r="E55" s="222"/>
      <c r="F55" s="445"/>
      <c r="G55" s="446"/>
      <c r="H55" s="446"/>
      <c r="I55" s="446"/>
      <c r="J55" s="446"/>
      <c r="K55" s="446"/>
      <c r="L55" s="446"/>
      <c r="M55" s="447"/>
      <c r="N55" s="221"/>
      <c r="O55" s="124"/>
      <c r="P55" s="443"/>
      <c r="Q55" s="444"/>
      <c r="R55" s="435"/>
      <c r="S55" s="435"/>
      <c r="T55" s="435"/>
      <c r="U55" s="435"/>
      <c r="V55" s="426"/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222"/>
      <c r="D56" s="222"/>
      <c r="E56" s="222"/>
      <c r="F56" s="445"/>
      <c r="G56" s="446"/>
      <c r="H56" s="446"/>
      <c r="I56" s="446"/>
      <c r="J56" s="446"/>
      <c r="K56" s="446"/>
      <c r="L56" s="446"/>
      <c r="M56" s="447"/>
      <c r="N56" s="221"/>
      <c r="O56" s="124"/>
      <c r="P56" s="435"/>
      <c r="Q56" s="435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222"/>
      <c r="D57" s="222"/>
      <c r="E57" s="222"/>
      <c r="F57" s="445"/>
      <c r="G57" s="446"/>
      <c r="H57" s="446"/>
      <c r="I57" s="446"/>
      <c r="J57" s="446"/>
      <c r="K57" s="446"/>
      <c r="L57" s="446"/>
      <c r="M57" s="447"/>
      <c r="N57" s="221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222"/>
      <c r="D58" s="222"/>
      <c r="E58" s="222"/>
      <c r="F58" s="445"/>
      <c r="G58" s="446"/>
      <c r="H58" s="446"/>
      <c r="I58" s="446"/>
      <c r="J58" s="446"/>
      <c r="K58" s="446"/>
      <c r="L58" s="446"/>
      <c r="M58" s="447"/>
      <c r="N58" s="221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222"/>
      <c r="D59" s="222"/>
      <c r="E59" s="222"/>
      <c r="F59" s="426"/>
      <c r="G59" s="426"/>
      <c r="H59" s="426"/>
      <c r="I59" s="426"/>
      <c r="J59" s="426"/>
      <c r="K59" s="426"/>
      <c r="L59" s="426"/>
      <c r="M59" s="436"/>
      <c r="N59" s="221"/>
      <c r="O59" s="124"/>
      <c r="P59" s="443"/>
      <c r="Q59" s="444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</row>
    <row r="60" spans="1:32" ht="27" customHeight="1">
      <c r="A60" s="434"/>
      <c r="B60" s="435"/>
      <c r="C60" s="222"/>
      <c r="D60" s="222"/>
      <c r="E60" s="222"/>
      <c r="F60" s="445"/>
      <c r="G60" s="446"/>
      <c r="H60" s="446"/>
      <c r="I60" s="446"/>
      <c r="J60" s="446"/>
      <c r="K60" s="446"/>
      <c r="L60" s="446"/>
      <c r="M60" s="447"/>
      <c r="N60" s="221"/>
      <c r="O60" s="124"/>
      <c r="P60" s="435"/>
      <c r="Q60" s="435"/>
      <c r="R60" s="435"/>
      <c r="S60" s="435"/>
      <c r="T60" s="435"/>
      <c r="U60" s="435"/>
      <c r="V60" s="426"/>
      <c r="W60" s="426"/>
      <c r="X60" s="426"/>
      <c r="Y60" s="426"/>
      <c r="Z60" s="426"/>
      <c r="AA60" s="426"/>
      <c r="AB60" s="426"/>
      <c r="AC60" s="426"/>
      <c r="AD60" s="436"/>
      <c r="AF60" s="93">
        <f>8*3000</f>
        <v>24000</v>
      </c>
    </row>
    <row r="61" spans="1:32" ht="27" customHeight="1" thickBot="1">
      <c r="A61" s="437"/>
      <c r="B61" s="438"/>
      <c r="C61" s="224"/>
      <c r="D61" s="224"/>
      <c r="E61" s="224"/>
      <c r="F61" s="439"/>
      <c r="G61" s="439"/>
      <c r="H61" s="439"/>
      <c r="I61" s="439"/>
      <c r="J61" s="439"/>
      <c r="K61" s="439"/>
      <c r="L61" s="439"/>
      <c r="M61" s="440"/>
      <c r="N61" s="223"/>
      <c r="O61" s="120"/>
      <c r="P61" s="438"/>
      <c r="Q61" s="438"/>
      <c r="R61" s="438"/>
      <c r="S61" s="438"/>
      <c r="T61" s="438"/>
      <c r="U61" s="438"/>
      <c r="V61" s="441"/>
      <c r="W61" s="441"/>
      <c r="X61" s="441"/>
      <c r="Y61" s="441"/>
      <c r="Z61" s="441"/>
      <c r="AA61" s="441"/>
      <c r="AB61" s="441"/>
      <c r="AC61" s="441"/>
      <c r="AD61" s="442"/>
      <c r="AF61" s="93">
        <f>16*3000</f>
        <v>48000</v>
      </c>
    </row>
    <row r="62" spans="1:32" ht="27.75" thickBot="1">
      <c r="A62" s="432" t="s">
        <v>336</v>
      </c>
      <c r="B62" s="432"/>
      <c r="C62" s="432"/>
      <c r="D62" s="432"/>
      <c r="E62" s="432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3">
        <v>24000</v>
      </c>
    </row>
    <row r="63" spans="1:32" ht="29.25" customHeight="1" thickBot="1">
      <c r="A63" s="433" t="s">
        <v>113</v>
      </c>
      <c r="B63" s="430"/>
      <c r="C63" s="220" t="s">
        <v>2</v>
      </c>
      <c r="D63" s="220" t="s">
        <v>37</v>
      </c>
      <c r="E63" s="220" t="s">
        <v>3</v>
      </c>
      <c r="F63" s="430" t="s">
        <v>110</v>
      </c>
      <c r="G63" s="430"/>
      <c r="H63" s="430"/>
      <c r="I63" s="430"/>
      <c r="J63" s="430"/>
      <c r="K63" s="430" t="s">
        <v>39</v>
      </c>
      <c r="L63" s="430"/>
      <c r="M63" s="220" t="s">
        <v>40</v>
      </c>
      <c r="N63" s="430" t="s">
        <v>41</v>
      </c>
      <c r="O63" s="430"/>
      <c r="P63" s="427" t="s">
        <v>42</v>
      </c>
      <c r="Q63" s="429"/>
      <c r="R63" s="427" t="s">
        <v>43</v>
      </c>
      <c r="S63" s="428"/>
      <c r="T63" s="428"/>
      <c r="U63" s="428"/>
      <c r="V63" s="428"/>
      <c r="W63" s="428"/>
      <c r="X63" s="428"/>
      <c r="Y63" s="428"/>
      <c r="Z63" s="428"/>
      <c r="AA63" s="429"/>
      <c r="AB63" s="430" t="s">
        <v>44</v>
      </c>
      <c r="AC63" s="430"/>
      <c r="AD63" s="431"/>
      <c r="AF63" s="93">
        <f>SUM(AF60:AF62)</f>
        <v>96000</v>
      </c>
    </row>
    <row r="64" spans="1:32" ht="25.5" customHeight="1">
      <c r="A64" s="422">
        <v>1</v>
      </c>
      <c r="B64" s="423"/>
      <c r="C64" s="123" t="s">
        <v>123</v>
      </c>
      <c r="D64" s="216"/>
      <c r="E64" s="219" t="s">
        <v>338</v>
      </c>
      <c r="F64" s="424" t="s">
        <v>337</v>
      </c>
      <c r="G64" s="416"/>
      <c r="H64" s="416"/>
      <c r="I64" s="416"/>
      <c r="J64" s="416"/>
      <c r="K64" s="416" t="s">
        <v>339</v>
      </c>
      <c r="L64" s="416"/>
      <c r="M64" s="54" t="s">
        <v>197</v>
      </c>
      <c r="N64" s="416">
        <v>4</v>
      </c>
      <c r="O64" s="416"/>
      <c r="P64" s="425">
        <v>500</v>
      </c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2</v>
      </c>
      <c r="B65" s="423"/>
      <c r="C65" s="123" t="s">
        <v>118</v>
      </c>
      <c r="D65" s="216"/>
      <c r="E65" s="219" t="s">
        <v>341</v>
      </c>
      <c r="F65" s="424" t="s">
        <v>340</v>
      </c>
      <c r="G65" s="416"/>
      <c r="H65" s="416"/>
      <c r="I65" s="416"/>
      <c r="J65" s="416"/>
      <c r="K65" s="416" t="s">
        <v>342</v>
      </c>
      <c r="L65" s="416"/>
      <c r="M65" s="54" t="s">
        <v>197</v>
      </c>
      <c r="N65" s="416">
        <v>6</v>
      </c>
      <c r="O65" s="416"/>
      <c r="P65" s="425">
        <v>50</v>
      </c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3</v>
      </c>
      <c r="B66" s="423"/>
      <c r="C66" s="123" t="s">
        <v>114</v>
      </c>
      <c r="D66" s="216"/>
      <c r="E66" s="219" t="s">
        <v>117</v>
      </c>
      <c r="F66" s="424" t="s">
        <v>343</v>
      </c>
      <c r="G66" s="416"/>
      <c r="H66" s="416"/>
      <c r="I66" s="416"/>
      <c r="J66" s="416"/>
      <c r="K66" s="416" t="s">
        <v>345</v>
      </c>
      <c r="L66" s="416"/>
      <c r="M66" s="54" t="s">
        <v>135</v>
      </c>
      <c r="N66" s="416">
        <v>9</v>
      </c>
      <c r="O66" s="416"/>
      <c r="P66" s="425">
        <v>20</v>
      </c>
      <c r="Q66" s="425"/>
      <c r="R66" s="426" t="s">
        <v>344</v>
      </c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4</v>
      </c>
      <c r="B67" s="423"/>
      <c r="C67" s="123"/>
      <c r="D67" s="216"/>
      <c r="E67" s="219"/>
      <c r="F67" s="424"/>
      <c r="G67" s="416"/>
      <c r="H67" s="416"/>
      <c r="I67" s="416"/>
      <c r="J67" s="416"/>
      <c r="K67" s="416"/>
      <c r="L67" s="416"/>
      <c r="M67" s="54"/>
      <c r="N67" s="416"/>
      <c r="O67" s="416"/>
      <c r="P67" s="425"/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5</v>
      </c>
      <c r="B68" s="423"/>
      <c r="C68" s="123"/>
      <c r="D68" s="216"/>
      <c r="E68" s="219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6</v>
      </c>
      <c r="B69" s="423"/>
      <c r="C69" s="123"/>
      <c r="D69" s="216"/>
      <c r="E69" s="219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7</v>
      </c>
      <c r="B70" s="423"/>
      <c r="C70" s="123"/>
      <c r="D70" s="216"/>
      <c r="E70" s="219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5.5" customHeight="1">
      <c r="A71" s="422">
        <v>8</v>
      </c>
      <c r="B71" s="423"/>
      <c r="C71" s="123"/>
      <c r="D71" s="216"/>
      <c r="E71" s="219"/>
      <c r="F71" s="424"/>
      <c r="G71" s="416"/>
      <c r="H71" s="416"/>
      <c r="I71" s="416"/>
      <c r="J71" s="416"/>
      <c r="K71" s="416"/>
      <c r="L71" s="416"/>
      <c r="M71" s="54"/>
      <c r="N71" s="416"/>
      <c r="O71" s="416"/>
      <c r="P71" s="425"/>
      <c r="Q71" s="425"/>
      <c r="R71" s="426"/>
      <c r="S71" s="426"/>
      <c r="T71" s="426"/>
      <c r="U71" s="426"/>
      <c r="V71" s="426"/>
      <c r="W71" s="426"/>
      <c r="X71" s="426"/>
      <c r="Y71" s="426"/>
      <c r="Z71" s="426"/>
      <c r="AA71" s="426"/>
      <c r="AB71" s="416"/>
      <c r="AC71" s="416"/>
      <c r="AD71" s="417"/>
      <c r="AF71" s="53"/>
    </row>
    <row r="72" spans="1:32" ht="26.25" customHeight="1" thickBot="1">
      <c r="A72" s="396" t="s">
        <v>346</v>
      </c>
      <c r="B72" s="396"/>
      <c r="C72" s="396"/>
      <c r="D72" s="396"/>
      <c r="E72" s="396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97" t="s">
        <v>113</v>
      </c>
      <c r="B73" s="398"/>
      <c r="C73" s="218" t="s">
        <v>2</v>
      </c>
      <c r="D73" s="218" t="s">
        <v>37</v>
      </c>
      <c r="E73" s="218" t="s">
        <v>3</v>
      </c>
      <c r="F73" s="398" t="s">
        <v>38</v>
      </c>
      <c r="G73" s="398"/>
      <c r="H73" s="398"/>
      <c r="I73" s="398"/>
      <c r="J73" s="398"/>
      <c r="K73" s="418" t="s">
        <v>58</v>
      </c>
      <c r="L73" s="419"/>
      <c r="M73" s="419"/>
      <c r="N73" s="419"/>
      <c r="O73" s="419"/>
      <c r="P73" s="419"/>
      <c r="Q73" s="419"/>
      <c r="R73" s="419"/>
      <c r="S73" s="420"/>
      <c r="T73" s="398" t="s">
        <v>49</v>
      </c>
      <c r="U73" s="398"/>
      <c r="V73" s="418" t="s">
        <v>50</v>
      </c>
      <c r="W73" s="420"/>
      <c r="X73" s="419" t="s">
        <v>51</v>
      </c>
      <c r="Y73" s="419"/>
      <c r="Z73" s="419"/>
      <c r="AA73" s="419"/>
      <c r="AB73" s="419"/>
      <c r="AC73" s="419"/>
      <c r="AD73" s="421"/>
      <c r="AF73" s="53"/>
    </row>
    <row r="74" spans="1:32" ht="33.75" customHeight="1">
      <c r="A74" s="390">
        <v>1</v>
      </c>
      <c r="B74" s="391"/>
      <c r="C74" s="217" t="s">
        <v>114</v>
      </c>
      <c r="D74" s="217"/>
      <c r="E74" s="71" t="s">
        <v>127</v>
      </c>
      <c r="F74" s="405" t="s">
        <v>126</v>
      </c>
      <c r="G74" s="406"/>
      <c r="H74" s="406"/>
      <c r="I74" s="406"/>
      <c r="J74" s="407"/>
      <c r="K74" s="408" t="s">
        <v>128</v>
      </c>
      <c r="L74" s="409"/>
      <c r="M74" s="409"/>
      <c r="N74" s="409"/>
      <c r="O74" s="409"/>
      <c r="P74" s="409"/>
      <c r="Q74" s="409"/>
      <c r="R74" s="409"/>
      <c r="S74" s="410"/>
      <c r="T74" s="411">
        <v>43384</v>
      </c>
      <c r="U74" s="412"/>
      <c r="V74" s="413"/>
      <c r="W74" s="413"/>
      <c r="X74" s="414"/>
      <c r="Y74" s="414"/>
      <c r="Z74" s="414"/>
      <c r="AA74" s="414"/>
      <c r="AB74" s="414"/>
      <c r="AC74" s="414"/>
      <c r="AD74" s="415"/>
      <c r="AF74" s="53"/>
    </row>
    <row r="75" spans="1:32" ht="30" customHeight="1">
      <c r="A75" s="383">
        <f>A74+1</f>
        <v>2</v>
      </c>
      <c r="B75" s="384"/>
      <c r="C75" s="216"/>
      <c r="D75" s="216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ref="A76:A82" si="19">A75+1</f>
        <v>3</v>
      </c>
      <c r="B76" s="384"/>
      <c r="C76" s="216"/>
      <c r="D76" s="216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9"/>
        <v>4</v>
      </c>
      <c r="B77" s="384"/>
      <c r="C77" s="216"/>
      <c r="D77" s="216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9"/>
        <v>5</v>
      </c>
      <c r="B78" s="384"/>
      <c r="C78" s="216"/>
      <c r="D78" s="216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9"/>
        <v>6</v>
      </c>
      <c r="B79" s="384"/>
      <c r="C79" s="216"/>
      <c r="D79" s="216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9"/>
        <v>7</v>
      </c>
      <c r="B80" s="384"/>
      <c r="C80" s="216"/>
      <c r="D80" s="216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9"/>
        <v>8</v>
      </c>
      <c r="B81" s="384"/>
      <c r="C81" s="216"/>
      <c r="D81" s="216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0" customHeight="1">
      <c r="A82" s="383">
        <f t="shared" si="19"/>
        <v>9</v>
      </c>
      <c r="B82" s="384"/>
      <c r="C82" s="216"/>
      <c r="D82" s="216"/>
      <c r="E82" s="35"/>
      <c r="F82" s="384"/>
      <c r="G82" s="384"/>
      <c r="H82" s="384"/>
      <c r="I82" s="384"/>
      <c r="J82" s="384"/>
      <c r="K82" s="399"/>
      <c r="L82" s="400"/>
      <c r="M82" s="400"/>
      <c r="N82" s="400"/>
      <c r="O82" s="400"/>
      <c r="P82" s="400"/>
      <c r="Q82" s="400"/>
      <c r="R82" s="400"/>
      <c r="S82" s="401"/>
      <c r="T82" s="402"/>
      <c r="U82" s="402"/>
      <c r="V82" s="402"/>
      <c r="W82" s="402"/>
      <c r="X82" s="403"/>
      <c r="Y82" s="403"/>
      <c r="Z82" s="403"/>
      <c r="AA82" s="403"/>
      <c r="AB82" s="403"/>
      <c r="AC82" s="403"/>
      <c r="AD82" s="404"/>
      <c r="AF82" s="53"/>
    </row>
    <row r="83" spans="1:32" ht="36" thickBot="1">
      <c r="A83" s="396" t="s">
        <v>347</v>
      </c>
      <c r="B83" s="396"/>
      <c r="C83" s="396"/>
      <c r="D83" s="396"/>
      <c r="E83" s="396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97" t="s">
        <v>113</v>
      </c>
      <c r="B84" s="398"/>
      <c r="C84" s="388" t="s">
        <v>52</v>
      </c>
      <c r="D84" s="388"/>
      <c r="E84" s="388" t="s">
        <v>53</v>
      </c>
      <c r="F84" s="388"/>
      <c r="G84" s="388"/>
      <c r="H84" s="388"/>
      <c r="I84" s="388"/>
      <c r="J84" s="388"/>
      <c r="K84" s="388" t="s">
        <v>54</v>
      </c>
      <c r="L84" s="388"/>
      <c r="M84" s="388"/>
      <c r="N84" s="388"/>
      <c r="O84" s="388"/>
      <c r="P84" s="388"/>
      <c r="Q84" s="388"/>
      <c r="R84" s="388"/>
      <c r="S84" s="388"/>
      <c r="T84" s="388" t="s">
        <v>55</v>
      </c>
      <c r="U84" s="388"/>
      <c r="V84" s="388" t="s">
        <v>56</v>
      </c>
      <c r="W84" s="388"/>
      <c r="X84" s="388"/>
      <c r="Y84" s="388" t="s">
        <v>51</v>
      </c>
      <c r="Z84" s="388"/>
      <c r="AA84" s="388"/>
      <c r="AB84" s="388"/>
      <c r="AC84" s="388"/>
      <c r="AD84" s="389"/>
      <c r="AF84" s="53"/>
    </row>
    <row r="85" spans="1:32" ht="30.75" customHeight="1">
      <c r="A85" s="390">
        <v>1</v>
      </c>
      <c r="B85" s="391"/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3"/>
      <c r="W85" s="393"/>
      <c r="X85" s="393"/>
      <c r="Y85" s="394"/>
      <c r="Z85" s="394"/>
      <c r="AA85" s="394"/>
      <c r="AB85" s="394"/>
      <c r="AC85" s="394"/>
      <c r="AD85" s="395"/>
      <c r="AF85" s="53"/>
    </row>
    <row r="86" spans="1:32" ht="30.75" customHeight="1">
      <c r="A86" s="383">
        <v>2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6"/>
      <c r="U86" s="386"/>
      <c r="V86" s="387"/>
      <c r="W86" s="387"/>
      <c r="X86" s="387"/>
      <c r="Y86" s="376"/>
      <c r="Z86" s="376"/>
      <c r="AA86" s="376"/>
      <c r="AB86" s="376"/>
      <c r="AC86" s="376"/>
      <c r="AD86" s="377"/>
      <c r="AF86" s="53"/>
    </row>
    <row r="87" spans="1:32" ht="30.75" customHeight="1" thickBot="1">
      <c r="A87" s="378">
        <v>3</v>
      </c>
      <c r="B87" s="379"/>
      <c r="C87" s="380"/>
      <c r="D87" s="380"/>
      <c r="E87" s="380"/>
      <c r="F87" s="380"/>
      <c r="G87" s="380"/>
      <c r="H87" s="380"/>
      <c r="I87" s="380"/>
      <c r="J87" s="380"/>
      <c r="K87" s="380"/>
      <c r="L87" s="380"/>
      <c r="M87" s="380"/>
      <c r="N87" s="380"/>
      <c r="O87" s="380"/>
      <c r="P87" s="380"/>
      <c r="Q87" s="380"/>
      <c r="R87" s="380"/>
      <c r="S87" s="380"/>
      <c r="T87" s="380"/>
      <c r="U87" s="380"/>
      <c r="V87" s="380"/>
      <c r="W87" s="380"/>
      <c r="X87" s="380"/>
      <c r="Y87" s="381"/>
      <c r="Z87" s="381"/>
      <c r="AA87" s="381"/>
      <c r="AB87" s="381"/>
      <c r="AC87" s="381"/>
      <c r="AD87" s="382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5648-7C68-4772-9380-6EC4ED7C358A}">
  <sheetPr>
    <pageSetUpPr fitToPage="1"/>
  </sheetPr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348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27" t="s">
        <v>17</v>
      </c>
      <c r="L5" s="227" t="s">
        <v>18</v>
      </c>
      <c r="M5" s="227" t="s">
        <v>19</v>
      </c>
      <c r="N5" s="22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0.4</v>
      </c>
      <c r="AF6" s="93">
        <f t="shared" ref="AF6:AF21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123</v>
      </c>
      <c r="D8" s="55" t="s">
        <v>349</v>
      </c>
      <c r="E8" s="57" t="s">
        <v>350</v>
      </c>
      <c r="F8" s="33" t="s">
        <v>140</v>
      </c>
      <c r="G8" s="36" t="s">
        <v>240</v>
      </c>
      <c r="H8" s="38">
        <v>25</v>
      </c>
      <c r="I8" s="7">
        <v>3000</v>
      </c>
      <c r="J8" s="5">
        <v>2611</v>
      </c>
      <c r="K8" s="15">
        <f>L8</f>
        <v>2611</v>
      </c>
      <c r="L8" s="15">
        <f>2611</f>
        <v>2611</v>
      </c>
      <c r="M8" s="16">
        <f t="shared" si="0"/>
        <v>2611</v>
      </c>
      <c r="N8" s="16">
        <v>0</v>
      </c>
      <c r="O8" s="62">
        <f t="shared" si="1"/>
        <v>0</v>
      </c>
      <c r="P8" s="42">
        <f t="shared" si="2"/>
        <v>16</v>
      </c>
      <c r="Q8" s="43">
        <f t="shared" si="3"/>
        <v>8</v>
      </c>
      <c r="R8" s="7"/>
      <c r="S8" s="6"/>
      <c r="T8" s="17">
        <v>8</v>
      </c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0.66666666666666663</v>
      </c>
      <c r="AD8" s="10">
        <f t="shared" si="6"/>
        <v>0.66666666666666663</v>
      </c>
      <c r="AE8" s="39">
        <f t="shared" si="7"/>
        <v>0.4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114</v>
      </c>
      <c r="D9" s="55" t="s">
        <v>127</v>
      </c>
      <c r="E9" s="57" t="s">
        <v>273</v>
      </c>
      <c r="F9" s="33" t="s">
        <v>121</v>
      </c>
      <c r="G9" s="36">
        <v>1</v>
      </c>
      <c r="H9" s="38">
        <v>24</v>
      </c>
      <c r="I9" s="7">
        <v>4000</v>
      </c>
      <c r="J9" s="14">
        <v>4267</v>
      </c>
      <c r="K9" s="15">
        <f>L9+4267</f>
        <v>4267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123</v>
      </c>
      <c r="D10" s="55" t="s">
        <v>119</v>
      </c>
      <c r="E10" s="57" t="s">
        <v>147</v>
      </c>
      <c r="F10" s="12" t="s">
        <v>121</v>
      </c>
      <c r="G10" s="12">
        <v>4</v>
      </c>
      <c r="H10" s="13">
        <v>25</v>
      </c>
      <c r="I10" s="7">
        <v>400000</v>
      </c>
      <c r="J10" s="14">
        <v>25624</v>
      </c>
      <c r="K10" s="15">
        <f>L10+23776+26072+26756+24764+18432+17192+18752+24536+24336+16996+23988+25708+23312+23400</f>
        <v>343644</v>
      </c>
      <c r="L10" s="15">
        <f>3462*4+2944*4</f>
        <v>25624</v>
      </c>
      <c r="M10" s="16">
        <f t="shared" si="0"/>
        <v>25624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0.4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123</v>
      </c>
      <c r="D11" s="55" t="s">
        <v>202</v>
      </c>
      <c r="E11" s="57" t="s">
        <v>331</v>
      </c>
      <c r="F11" s="12" t="s">
        <v>131</v>
      </c>
      <c r="G11" s="12">
        <v>2</v>
      </c>
      <c r="H11" s="13">
        <v>25</v>
      </c>
      <c r="I11" s="7">
        <v>12000</v>
      </c>
      <c r="J11" s="14">
        <v>7472</v>
      </c>
      <c r="K11" s="15">
        <f>L11+5396</f>
        <v>12868</v>
      </c>
      <c r="L11" s="15">
        <f>2925*2+811*2</f>
        <v>7472</v>
      </c>
      <c r="M11" s="16">
        <f t="shared" si="0"/>
        <v>7472</v>
      </c>
      <c r="N11" s="16">
        <v>0</v>
      </c>
      <c r="O11" s="62">
        <f t="shared" si="1"/>
        <v>0</v>
      </c>
      <c r="P11" s="42">
        <f t="shared" si="2"/>
        <v>19</v>
      </c>
      <c r="Q11" s="43">
        <f t="shared" si="3"/>
        <v>5</v>
      </c>
      <c r="R11" s="7"/>
      <c r="S11" s="6"/>
      <c r="T11" s="17"/>
      <c r="U11" s="17"/>
      <c r="V11" s="18"/>
      <c r="W11" s="19">
        <v>5</v>
      </c>
      <c r="X11" s="17"/>
      <c r="Y11" s="20"/>
      <c r="Z11" s="20"/>
      <c r="AA11" s="21"/>
      <c r="AB11" s="8">
        <f t="shared" si="4"/>
        <v>1</v>
      </c>
      <c r="AC11" s="9">
        <f t="shared" si="5"/>
        <v>0.79166666666666663</v>
      </c>
      <c r="AD11" s="10">
        <f t="shared" si="6"/>
        <v>0.79166666666666663</v>
      </c>
      <c r="AE11" s="39">
        <f t="shared" si="7"/>
        <v>0.4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123</v>
      </c>
      <c r="D12" s="55" t="s">
        <v>292</v>
      </c>
      <c r="E12" s="57" t="s">
        <v>293</v>
      </c>
      <c r="F12" s="33" t="s">
        <v>116</v>
      </c>
      <c r="G12" s="36">
        <v>1</v>
      </c>
      <c r="H12" s="38">
        <v>24</v>
      </c>
      <c r="I12" s="7">
        <v>10000</v>
      </c>
      <c r="J12" s="14">
        <v>2837</v>
      </c>
      <c r="K12" s="15">
        <f>L12+1507+2959+3099+2837</f>
        <v>10402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117</v>
      </c>
      <c r="E13" s="57" t="s">
        <v>312</v>
      </c>
      <c r="F13" s="33" t="s">
        <v>242</v>
      </c>
      <c r="G13" s="36">
        <v>1</v>
      </c>
      <c r="H13" s="38">
        <v>24</v>
      </c>
      <c r="I13" s="7">
        <v>6000</v>
      </c>
      <c r="J13" s="14">
        <v>4808</v>
      </c>
      <c r="K13" s="15">
        <f>L13+3091+4808</f>
        <v>7899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>
        <v>24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114</v>
      </c>
      <c r="D14" s="55" t="s">
        <v>117</v>
      </c>
      <c r="E14" s="57" t="s">
        <v>351</v>
      </c>
      <c r="F14" s="33" t="s">
        <v>352</v>
      </c>
      <c r="G14" s="36">
        <v>1</v>
      </c>
      <c r="H14" s="38">
        <v>25</v>
      </c>
      <c r="I14" s="7">
        <v>500</v>
      </c>
      <c r="J14" s="5">
        <v>550</v>
      </c>
      <c r="K14" s="15">
        <f>L14</f>
        <v>550</v>
      </c>
      <c r="L14" s="15">
        <v>550</v>
      </c>
      <c r="M14" s="16">
        <f t="shared" ref="M14" si="9">L14-N14</f>
        <v>550</v>
      </c>
      <c r="N14" s="16">
        <v>0</v>
      </c>
      <c r="O14" s="62">
        <f t="shared" ref="O14" si="10">IF(L14=0,"0",N14/L14)</f>
        <v>0</v>
      </c>
      <c r="P14" s="42">
        <f t="shared" ref="P14" si="11">IF(L14=0,"0",(24-Q14))</f>
        <v>7</v>
      </c>
      <c r="Q14" s="43">
        <f t="shared" ref="Q14" si="12">SUM(R14:AA14)</f>
        <v>17</v>
      </c>
      <c r="R14" s="7"/>
      <c r="S14" s="6"/>
      <c r="T14" s="17"/>
      <c r="U14" s="17"/>
      <c r="V14" s="18"/>
      <c r="W14" s="19">
        <v>17</v>
      </c>
      <c r="X14" s="17"/>
      <c r="Y14" s="20"/>
      <c r="Z14" s="20"/>
      <c r="AA14" s="21"/>
      <c r="AB14" s="8">
        <f t="shared" ref="AB14" si="13">IF(J14=0,"0",(L14/J14))</f>
        <v>1</v>
      </c>
      <c r="AC14" s="9">
        <f t="shared" ref="AC14" si="14">IF(P14=0,"0",(P14/24))</f>
        <v>0.29166666666666669</v>
      </c>
      <c r="AD14" s="10">
        <f t="shared" ref="AD14" si="15">AC14*AB14*(1-O14)</f>
        <v>0.29166666666666669</v>
      </c>
      <c r="AE14" s="39">
        <f t="shared" si="7"/>
        <v>0.4</v>
      </c>
      <c r="AF14" s="93">
        <f t="shared" ref="AF14" si="16">A14</f>
        <v>9</v>
      </c>
    </row>
    <row r="15" spans="1:32" ht="27" customHeight="1">
      <c r="A15" s="125">
        <v>9</v>
      </c>
      <c r="B15" s="11" t="s">
        <v>57</v>
      </c>
      <c r="C15" s="37" t="s">
        <v>114</v>
      </c>
      <c r="D15" s="55" t="s">
        <v>117</v>
      </c>
      <c r="E15" s="57" t="s">
        <v>159</v>
      </c>
      <c r="F15" s="33" t="s">
        <v>352</v>
      </c>
      <c r="G15" s="36">
        <v>1</v>
      </c>
      <c r="H15" s="38">
        <v>25</v>
      </c>
      <c r="I15" s="7">
        <v>700</v>
      </c>
      <c r="J15" s="5">
        <v>409</v>
      </c>
      <c r="K15" s="15">
        <f>L15</f>
        <v>409</v>
      </c>
      <c r="L15" s="15">
        <v>409</v>
      </c>
      <c r="M15" s="16">
        <f t="shared" si="0"/>
        <v>409</v>
      </c>
      <c r="N15" s="16">
        <v>0</v>
      </c>
      <c r="O15" s="62">
        <f t="shared" si="1"/>
        <v>0</v>
      </c>
      <c r="P15" s="42">
        <f t="shared" si="2"/>
        <v>6</v>
      </c>
      <c r="Q15" s="43">
        <f t="shared" si="3"/>
        <v>18</v>
      </c>
      <c r="R15" s="7"/>
      <c r="S15" s="6"/>
      <c r="T15" s="17"/>
      <c r="U15" s="17"/>
      <c r="V15" s="18"/>
      <c r="W15" s="19">
        <v>18</v>
      </c>
      <c r="X15" s="17"/>
      <c r="Y15" s="20"/>
      <c r="Z15" s="20"/>
      <c r="AA15" s="21"/>
      <c r="AB15" s="8">
        <f t="shared" si="4"/>
        <v>1</v>
      </c>
      <c r="AC15" s="9">
        <f t="shared" si="5"/>
        <v>0.25</v>
      </c>
      <c r="AD15" s="10">
        <f t="shared" si="6"/>
        <v>0.25</v>
      </c>
      <c r="AE15" s="39">
        <f t="shared" si="7"/>
        <v>0.4</v>
      </c>
      <c r="AF15" s="93">
        <f t="shared" si="8"/>
        <v>9</v>
      </c>
    </row>
    <row r="16" spans="1:32" ht="27" customHeight="1">
      <c r="A16" s="108">
        <v>10</v>
      </c>
      <c r="B16" s="11" t="s">
        <v>57</v>
      </c>
      <c r="C16" s="37" t="s">
        <v>192</v>
      </c>
      <c r="D16" s="55" t="s">
        <v>194</v>
      </c>
      <c r="E16" s="57" t="s">
        <v>191</v>
      </c>
      <c r="F16" s="12" t="s">
        <v>201</v>
      </c>
      <c r="G16" s="12">
        <v>4</v>
      </c>
      <c r="H16" s="13">
        <v>24</v>
      </c>
      <c r="I16" s="34">
        <v>30000</v>
      </c>
      <c r="J16" s="14">
        <v>12736</v>
      </c>
      <c r="K16" s="15">
        <f>L16+15852+24288+12736</f>
        <v>52876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>
        <v>24</v>
      </c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</v>
      </c>
      <c r="AF16" s="93">
        <f t="shared" si="8"/>
        <v>10</v>
      </c>
    </row>
    <row r="17" spans="1:32" ht="27" customHeight="1">
      <c r="A17" s="108">
        <v>11</v>
      </c>
      <c r="B17" s="11" t="s">
        <v>57</v>
      </c>
      <c r="C17" s="11" t="s">
        <v>118</v>
      </c>
      <c r="D17" s="55" t="s">
        <v>124</v>
      </c>
      <c r="E17" s="57" t="s">
        <v>313</v>
      </c>
      <c r="F17" s="12" t="s">
        <v>252</v>
      </c>
      <c r="G17" s="12">
        <v>1</v>
      </c>
      <c r="H17" s="13">
        <v>25</v>
      </c>
      <c r="I17" s="7">
        <v>6000</v>
      </c>
      <c r="J17" s="14">
        <v>5764</v>
      </c>
      <c r="K17" s="15">
        <f>L17+4906+5493</f>
        <v>16163</v>
      </c>
      <c r="L17" s="15">
        <f>3025+2739</f>
        <v>5764</v>
      </c>
      <c r="M17" s="16">
        <f t="shared" si="0"/>
        <v>5764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0.4</v>
      </c>
      <c r="AF17" s="93">
        <f t="shared" si="8"/>
        <v>11</v>
      </c>
    </row>
    <row r="18" spans="1:32" ht="27" customHeight="1">
      <c r="A18" s="108">
        <v>12</v>
      </c>
      <c r="B18" s="11" t="s">
        <v>57</v>
      </c>
      <c r="C18" s="37" t="s">
        <v>123</v>
      </c>
      <c r="D18" s="55" t="s">
        <v>124</v>
      </c>
      <c r="E18" s="57" t="s">
        <v>148</v>
      </c>
      <c r="F18" s="12" t="s">
        <v>131</v>
      </c>
      <c r="G18" s="12">
        <v>4</v>
      </c>
      <c r="H18" s="13">
        <v>24</v>
      </c>
      <c r="I18" s="34">
        <v>400000</v>
      </c>
      <c r="J18" s="14">
        <v>25580</v>
      </c>
      <c r="K18" s="15">
        <f>L18+19964+21928+25296+24300+24768+24688+11104+18160+24312+25036+24132+25812+24196+24040</f>
        <v>343316</v>
      </c>
      <c r="L18" s="15">
        <f>3454*4+2941*4</f>
        <v>25580</v>
      </c>
      <c r="M18" s="16">
        <f t="shared" si="0"/>
        <v>25580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</v>
      </c>
      <c r="AF18" s="93">
        <f t="shared" si="8"/>
        <v>12</v>
      </c>
    </row>
    <row r="19" spans="1:32" ht="27" customHeight="1">
      <c r="A19" s="109">
        <v>13</v>
      </c>
      <c r="B19" s="11" t="s">
        <v>57</v>
      </c>
      <c r="C19" s="37" t="s">
        <v>123</v>
      </c>
      <c r="D19" s="55" t="s">
        <v>117</v>
      </c>
      <c r="E19" s="57" t="s">
        <v>153</v>
      </c>
      <c r="F19" s="12" t="s">
        <v>129</v>
      </c>
      <c r="G19" s="36">
        <v>4</v>
      </c>
      <c r="H19" s="38">
        <v>24</v>
      </c>
      <c r="I19" s="7">
        <v>400000</v>
      </c>
      <c r="J19" s="5">
        <v>19704</v>
      </c>
      <c r="K19" s="15">
        <f>L19+12380+14384+22568+16460+13888+20848+20972+20888+19996+10224+14424+21632+20220+19704</f>
        <v>248588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>
        <v>24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>AC19*AB19*(1-O19)</f>
        <v>0</v>
      </c>
      <c r="AE19" s="39">
        <f t="shared" si="7"/>
        <v>0.4</v>
      </c>
      <c r="AF19" s="93">
        <f t="shared" si="8"/>
        <v>13</v>
      </c>
    </row>
    <row r="20" spans="1:32" ht="27" customHeight="1">
      <c r="A20" s="109">
        <v>14</v>
      </c>
      <c r="B20" s="11" t="s">
        <v>57</v>
      </c>
      <c r="C20" s="11" t="s">
        <v>118</v>
      </c>
      <c r="D20" s="55" t="s">
        <v>119</v>
      </c>
      <c r="E20" s="57" t="s">
        <v>309</v>
      </c>
      <c r="F20" s="12" t="s">
        <v>310</v>
      </c>
      <c r="G20" s="36">
        <v>1</v>
      </c>
      <c r="H20" s="13">
        <v>24</v>
      </c>
      <c r="I20" s="7">
        <v>6000</v>
      </c>
      <c r="J20" s="14">
        <v>5637</v>
      </c>
      <c r="K20" s="15">
        <f>L20+2947+5418+4914</f>
        <v>18916</v>
      </c>
      <c r="L20" s="15">
        <f>3032+2605</f>
        <v>5637</v>
      </c>
      <c r="M20" s="16">
        <f t="shared" si="0"/>
        <v>5637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0.4</v>
      </c>
      <c r="AF20" s="93">
        <f t="shared" si="8"/>
        <v>14</v>
      </c>
    </row>
    <row r="21" spans="1:32" ht="27" customHeight="1" thickBot="1">
      <c r="A21" s="109">
        <v>15</v>
      </c>
      <c r="B21" s="11" t="s">
        <v>57</v>
      </c>
      <c r="C21" s="11" t="s">
        <v>115</v>
      </c>
      <c r="D21" s="55"/>
      <c r="E21" s="56" t="s">
        <v>133</v>
      </c>
      <c r="F21" s="12" t="s">
        <v>116</v>
      </c>
      <c r="G21" s="12">
        <v>4</v>
      </c>
      <c r="H21" s="38">
        <v>20</v>
      </c>
      <c r="I21" s="7">
        <v>300000</v>
      </c>
      <c r="J21" s="14">
        <v>10476</v>
      </c>
      <c r="K21" s="15">
        <f>L21+39648+30712+45256+43600+10476</f>
        <v>169692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</v>
      </c>
      <c r="AF21" s="93">
        <f t="shared" si="8"/>
        <v>15</v>
      </c>
    </row>
    <row r="22" spans="1:32" ht="31.5" customHeight="1" thickBot="1">
      <c r="A22" s="450" t="s">
        <v>34</v>
      </c>
      <c r="B22" s="451"/>
      <c r="C22" s="451"/>
      <c r="D22" s="451"/>
      <c r="E22" s="451"/>
      <c r="F22" s="451"/>
      <c r="G22" s="451"/>
      <c r="H22" s="452"/>
      <c r="I22" s="25">
        <f t="shared" ref="I22:N22" si="17">SUM(I6:I21)</f>
        <v>1578200</v>
      </c>
      <c r="J22" s="22">
        <f t="shared" si="17"/>
        <v>128475</v>
      </c>
      <c r="K22" s="23">
        <f t="shared" si="17"/>
        <v>1232201</v>
      </c>
      <c r="L22" s="24">
        <f t="shared" si="17"/>
        <v>73647</v>
      </c>
      <c r="M22" s="23">
        <f t="shared" si="17"/>
        <v>73647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144</v>
      </c>
      <c r="Q22" s="46">
        <f t="shared" si="18"/>
        <v>240</v>
      </c>
      <c r="R22" s="26">
        <f t="shared" si="18"/>
        <v>48</v>
      </c>
      <c r="S22" s="27">
        <f t="shared" si="18"/>
        <v>48</v>
      </c>
      <c r="T22" s="27">
        <f t="shared" si="18"/>
        <v>8</v>
      </c>
      <c r="U22" s="27">
        <f t="shared" si="18"/>
        <v>0</v>
      </c>
      <c r="V22" s="28">
        <f t="shared" si="18"/>
        <v>0</v>
      </c>
      <c r="W22" s="29">
        <f t="shared" si="18"/>
        <v>136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0.53333333333333333</v>
      </c>
      <c r="AC22" s="4">
        <f>SUM(AC6:AC21)/15</f>
        <v>0.4</v>
      </c>
      <c r="AD22" s="4">
        <f>SUM(AD6:AD21)/15</f>
        <v>0.4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4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53" t="s">
        <v>45</v>
      </c>
      <c r="B49" s="453"/>
      <c r="C49" s="453"/>
      <c r="D49" s="453"/>
      <c r="E49" s="453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54" t="s">
        <v>353</v>
      </c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6"/>
      <c r="N50" s="457" t="s">
        <v>354</v>
      </c>
      <c r="O50" s="458"/>
      <c r="P50" s="458"/>
      <c r="Q50" s="458"/>
      <c r="R50" s="458"/>
      <c r="S50" s="458"/>
      <c r="T50" s="458"/>
      <c r="U50" s="458"/>
      <c r="V50" s="458"/>
      <c r="W50" s="458"/>
      <c r="X50" s="458"/>
      <c r="Y50" s="458"/>
      <c r="Z50" s="458"/>
      <c r="AA50" s="458"/>
      <c r="AB50" s="458"/>
      <c r="AC50" s="458"/>
      <c r="AD50" s="459"/>
    </row>
    <row r="51" spans="1:32" ht="27" customHeight="1">
      <c r="A51" s="460" t="s">
        <v>2</v>
      </c>
      <c r="B51" s="461"/>
      <c r="C51" s="228" t="s">
        <v>46</v>
      </c>
      <c r="D51" s="228" t="s">
        <v>47</v>
      </c>
      <c r="E51" s="228" t="s">
        <v>108</v>
      </c>
      <c r="F51" s="461" t="s">
        <v>107</v>
      </c>
      <c r="G51" s="461"/>
      <c r="H51" s="461"/>
      <c r="I51" s="461"/>
      <c r="J51" s="461"/>
      <c r="K51" s="461"/>
      <c r="L51" s="461"/>
      <c r="M51" s="462"/>
      <c r="N51" s="73" t="s">
        <v>112</v>
      </c>
      <c r="O51" s="228" t="s">
        <v>46</v>
      </c>
      <c r="P51" s="463" t="s">
        <v>47</v>
      </c>
      <c r="Q51" s="464"/>
      <c r="R51" s="463" t="s">
        <v>38</v>
      </c>
      <c r="S51" s="465"/>
      <c r="T51" s="465"/>
      <c r="U51" s="464"/>
      <c r="V51" s="463" t="s">
        <v>48</v>
      </c>
      <c r="W51" s="465"/>
      <c r="X51" s="465"/>
      <c r="Y51" s="465"/>
      <c r="Z51" s="465"/>
      <c r="AA51" s="465"/>
      <c r="AB51" s="465"/>
      <c r="AC51" s="465"/>
      <c r="AD51" s="466"/>
    </row>
    <row r="52" spans="1:32" ht="27" customHeight="1">
      <c r="A52" s="434" t="s">
        <v>114</v>
      </c>
      <c r="B52" s="435"/>
      <c r="C52" s="230" t="s">
        <v>275</v>
      </c>
      <c r="D52" s="230" t="s">
        <v>117</v>
      </c>
      <c r="E52" s="230" t="s">
        <v>351</v>
      </c>
      <c r="F52" s="445" t="s">
        <v>171</v>
      </c>
      <c r="G52" s="446"/>
      <c r="H52" s="446"/>
      <c r="I52" s="446"/>
      <c r="J52" s="446"/>
      <c r="K52" s="446"/>
      <c r="L52" s="446"/>
      <c r="M52" s="447"/>
      <c r="N52" s="229" t="s">
        <v>114</v>
      </c>
      <c r="O52" s="124" t="s">
        <v>275</v>
      </c>
      <c r="P52" s="443" t="s">
        <v>117</v>
      </c>
      <c r="Q52" s="444"/>
      <c r="R52" s="435" t="s">
        <v>284</v>
      </c>
      <c r="S52" s="435"/>
      <c r="T52" s="435"/>
      <c r="U52" s="435"/>
      <c r="V52" s="426" t="s">
        <v>171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114</v>
      </c>
      <c r="B53" s="435"/>
      <c r="C53" s="230" t="s">
        <v>275</v>
      </c>
      <c r="D53" s="230" t="s">
        <v>117</v>
      </c>
      <c r="E53" s="230" t="s">
        <v>159</v>
      </c>
      <c r="F53" s="445" t="s">
        <v>171</v>
      </c>
      <c r="G53" s="446"/>
      <c r="H53" s="446"/>
      <c r="I53" s="446"/>
      <c r="J53" s="446"/>
      <c r="K53" s="446"/>
      <c r="L53" s="446"/>
      <c r="M53" s="447"/>
      <c r="N53" s="229" t="s">
        <v>114</v>
      </c>
      <c r="O53" s="124" t="s">
        <v>144</v>
      </c>
      <c r="P53" s="443" t="s">
        <v>134</v>
      </c>
      <c r="Q53" s="444"/>
      <c r="R53" s="435" t="s">
        <v>355</v>
      </c>
      <c r="S53" s="435"/>
      <c r="T53" s="435"/>
      <c r="U53" s="435"/>
      <c r="V53" s="426" t="s">
        <v>171</v>
      </c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 t="s">
        <v>123</v>
      </c>
      <c r="B54" s="435"/>
      <c r="C54" s="230" t="s">
        <v>154</v>
      </c>
      <c r="D54" s="230" t="s">
        <v>349</v>
      </c>
      <c r="E54" s="230" t="s">
        <v>356</v>
      </c>
      <c r="F54" s="445" t="s">
        <v>171</v>
      </c>
      <c r="G54" s="446"/>
      <c r="H54" s="446"/>
      <c r="I54" s="446"/>
      <c r="J54" s="446"/>
      <c r="K54" s="446"/>
      <c r="L54" s="446"/>
      <c r="M54" s="447"/>
      <c r="N54" s="229" t="s">
        <v>123</v>
      </c>
      <c r="O54" s="124" t="s">
        <v>193</v>
      </c>
      <c r="P54" s="435" t="s">
        <v>335</v>
      </c>
      <c r="Q54" s="435"/>
      <c r="R54" s="435" t="s">
        <v>334</v>
      </c>
      <c r="S54" s="435"/>
      <c r="T54" s="435"/>
      <c r="U54" s="435"/>
      <c r="V54" s="426" t="s">
        <v>171</v>
      </c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/>
      <c r="B55" s="435"/>
      <c r="C55" s="230"/>
      <c r="D55" s="230"/>
      <c r="E55" s="230"/>
      <c r="F55" s="445"/>
      <c r="G55" s="446"/>
      <c r="H55" s="446"/>
      <c r="I55" s="446"/>
      <c r="J55" s="446"/>
      <c r="K55" s="446"/>
      <c r="L55" s="446"/>
      <c r="M55" s="447"/>
      <c r="N55" s="229" t="s">
        <v>123</v>
      </c>
      <c r="O55" s="124" t="s">
        <v>166</v>
      </c>
      <c r="P55" s="443" t="s">
        <v>117</v>
      </c>
      <c r="Q55" s="444"/>
      <c r="R55" s="435" t="s">
        <v>153</v>
      </c>
      <c r="S55" s="435"/>
      <c r="T55" s="435"/>
      <c r="U55" s="435"/>
      <c r="V55" s="426" t="s">
        <v>130</v>
      </c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230"/>
      <c r="D56" s="230"/>
      <c r="E56" s="230"/>
      <c r="F56" s="445"/>
      <c r="G56" s="446"/>
      <c r="H56" s="446"/>
      <c r="I56" s="446"/>
      <c r="J56" s="446"/>
      <c r="K56" s="446"/>
      <c r="L56" s="446"/>
      <c r="M56" s="447"/>
      <c r="N56" s="229"/>
      <c r="O56" s="124"/>
      <c r="P56" s="435"/>
      <c r="Q56" s="435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230"/>
      <c r="D57" s="230"/>
      <c r="E57" s="230"/>
      <c r="F57" s="445"/>
      <c r="G57" s="446"/>
      <c r="H57" s="446"/>
      <c r="I57" s="446"/>
      <c r="J57" s="446"/>
      <c r="K57" s="446"/>
      <c r="L57" s="446"/>
      <c r="M57" s="447"/>
      <c r="N57" s="229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230"/>
      <c r="D58" s="230"/>
      <c r="E58" s="230"/>
      <c r="F58" s="445"/>
      <c r="G58" s="446"/>
      <c r="H58" s="446"/>
      <c r="I58" s="446"/>
      <c r="J58" s="446"/>
      <c r="K58" s="446"/>
      <c r="L58" s="446"/>
      <c r="M58" s="447"/>
      <c r="N58" s="229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230"/>
      <c r="D59" s="230"/>
      <c r="E59" s="230"/>
      <c r="F59" s="426"/>
      <c r="G59" s="426"/>
      <c r="H59" s="426"/>
      <c r="I59" s="426"/>
      <c r="J59" s="426"/>
      <c r="K59" s="426"/>
      <c r="L59" s="426"/>
      <c r="M59" s="436"/>
      <c r="N59" s="229"/>
      <c r="O59" s="124"/>
      <c r="P59" s="443"/>
      <c r="Q59" s="444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</row>
    <row r="60" spans="1:32" ht="27" customHeight="1">
      <c r="A60" s="434"/>
      <c r="B60" s="435"/>
      <c r="C60" s="230"/>
      <c r="D60" s="230"/>
      <c r="E60" s="230"/>
      <c r="F60" s="445"/>
      <c r="G60" s="446"/>
      <c r="H60" s="446"/>
      <c r="I60" s="446"/>
      <c r="J60" s="446"/>
      <c r="K60" s="446"/>
      <c r="L60" s="446"/>
      <c r="M60" s="447"/>
      <c r="N60" s="229"/>
      <c r="O60" s="124"/>
      <c r="P60" s="435"/>
      <c r="Q60" s="435"/>
      <c r="R60" s="435"/>
      <c r="S60" s="435"/>
      <c r="T60" s="435"/>
      <c r="U60" s="435"/>
      <c r="V60" s="426"/>
      <c r="W60" s="426"/>
      <c r="X60" s="426"/>
      <c r="Y60" s="426"/>
      <c r="Z60" s="426"/>
      <c r="AA60" s="426"/>
      <c r="AB60" s="426"/>
      <c r="AC60" s="426"/>
      <c r="AD60" s="436"/>
      <c r="AF60" s="93">
        <f>8*3000</f>
        <v>24000</v>
      </c>
    </row>
    <row r="61" spans="1:32" ht="27" customHeight="1" thickBot="1">
      <c r="A61" s="437"/>
      <c r="B61" s="438"/>
      <c r="C61" s="232"/>
      <c r="D61" s="232"/>
      <c r="E61" s="232"/>
      <c r="F61" s="439"/>
      <c r="G61" s="439"/>
      <c r="H61" s="439"/>
      <c r="I61" s="439"/>
      <c r="J61" s="439"/>
      <c r="K61" s="439"/>
      <c r="L61" s="439"/>
      <c r="M61" s="440"/>
      <c r="N61" s="231"/>
      <c r="O61" s="120"/>
      <c r="P61" s="438"/>
      <c r="Q61" s="438"/>
      <c r="R61" s="438"/>
      <c r="S61" s="438"/>
      <c r="T61" s="438"/>
      <c r="U61" s="438"/>
      <c r="V61" s="441"/>
      <c r="W61" s="441"/>
      <c r="X61" s="441"/>
      <c r="Y61" s="441"/>
      <c r="Z61" s="441"/>
      <c r="AA61" s="441"/>
      <c r="AB61" s="441"/>
      <c r="AC61" s="441"/>
      <c r="AD61" s="442"/>
      <c r="AF61" s="93">
        <f>16*3000</f>
        <v>48000</v>
      </c>
    </row>
    <row r="62" spans="1:32" ht="27.75" thickBot="1">
      <c r="A62" s="432" t="s">
        <v>357</v>
      </c>
      <c r="B62" s="432"/>
      <c r="C62" s="432"/>
      <c r="D62" s="432"/>
      <c r="E62" s="432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3">
        <v>24000</v>
      </c>
    </row>
    <row r="63" spans="1:32" ht="29.25" customHeight="1" thickBot="1">
      <c r="A63" s="433" t="s">
        <v>113</v>
      </c>
      <c r="B63" s="430"/>
      <c r="C63" s="233" t="s">
        <v>2</v>
      </c>
      <c r="D63" s="233" t="s">
        <v>37</v>
      </c>
      <c r="E63" s="233" t="s">
        <v>3</v>
      </c>
      <c r="F63" s="430" t="s">
        <v>110</v>
      </c>
      <c r="G63" s="430"/>
      <c r="H63" s="430"/>
      <c r="I63" s="430"/>
      <c r="J63" s="430"/>
      <c r="K63" s="430" t="s">
        <v>39</v>
      </c>
      <c r="L63" s="430"/>
      <c r="M63" s="233" t="s">
        <v>40</v>
      </c>
      <c r="N63" s="430" t="s">
        <v>41</v>
      </c>
      <c r="O63" s="430"/>
      <c r="P63" s="427" t="s">
        <v>42</v>
      </c>
      <c r="Q63" s="429"/>
      <c r="R63" s="427" t="s">
        <v>43</v>
      </c>
      <c r="S63" s="428"/>
      <c r="T63" s="428"/>
      <c r="U63" s="428"/>
      <c r="V63" s="428"/>
      <c r="W63" s="428"/>
      <c r="X63" s="428"/>
      <c r="Y63" s="428"/>
      <c r="Z63" s="428"/>
      <c r="AA63" s="429"/>
      <c r="AB63" s="430" t="s">
        <v>44</v>
      </c>
      <c r="AC63" s="430"/>
      <c r="AD63" s="431"/>
      <c r="AF63" s="93">
        <f>SUM(AF60:AF62)</f>
        <v>96000</v>
      </c>
    </row>
    <row r="64" spans="1:32" ht="25.5" customHeight="1">
      <c r="A64" s="422">
        <v>1</v>
      </c>
      <c r="B64" s="423"/>
      <c r="C64" s="123" t="s">
        <v>300</v>
      </c>
      <c r="D64" s="236"/>
      <c r="E64" s="234" t="s">
        <v>298</v>
      </c>
      <c r="F64" s="424" t="s">
        <v>301</v>
      </c>
      <c r="G64" s="416"/>
      <c r="H64" s="416"/>
      <c r="I64" s="416"/>
      <c r="J64" s="416"/>
      <c r="K64" s="416" t="s">
        <v>303</v>
      </c>
      <c r="L64" s="416"/>
      <c r="M64" s="54" t="s">
        <v>197</v>
      </c>
      <c r="N64" s="416">
        <v>8</v>
      </c>
      <c r="O64" s="416"/>
      <c r="P64" s="425">
        <v>50</v>
      </c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2</v>
      </c>
      <c r="B65" s="423"/>
      <c r="C65" s="123" t="s">
        <v>300</v>
      </c>
      <c r="D65" s="236"/>
      <c r="E65" s="234" t="s">
        <v>305</v>
      </c>
      <c r="F65" s="424" t="s">
        <v>302</v>
      </c>
      <c r="G65" s="416"/>
      <c r="H65" s="416"/>
      <c r="I65" s="416"/>
      <c r="J65" s="416"/>
      <c r="K65" s="416" t="s">
        <v>303</v>
      </c>
      <c r="L65" s="416"/>
      <c r="M65" s="54" t="s">
        <v>197</v>
      </c>
      <c r="N65" s="416">
        <v>8</v>
      </c>
      <c r="O65" s="416"/>
      <c r="P65" s="425">
        <v>50</v>
      </c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3</v>
      </c>
      <c r="B66" s="423"/>
      <c r="C66" s="123"/>
      <c r="D66" s="236"/>
      <c r="E66" s="234"/>
      <c r="F66" s="424"/>
      <c r="G66" s="416"/>
      <c r="H66" s="416"/>
      <c r="I66" s="416"/>
      <c r="J66" s="416"/>
      <c r="K66" s="416"/>
      <c r="L66" s="416"/>
      <c r="M66" s="54"/>
      <c r="N66" s="416"/>
      <c r="O66" s="416"/>
      <c r="P66" s="425"/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4</v>
      </c>
      <c r="B67" s="423"/>
      <c r="C67" s="123"/>
      <c r="D67" s="236"/>
      <c r="E67" s="234"/>
      <c r="F67" s="424"/>
      <c r="G67" s="416"/>
      <c r="H67" s="416"/>
      <c r="I67" s="416"/>
      <c r="J67" s="416"/>
      <c r="K67" s="416"/>
      <c r="L67" s="416"/>
      <c r="M67" s="54"/>
      <c r="N67" s="416"/>
      <c r="O67" s="416"/>
      <c r="P67" s="425"/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5</v>
      </c>
      <c r="B68" s="423"/>
      <c r="C68" s="123"/>
      <c r="D68" s="236"/>
      <c r="E68" s="234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6</v>
      </c>
      <c r="B69" s="423"/>
      <c r="C69" s="123"/>
      <c r="D69" s="236"/>
      <c r="E69" s="234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7</v>
      </c>
      <c r="B70" s="423"/>
      <c r="C70" s="123"/>
      <c r="D70" s="236"/>
      <c r="E70" s="234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5.5" customHeight="1">
      <c r="A71" s="422">
        <v>8</v>
      </c>
      <c r="B71" s="423"/>
      <c r="C71" s="123"/>
      <c r="D71" s="236"/>
      <c r="E71" s="234"/>
      <c r="F71" s="424"/>
      <c r="G71" s="416"/>
      <c r="H71" s="416"/>
      <c r="I71" s="416"/>
      <c r="J71" s="416"/>
      <c r="K71" s="416"/>
      <c r="L71" s="416"/>
      <c r="M71" s="54"/>
      <c r="N71" s="416"/>
      <c r="O71" s="416"/>
      <c r="P71" s="425"/>
      <c r="Q71" s="425"/>
      <c r="R71" s="426"/>
      <c r="S71" s="426"/>
      <c r="T71" s="426"/>
      <c r="U71" s="426"/>
      <c r="V71" s="426"/>
      <c r="W71" s="426"/>
      <c r="X71" s="426"/>
      <c r="Y71" s="426"/>
      <c r="Z71" s="426"/>
      <c r="AA71" s="426"/>
      <c r="AB71" s="416"/>
      <c r="AC71" s="416"/>
      <c r="AD71" s="417"/>
      <c r="AF71" s="53"/>
    </row>
    <row r="72" spans="1:32" ht="26.25" customHeight="1" thickBot="1">
      <c r="A72" s="396" t="s">
        <v>358</v>
      </c>
      <c r="B72" s="396"/>
      <c r="C72" s="396"/>
      <c r="D72" s="396"/>
      <c r="E72" s="396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97" t="s">
        <v>113</v>
      </c>
      <c r="B73" s="398"/>
      <c r="C73" s="235" t="s">
        <v>2</v>
      </c>
      <c r="D73" s="235" t="s">
        <v>37</v>
      </c>
      <c r="E73" s="235" t="s">
        <v>3</v>
      </c>
      <c r="F73" s="398" t="s">
        <v>38</v>
      </c>
      <c r="G73" s="398"/>
      <c r="H73" s="398"/>
      <c r="I73" s="398"/>
      <c r="J73" s="398"/>
      <c r="K73" s="418" t="s">
        <v>58</v>
      </c>
      <c r="L73" s="419"/>
      <c r="M73" s="419"/>
      <c r="N73" s="419"/>
      <c r="O73" s="419"/>
      <c r="P73" s="419"/>
      <c r="Q73" s="419"/>
      <c r="R73" s="419"/>
      <c r="S73" s="420"/>
      <c r="T73" s="398" t="s">
        <v>49</v>
      </c>
      <c r="U73" s="398"/>
      <c r="V73" s="418" t="s">
        <v>50</v>
      </c>
      <c r="W73" s="420"/>
      <c r="X73" s="419" t="s">
        <v>51</v>
      </c>
      <c r="Y73" s="419"/>
      <c r="Z73" s="419"/>
      <c r="AA73" s="419"/>
      <c r="AB73" s="419"/>
      <c r="AC73" s="419"/>
      <c r="AD73" s="421"/>
      <c r="AF73" s="53"/>
    </row>
    <row r="74" spans="1:32" ht="33.75" customHeight="1">
      <c r="A74" s="390">
        <v>1</v>
      </c>
      <c r="B74" s="391"/>
      <c r="C74" s="237" t="s">
        <v>114</v>
      </c>
      <c r="D74" s="237"/>
      <c r="E74" s="71" t="s">
        <v>127</v>
      </c>
      <c r="F74" s="405" t="s">
        <v>126</v>
      </c>
      <c r="G74" s="406"/>
      <c r="H74" s="406"/>
      <c r="I74" s="406"/>
      <c r="J74" s="407"/>
      <c r="K74" s="408" t="s">
        <v>128</v>
      </c>
      <c r="L74" s="409"/>
      <c r="M74" s="409"/>
      <c r="N74" s="409"/>
      <c r="O74" s="409"/>
      <c r="P74" s="409"/>
      <c r="Q74" s="409"/>
      <c r="R74" s="409"/>
      <c r="S74" s="410"/>
      <c r="T74" s="411">
        <v>43384</v>
      </c>
      <c r="U74" s="412"/>
      <c r="V74" s="413"/>
      <c r="W74" s="413"/>
      <c r="X74" s="414"/>
      <c r="Y74" s="414"/>
      <c r="Z74" s="414"/>
      <c r="AA74" s="414"/>
      <c r="AB74" s="414"/>
      <c r="AC74" s="414"/>
      <c r="AD74" s="415"/>
      <c r="AF74" s="53"/>
    </row>
    <row r="75" spans="1:32" ht="30" customHeight="1">
      <c r="A75" s="383">
        <f>A74+1</f>
        <v>2</v>
      </c>
      <c r="B75" s="384"/>
      <c r="C75" s="236"/>
      <c r="D75" s="236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ref="A76:A82" si="19">A75+1</f>
        <v>3</v>
      </c>
      <c r="B76" s="384"/>
      <c r="C76" s="236"/>
      <c r="D76" s="236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9"/>
        <v>4</v>
      </c>
      <c r="B77" s="384"/>
      <c r="C77" s="236"/>
      <c r="D77" s="236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9"/>
        <v>5</v>
      </c>
      <c r="B78" s="384"/>
      <c r="C78" s="236"/>
      <c r="D78" s="236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9"/>
        <v>6</v>
      </c>
      <c r="B79" s="384"/>
      <c r="C79" s="236"/>
      <c r="D79" s="236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9"/>
        <v>7</v>
      </c>
      <c r="B80" s="384"/>
      <c r="C80" s="236"/>
      <c r="D80" s="236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9"/>
        <v>8</v>
      </c>
      <c r="B81" s="384"/>
      <c r="C81" s="236"/>
      <c r="D81" s="236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0" customHeight="1">
      <c r="A82" s="383">
        <f t="shared" si="19"/>
        <v>9</v>
      </c>
      <c r="B82" s="384"/>
      <c r="C82" s="236"/>
      <c r="D82" s="236"/>
      <c r="E82" s="35"/>
      <c r="F82" s="384"/>
      <c r="G82" s="384"/>
      <c r="H82" s="384"/>
      <c r="I82" s="384"/>
      <c r="J82" s="384"/>
      <c r="K82" s="399"/>
      <c r="L82" s="400"/>
      <c r="M82" s="400"/>
      <c r="N82" s="400"/>
      <c r="O82" s="400"/>
      <c r="P82" s="400"/>
      <c r="Q82" s="400"/>
      <c r="R82" s="400"/>
      <c r="S82" s="401"/>
      <c r="T82" s="402"/>
      <c r="U82" s="402"/>
      <c r="V82" s="402"/>
      <c r="W82" s="402"/>
      <c r="X82" s="403"/>
      <c r="Y82" s="403"/>
      <c r="Z82" s="403"/>
      <c r="AA82" s="403"/>
      <c r="AB82" s="403"/>
      <c r="AC82" s="403"/>
      <c r="AD82" s="404"/>
      <c r="AF82" s="53"/>
    </row>
    <row r="83" spans="1:32" ht="36" thickBot="1">
      <c r="A83" s="396" t="s">
        <v>359</v>
      </c>
      <c r="B83" s="396"/>
      <c r="C83" s="396"/>
      <c r="D83" s="396"/>
      <c r="E83" s="396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97" t="s">
        <v>113</v>
      </c>
      <c r="B84" s="398"/>
      <c r="C84" s="388" t="s">
        <v>52</v>
      </c>
      <c r="D84" s="388"/>
      <c r="E84" s="388" t="s">
        <v>53</v>
      </c>
      <c r="F84" s="388"/>
      <c r="G84" s="388"/>
      <c r="H84" s="388"/>
      <c r="I84" s="388"/>
      <c r="J84" s="388"/>
      <c r="K84" s="388" t="s">
        <v>54</v>
      </c>
      <c r="L84" s="388"/>
      <c r="M84" s="388"/>
      <c r="N84" s="388"/>
      <c r="O84" s="388"/>
      <c r="P84" s="388"/>
      <c r="Q84" s="388"/>
      <c r="R84" s="388"/>
      <c r="S84" s="388"/>
      <c r="T84" s="388" t="s">
        <v>55</v>
      </c>
      <c r="U84" s="388"/>
      <c r="V84" s="388" t="s">
        <v>56</v>
      </c>
      <c r="W84" s="388"/>
      <c r="X84" s="388"/>
      <c r="Y84" s="388" t="s">
        <v>51</v>
      </c>
      <c r="Z84" s="388"/>
      <c r="AA84" s="388"/>
      <c r="AB84" s="388"/>
      <c r="AC84" s="388"/>
      <c r="AD84" s="389"/>
      <c r="AF84" s="53"/>
    </row>
    <row r="85" spans="1:32" ht="30.75" customHeight="1">
      <c r="A85" s="390">
        <v>1</v>
      </c>
      <c r="B85" s="391"/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3"/>
      <c r="W85" s="393"/>
      <c r="X85" s="393"/>
      <c r="Y85" s="394"/>
      <c r="Z85" s="394"/>
      <c r="AA85" s="394"/>
      <c r="AB85" s="394"/>
      <c r="AC85" s="394"/>
      <c r="AD85" s="395"/>
      <c r="AF85" s="53"/>
    </row>
    <row r="86" spans="1:32" ht="30.75" customHeight="1">
      <c r="A86" s="383">
        <v>2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6"/>
      <c r="U86" s="386"/>
      <c r="V86" s="387"/>
      <c r="W86" s="387"/>
      <c r="X86" s="387"/>
      <c r="Y86" s="376"/>
      <c r="Z86" s="376"/>
      <c r="AA86" s="376"/>
      <c r="AB86" s="376"/>
      <c r="AC86" s="376"/>
      <c r="AD86" s="377"/>
      <c r="AF86" s="53"/>
    </row>
    <row r="87" spans="1:32" ht="30.75" customHeight="1" thickBot="1">
      <c r="A87" s="378">
        <v>3</v>
      </c>
      <c r="B87" s="379"/>
      <c r="C87" s="380"/>
      <c r="D87" s="380"/>
      <c r="E87" s="380"/>
      <c r="F87" s="380"/>
      <c r="G87" s="380"/>
      <c r="H87" s="380"/>
      <c r="I87" s="380"/>
      <c r="J87" s="380"/>
      <c r="K87" s="380"/>
      <c r="L87" s="380"/>
      <c r="M87" s="380"/>
      <c r="N87" s="380"/>
      <c r="O87" s="380"/>
      <c r="P87" s="380"/>
      <c r="Q87" s="380"/>
      <c r="R87" s="380"/>
      <c r="S87" s="380"/>
      <c r="T87" s="380"/>
      <c r="U87" s="380"/>
      <c r="V87" s="380"/>
      <c r="W87" s="380"/>
      <c r="X87" s="380"/>
      <c r="Y87" s="381"/>
      <c r="Z87" s="381"/>
      <c r="AA87" s="381"/>
      <c r="AB87" s="381"/>
      <c r="AC87" s="381"/>
      <c r="AD87" s="382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6578-130D-46D4-8172-663BA0A14C45}">
  <sheetPr>
    <pageSetUpPr fitToPage="1"/>
  </sheetPr>
  <dimension ref="A1:AF86"/>
  <sheetViews>
    <sheetView topLeftCell="A46" zoomScale="72" zoomScaleNormal="72" zoomScaleSheetLayoutView="70" workbookViewId="0">
      <selection activeCell="R67" sqref="R67:AA6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360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48" t="s">
        <v>17</v>
      </c>
      <c r="L5" s="248" t="s">
        <v>18</v>
      </c>
      <c r="M5" s="248" t="s">
        <v>19</v>
      </c>
      <c r="N5" s="24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0.23333333333333334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0.23333333333333334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123</v>
      </c>
      <c r="D8" s="55" t="s">
        <v>349</v>
      </c>
      <c r="E8" s="57" t="s">
        <v>350</v>
      </c>
      <c r="F8" s="33" t="s">
        <v>140</v>
      </c>
      <c r="G8" s="36" t="s">
        <v>240</v>
      </c>
      <c r="H8" s="38">
        <v>25</v>
      </c>
      <c r="I8" s="7">
        <v>3000</v>
      </c>
      <c r="J8" s="5">
        <v>793</v>
      </c>
      <c r="K8" s="15">
        <f>L8+2611</f>
        <v>3404</v>
      </c>
      <c r="L8" s="15">
        <v>793</v>
      </c>
      <c r="M8" s="16">
        <f t="shared" si="0"/>
        <v>793</v>
      </c>
      <c r="N8" s="16">
        <v>0</v>
      </c>
      <c r="O8" s="62">
        <f t="shared" si="1"/>
        <v>0</v>
      </c>
      <c r="P8" s="42">
        <f t="shared" si="2"/>
        <v>5</v>
      </c>
      <c r="Q8" s="43">
        <f t="shared" si="3"/>
        <v>19</v>
      </c>
      <c r="R8" s="7"/>
      <c r="S8" s="6"/>
      <c r="T8" s="17"/>
      <c r="U8" s="17"/>
      <c r="V8" s="18"/>
      <c r="W8" s="19">
        <v>19</v>
      </c>
      <c r="X8" s="17"/>
      <c r="Y8" s="20"/>
      <c r="Z8" s="20"/>
      <c r="AA8" s="21"/>
      <c r="AB8" s="8">
        <f t="shared" si="4"/>
        <v>1</v>
      </c>
      <c r="AC8" s="9">
        <f t="shared" si="5"/>
        <v>0.20833333333333334</v>
      </c>
      <c r="AD8" s="10">
        <f t="shared" si="6"/>
        <v>0.20833333333333334</v>
      </c>
      <c r="AE8" s="39">
        <f t="shared" si="7"/>
        <v>0.23333333333333334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114</v>
      </c>
      <c r="D9" s="55" t="s">
        <v>127</v>
      </c>
      <c r="E9" s="57" t="s">
        <v>273</v>
      </c>
      <c r="F9" s="33" t="s">
        <v>121</v>
      </c>
      <c r="G9" s="36">
        <v>1</v>
      </c>
      <c r="H9" s="38">
        <v>24</v>
      </c>
      <c r="I9" s="7">
        <v>4000</v>
      </c>
      <c r="J9" s="14">
        <v>4267</v>
      </c>
      <c r="K9" s="15">
        <f>L9+4267</f>
        <v>4267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0.23333333333333334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123</v>
      </c>
      <c r="D10" s="55" t="s">
        <v>119</v>
      </c>
      <c r="E10" s="57" t="s">
        <v>147</v>
      </c>
      <c r="F10" s="12" t="s">
        <v>121</v>
      </c>
      <c r="G10" s="12">
        <v>4</v>
      </c>
      <c r="H10" s="13">
        <v>25</v>
      </c>
      <c r="I10" s="7">
        <v>400000</v>
      </c>
      <c r="J10" s="14">
        <v>22984</v>
      </c>
      <c r="K10" s="15">
        <f>L10+23776+26072+26756+24764+18432+17192+18752+24536+24336+16996+23988+25708+23312+23400+25624</f>
        <v>366628</v>
      </c>
      <c r="L10" s="15">
        <f>3199*4+2547*4</f>
        <v>22984</v>
      </c>
      <c r="M10" s="16">
        <f t="shared" si="0"/>
        <v>22984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0.23333333333333334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114</v>
      </c>
      <c r="D11" s="55" t="s">
        <v>134</v>
      </c>
      <c r="E11" s="57" t="s">
        <v>355</v>
      </c>
      <c r="F11" s="12" t="s">
        <v>361</v>
      </c>
      <c r="G11" s="12">
        <v>1</v>
      </c>
      <c r="H11" s="13">
        <v>25</v>
      </c>
      <c r="I11" s="7">
        <v>2000</v>
      </c>
      <c r="J11" s="14">
        <v>1962</v>
      </c>
      <c r="K11" s="15">
        <f>L11</f>
        <v>1962</v>
      </c>
      <c r="L11" s="15">
        <f>1086+876</f>
        <v>1962</v>
      </c>
      <c r="M11" s="16">
        <f t="shared" si="0"/>
        <v>1962</v>
      </c>
      <c r="N11" s="16">
        <v>0</v>
      </c>
      <c r="O11" s="62">
        <f t="shared" si="1"/>
        <v>0</v>
      </c>
      <c r="P11" s="42">
        <f t="shared" si="2"/>
        <v>10</v>
      </c>
      <c r="Q11" s="43">
        <f t="shared" si="3"/>
        <v>14</v>
      </c>
      <c r="R11" s="7"/>
      <c r="S11" s="6">
        <v>14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0.41666666666666669</v>
      </c>
      <c r="AD11" s="10">
        <f t="shared" si="6"/>
        <v>0.41666666666666669</v>
      </c>
      <c r="AE11" s="39">
        <f t="shared" si="7"/>
        <v>0.23333333333333334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123</v>
      </c>
      <c r="D12" s="55" t="s">
        <v>292</v>
      </c>
      <c r="E12" s="57" t="s">
        <v>293</v>
      </c>
      <c r="F12" s="33" t="s">
        <v>116</v>
      </c>
      <c r="G12" s="36">
        <v>1</v>
      </c>
      <c r="H12" s="38">
        <v>24</v>
      </c>
      <c r="I12" s="7">
        <v>10000</v>
      </c>
      <c r="J12" s="14">
        <v>2837</v>
      </c>
      <c r="K12" s="15">
        <f>L12+1507+2959+3099+2837</f>
        <v>10402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0.23333333333333334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117</v>
      </c>
      <c r="E13" s="57" t="s">
        <v>312</v>
      </c>
      <c r="F13" s="33" t="s">
        <v>242</v>
      </c>
      <c r="G13" s="36">
        <v>1</v>
      </c>
      <c r="H13" s="38">
        <v>24</v>
      </c>
      <c r="I13" s="7">
        <v>6000</v>
      </c>
      <c r="J13" s="14">
        <v>4808</v>
      </c>
      <c r="K13" s="15">
        <f>L13+3091+4808</f>
        <v>7899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>
        <v>24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0.23333333333333334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114</v>
      </c>
      <c r="D14" s="55" t="s">
        <v>117</v>
      </c>
      <c r="E14" s="57" t="s">
        <v>284</v>
      </c>
      <c r="F14" s="33" t="s">
        <v>352</v>
      </c>
      <c r="G14" s="36">
        <v>1</v>
      </c>
      <c r="H14" s="38">
        <v>25</v>
      </c>
      <c r="I14" s="7">
        <v>500</v>
      </c>
      <c r="J14" s="5">
        <v>640</v>
      </c>
      <c r="K14" s="15">
        <f>L14</f>
        <v>640</v>
      </c>
      <c r="L14" s="15">
        <f>640</f>
        <v>640</v>
      </c>
      <c r="M14" s="16">
        <f t="shared" si="0"/>
        <v>640</v>
      </c>
      <c r="N14" s="16">
        <v>0</v>
      </c>
      <c r="O14" s="62">
        <f t="shared" si="1"/>
        <v>0</v>
      </c>
      <c r="P14" s="42">
        <f t="shared" si="2"/>
        <v>7</v>
      </c>
      <c r="Q14" s="43">
        <f t="shared" si="3"/>
        <v>17</v>
      </c>
      <c r="R14" s="7"/>
      <c r="S14" s="6"/>
      <c r="T14" s="17"/>
      <c r="U14" s="17"/>
      <c r="V14" s="18"/>
      <c r="W14" s="19">
        <v>17</v>
      </c>
      <c r="X14" s="17"/>
      <c r="Y14" s="20"/>
      <c r="Z14" s="20"/>
      <c r="AA14" s="21"/>
      <c r="AB14" s="8">
        <f t="shared" si="4"/>
        <v>1</v>
      </c>
      <c r="AC14" s="9">
        <f t="shared" si="5"/>
        <v>0.29166666666666669</v>
      </c>
      <c r="AD14" s="10">
        <f t="shared" si="6"/>
        <v>0.29166666666666669</v>
      </c>
      <c r="AE14" s="39">
        <f t="shared" si="7"/>
        <v>0.23333333333333334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123</v>
      </c>
      <c r="D15" s="55" t="s">
        <v>362</v>
      </c>
      <c r="E15" s="57" t="s">
        <v>334</v>
      </c>
      <c r="F15" s="12" t="s">
        <v>131</v>
      </c>
      <c r="G15" s="12">
        <v>1</v>
      </c>
      <c r="H15" s="13">
        <v>24</v>
      </c>
      <c r="I15" s="34">
        <v>12000</v>
      </c>
      <c r="J15" s="14">
        <v>3042</v>
      </c>
      <c r="K15" s="15">
        <f>L15</f>
        <v>3042</v>
      </c>
      <c r="L15" s="15">
        <f>3042</f>
        <v>3042</v>
      </c>
      <c r="M15" s="16">
        <f t="shared" si="0"/>
        <v>3042</v>
      </c>
      <c r="N15" s="16">
        <v>0</v>
      </c>
      <c r="O15" s="62">
        <f t="shared" si="1"/>
        <v>0</v>
      </c>
      <c r="P15" s="42">
        <f t="shared" si="2"/>
        <v>14</v>
      </c>
      <c r="Q15" s="43">
        <f t="shared" si="3"/>
        <v>10</v>
      </c>
      <c r="R15" s="7"/>
      <c r="S15" s="6">
        <v>10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0.58333333333333337</v>
      </c>
      <c r="AD15" s="10">
        <f t="shared" si="6"/>
        <v>0.58333333333333337</v>
      </c>
      <c r="AE15" s="39">
        <f t="shared" si="7"/>
        <v>0.23333333333333334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11" t="s">
        <v>123</v>
      </c>
      <c r="D16" s="55" t="s">
        <v>227</v>
      </c>
      <c r="E16" s="57" t="s">
        <v>141</v>
      </c>
      <c r="F16" s="12" t="s">
        <v>121</v>
      </c>
      <c r="G16" s="12">
        <v>1</v>
      </c>
      <c r="H16" s="13">
        <v>25</v>
      </c>
      <c r="I16" s="7">
        <v>60000</v>
      </c>
      <c r="J16" s="14">
        <v>5764</v>
      </c>
      <c r="K16" s="15">
        <f>L16</f>
        <v>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>
        <v>24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0.23333333333333334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123</v>
      </c>
      <c r="D17" s="55" t="s">
        <v>124</v>
      </c>
      <c r="E17" s="57" t="s">
        <v>148</v>
      </c>
      <c r="F17" s="12" t="s">
        <v>131</v>
      </c>
      <c r="G17" s="12">
        <v>4</v>
      </c>
      <c r="H17" s="13">
        <v>24</v>
      </c>
      <c r="I17" s="34">
        <v>400000</v>
      </c>
      <c r="J17" s="14">
        <v>23824</v>
      </c>
      <c r="K17" s="15">
        <f>L17+19964+21928+25296+24300+24768+24688+11104+18160+24312+25036+24132+25812+24196+24040+25580</f>
        <v>367140</v>
      </c>
      <c r="L17" s="15">
        <f>2728*4+3228*4</f>
        <v>23824</v>
      </c>
      <c r="M17" s="16">
        <f t="shared" si="0"/>
        <v>23824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0.23333333333333334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123</v>
      </c>
      <c r="D18" s="55" t="s">
        <v>117</v>
      </c>
      <c r="E18" s="57" t="s">
        <v>153</v>
      </c>
      <c r="F18" s="12" t="s">
        <v>129</v>
      </c>
      <c r="G18" s="36">
        <v>4</v>
      </c>
      <c r="H18" s="38">
        <v>24</v>
      </c>
      <c r="I18" s="7">
        <v>400000</v>
      </c>
      <c r="J18" s="5">
        <v>19704</v>
      </c>
      <c r="K18" s="15">
        <f>L18+12380+14384+22568+16460+13888+20848+20972+20888+19996+10224+14424+21632+20220+19704</f>
        <v>248588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>
        <v>24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>AC18*AB18*(1-O18)</f>
        <v>0</v>
      </c>
      <c r="AE18" s="39">
        <f t="shared" si="7"/>
        <v>0.23333333333333334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118</v>
      </c>
      <c r="D19" s="55" t="s">
        <v>119</v>
      </c>
      <c r="E19" s="57" t="s">
        <v>309</v>
      </c>
      <c r="F19" s="12" t="s">
        <v>310</v>
      </c>
      <c r="G19" s="36">
        <v>1</v>
      </c>
      <c r="H19" s="13">
        <v>24</v>
      </c>
      <c r="I19" s="7">
        <v>6000</v>
      </c>
      <c r="J19" s="14">
        <v>5637</v>
      </c>
      <c r="K19" s="15">
        <f>L19+2947+5418+4914+5367</f>
        <v>18646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0.23333333333333334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133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L20+39648+30712+45256+43600+10476</f>
        <v>169692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0.23333333333333334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1603500</v>
      </c>
      <c r="J21" s="22">
        <f t="shared" si="9"/>
        <v>106738</v>
      </c>
      <c r="K21" s="23">
        <f t="shared" si="9"/>
        <v>1202310</v>
      </c>
      <c r="L21" s="24">
        <f t="shared" si="9"/>
        <v>53245</v>
      </c>
      <c r="M21" s="23">
        <f t="shared" si="9"/>
        <v>53245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84</v>
      </c>
      <c r="Q21" s="46">
        <f t="shared" si="10"/>
        <v>276</v>
      </c>
      <c r="R21" s="26">
        <f t="shared" si="10"/>
        <v>24</v>
      </c>
      <c r="S21" s="27">
        <f t="shared" si="10"/>
        <v>96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156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</v>
      </c>
      <c r="AC21" s="4">
        <f>SUM(AC6:AC20)/15</f>
        <v>0.23333333333333334</v>
      </c>
      <c r="AD21" s="4">
        <f>SUM(AD6:AD20)/15</f>
        <v>0.23333333333333334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363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368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247" t="s">
        <v>46</v>
      </c>
      <c r="D50" s="247" t="s">
        <v>47</v>
      </c>
      <c r="E50" s="247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247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4" t="s">
        <v>114</v>
      </c>
      <c r="B51" s="435"/>
      <c r="C51" s="244" t="s">
        <v>144</v>
      </c>
      <c r="D51" s="244" t="s">
        <v>134</v>
      </c>
      <c r="E51" s="244" t="s">
        <v>355</v>
      </c>
      <c r="F51" s="445" t="s">
        <v>364</v>
      </c>
      <c r="G51" s="446"/>
      <c r="H51" s="446"/>
      <c r="I51" s="446"/>
      <c r="J51" s="446"/>
      <c r="K51" s="446"/>
      <c r="L51" s="446"/>
      <c r="M51" s="447"/>
      <c r="N51" s="243" t="s">
        <v>114</v>
      </c>
      <c r="O51" s="124" t="s">
        <v>144</v>
      </c>
      <c r="P51" s="443" t="s">
        <v>134</v>
      </c>
      <c r="Q51" s="444"/>
      <c r="R51" s="435" t="s">
        <v>355</v>
      </c>
      <c r="S51" s="435"/>
      <c r="T51" s="435"/>
      <c r="U51" s="435"/>
      <c r="V51" s="426" t="s">
        <v>207</v>
      </c>
      <c r="W51" s="426"/>
      <c r="X51" s="426"/>
      <c r="Y51" s="426"/>
      <c r="Z51" s="426"/>
      <c r="AA51" s="426"/>
      <c r="AB51" s="426"/>
      <c r="AC51" s="426"/>
      <c r="AD51" s="436"/>
    </row>
    <row r="52" spans="1:32" ht="27" customHeight="1">
      <c r="A52" s="434" t="s">
        <v>114</v>
      </c>
      <c r="B52" s="435"/>
      <c r="C52" s="244" t="s">
        <v>275</v>
      </c>
      <c r="D52" s="244" t="s">
        <v>117</v>
      </c>
      <c r="E52" s="244" t="s">
        <v>284</v>
      </c>
      <c r="F52" s="445" t="s">
        <v>171</v>
      </c>
      <c r="G52" s="446"/>
      <c r="H52" s="446"/>
      <c r="I52" s="446"/>
      <c r="J52" s="446"/>
      <c r="K52" s="446"/>
      <c r="L52" s="446"/>
      <c r="M52" s="447"/>
      <c r="N52" s="243" t="s">
        <v>123</v>
      </c>
      <c r="O52" s="124" t="s">
        <v>225</v>
      </c>
      <c r="P52" s="443" t="s">
        <v>117</v>
      </c>
      <c r="Q52" s="444"/>
      <c r="R52" s="435" t="s">
        <v>369</v>
      </c>
      <c r="S52" s="435"/>
      <c r="T52" s="435"/>
      <c r="U52" s="435"/>
      <c r="V52" s="426" t="s">
        <v>171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123</v>
      </c>
      <c r="B53" s="435"/>
      <c r="C53" s="244" t="s">
        <v>247</v>
      </c>
      <c r="D53" s="244" t="s">
        <v>227</v>
      </c>
      <c r="E53" s="244" t="s">
        <v>141</v>
      </c>
      <c r="F53" s="445" t="s">
        <v>365</v>
      </c>
      <c r="G53" s="446"/>
      <c r="H53" s="446"/>
      <c r="I53" s="446"/>
      <c r="J53" s="446"/>
      <c r="K53" s="446"/>
      <c r="L53" s="446"/>
      <c r="M53" s="447"/>
      <c r="N53" s="243" t="s">
        <v>123</v>
      </c>
      <c r="O53" s="124" t="s">
        <v>247</v>
      </c>
      <c r="P53" s="435" t="s">
        <v>227</v>
      </c>
      <c r="Q53" s="435"/>
      <c r="R53" s="435" t="s">
        <v>141</v>
      </c>
      <c r="S53" s="435"/>
      <c r="T53" s="435"/>
      <c r="U53" s="435"/>
      <c r="V53" s="426" t="s">
        <v>207</v>
      </c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 t="s">
        <v>123</v>
      </c>
      <c r="B54" s="435"/>
      <c r="C54" s="244" t="s">
        <v>166</v>
      </c>
      <c r="D54" s="244" t="s">
        <v>117</v>
      </c>
      <c r="E54" s="244" t="s">
        <v>366</v>
      </c>
      <c r="F54" s="445" t="s">
        <v>367</v>
      </c>
      <c r="G54" s="446"/>
      <c r="H54" s="446"/>
      <c r="I54" s="446"/>
      <c r="J54" s="446"/>
      <c r="K54" s="446"/>
      <c r="L54" s="446"/>
      <c r="M54" s="447"/>
      <c r="N54" s="243" t="s">
        <v>123</v>
      </c>
      <c r="O54" s="124" t="s">
        <v>166</v>
      </c>
      <c r="P54" s="443" t="s">
        <v>117</v>
      </c>
      <c r="Q54" s="444"/>
      <c r="R54" s="435" t="s">
        <v>153</v>
      </c>
      <c r="S54" s="435"/>
      <c r="T54" s="435"/>
      <c r="U54" s="435"/>
      <c r="V54" s="426" t="s">
        <v>207</v>
      </c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 t="s">
        <v>123</v>
      </c>
      <c r="B55" s="435"/>
      <c r="C55" s="244" t="s">
        <v>193</v>
      </c>
      <c r="D55" s="244" t="s">
        <v>362</v>
      </c>
      <c r="E55" s="244" t="s">
        <v>334</v>
      </c>
      <c r="F55" s="445" t="s">
        <v>370</v>
      </c>
      <c r="G55" s="446"/>
      <c r="H55" s="446"/>
      <c r="I55" s="446"/>
      <c r="J55" s="446"/>
      <c r="K55" s="446"/>
      <c r="L55" s="446"/>
      <c r="M55" s="447"/>
      <c r="N55" s="243"/>
      <c r="O55" s="124"/>
      <c r="P55" s="435"/>
      <c r="Q55" s="435"/>
      <c r="R55" s="435"/>
      <c r="S55" s="435"/>
      <c r="T55" s="435"/>
      <c r="U55" s="435"/>
      <c r="V55" s="426"/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244"/>
      <c r="D56" s="244"/>
      <c r="E56" s="244"/>
      <c r="F56" s="445"/>
      <c r="G56" s="446"/>
      <c r="H56" s="446"/>
      <c r="I56" s="446"/>
      <c r="J56" s="446"/>
      <c r="K56" s="446"/>
      <c r="L56" s="446"/>
      <c r="M56" s="447"/>
      <c r="N56" s="243"/>
      <c r="O56" s="124"/>
      <c r="P56" s="443"/>
      <c r="Q56" s="444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244"/>
      <c r="D57" s="244"/>
      <c r="E57" s="244"/>
      <c r="F57" s="445"/>
      <c r="G57" s="446"/>
      <c r="H57" s="446"/>
      <c r="I57" s="446"/>
      <c r="J57" s="446"/>
      <c r="K57" s="446"/>
      <c r="L57" s="446"/>
      <c r="M57" s="447"/>
      <c r="N57" s="243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244"/>
      <c r="D58" s="244"/>
      <c r="E58" s="244"/>
      <c r="F58" s="426"/>
      <c r="G58" s="426"/>
      <c r="H58" s="426"/>
      <c r="I58" s="426"/>
      <c r="J58" s="426"/>
      <c r="K58" s="426"/>
      <c r="L58" s="426"/>
      <c r="M58" s="436"/>
      <c r="N58" s="243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244"/>
      <c r="D59" s="244"/>
      <c r="E59" s="244"/>
      <c r="F59" s="445"/>
      <c r="G59" s="446"/>
      <c r="H59" s="446"/>
      <c r="I59" s="446"/>
      <c r="J59" s="446"/>
      <c r="K59" s="446"/>
      <c r="L59" s="446"/>
      <c r="M59" s="447"/>
      <c r="N59" s="243"/>
      <c r="O59" s="124"/>
      <c r="P59" s="435"/>
      <c r="Q59" s="435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  <c r="AF59" s="93">
        <f>8*3000</f>
        <v>24000</v>
      </c>
    </row>
    <row r="60" spans="1:32" ht="27" customHeight="1" thickBot="1">
      <c r="A60" s="437"/>
      <c r="B60" s="438"/>
      <c r="C60" s="246"/>
      <c r="D60" s="246"/>
      <c r="E60" s="246"/>
      <c r="F60" s="439"/>
      <c r="G60" s="439"/>
      <c r="H60" s="439"/>
      <c r="I60" s="439"/>
      <c r="J60" s="439"/>
      <c r="K60" s="439"/>
      <c r="L60" s="439"/>
      <c r="M60" s="440"/>
      <c r="N60" s="245"/>
      <c r="O60" s="120"/>
      <c r="P60" s="438"/>
      <c r="Q60" s="438"/>
      <c r="R60" s="438"/>
      <c r="S60" s="438"/>
      <c r="T60" s="438"/>
      <c r="U60" s="438"/>
      <c r="V60" s="441"/>
      <c r="W60" s="441"/>
      <c r="X60" s="441"/>
      <c r="Y60" s="441"/>
      <c r="Z60" s="441"/>
      <c r="AA60" s="441"/>
      <c r="AB60" s="441"/>
      <c r="AC60" s="441"/>
      <c r="AD60" s="442"/>
      <c r="AF60" s="93">
        <f>16*3000</f>
        <v>48000</v>
      </c>
    </row>
    <row r="61" spans="1:32" ht="27.75" thickBot="1">
      <c r="A61" s="432" t="s">
        <v>371</v>
      </c>
      <c r="B61" s="432"/>
      <c r="C61" s="432"/>
      <c r="D61" s="432"/>
      <c r="E61" s="43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3" t="s">
        <v>113</v>
      </c>
      <c r="B62" s="430"/>
      <c r="C62" s="242" t="s">
        <v>2</v>
      </c>
      <c r="D62" s="242" t="s">
        <v>37</v>
      </c>
      <c r="E62" s="242" t="s">
        <v>3</v>
      </c>
      <c r="F62" s="430" t="s">
        <v>110</v>
      </c>
      <c r="G62" s="430"/>
      <c r="H62" s="430"/>
      <c r="I62" s="430"/>
      <c r="J62" s="430"/>
      <c r="K62" s="430" t="s">
        <v>39</v>
      </c>
      <c r="L62" s="430"/>
      <c r="M62" s="242" t="s">
        <v>40</v>
      </c>
      <c r="N62" s="430" t="s">
        <v>41</v>
      </c>
      <c r="O62" s="430"/>
      <c r="P62" s="427" t="s">
        <v>42</v>
      </c>
      <c r="Q62" s="429"/>
      <c r="R62" s="427" t="s">
        <v>43</v>
      </c>
      <c r="S62" s="428"/>
      <c r="T62" s="428"/>
      <c r="U62" s="428"/>
      <c r="V62" s="428"/>
      <c r="W62" s="428"/>
      <c r="X62" s="428"/>
      <c r="Y62" s="428"/>
      <c r="Z62" s="428"/>
      <c r="AA62" s="429"/>
      <c r="AB62" s="430" t="s">
        <v>44</v>
      </c>
      <c r="AC62" s="430"/>
      <c r="AD62" s="431"/>
      <c r="AF62" s="93">
        <f>SUM(AF59:AF61)</f>
        <v>96000</v>
      </c>
    </row>
    <row r="63" spans="1:32" ht="25.5" customHeight="1">
      <c r="A63" s="422">
        <v>1</v>
      </c>
      <c r="B63" s="423"/>
      <c r="C63" s="123" t="s">
        <v>114</v>
      </c>
      <c r="D63" s="238"/>
      <c r="E63" s="241" t="s">
        <v>298</v>
      </c>
      <c r="F63" s="424" t="s">
        <v>372</v>
      </c>
      <c r="G63" s="416"/>
      <c r="H63" s="416"/>
      <c r="I63" s="416"/>
      <c r="J63" s="416"/>
      <c r="K63" s="416" t="s">
        <v>303</v>
      </c>
      <c r="L63" s="416"/>
      <c r="M63" s="54" t="s">
        <v>197</v>
      </c>
      <c r="N63" s="416">
        <v>8</v>
      </c>
      <c r="O63" s="416"/>
      <c r="P63" s="425"/>
      <c r="Q63" s="425"/>
      <c r="R63" s="426" t="s">
        <v>374</v>
      </c>
      <c r="S63" s="426"/>
      <c r="T63" s="426"/>
      <c r="U63" s="426"/>
      <c r="V63" s="426"/>
      <c r="W63" s="426"/>
      <c r="X63" s="426"/>
      <c r="Y63" s="426"/>
      <c r="Z63" s="426"/>
      <c r="AA63" s="426"/>
      <c r="AB63" s="416"/>
      <c r="AC63" s="416"/>
      <c r="AD63" s="417"/>
      <c r="AF63" s="53"/>
    </row>
    <row r="64" spans="1:32" ht="25.5" customHeight="1">
      <c r="A64" s="422">
        <v>2</v>
      </c>
      <c r="B64" s="423"/>
      <c r="C64" s="123" t="s">
        <v>114</v>
      </c>
      <c r="D64" s="238"/>
      <c r="E64" s="241" t="s">
        <v>305</v>
      </c>
      <c r="F64" s="424" t="s">
        <v>373</v>
      </c>
      <c r="G64" s="416"/>
      <c r="H64" s="416"/>
      <c r="I64" s="416"/>
      <c r="J64" s="416"/>
      <c r="K64" s="416" t="s">
        <v>303</v>
      </c>
      <c r="L64" s="416"/>
      <c r="M64" s="54" t="s">
        <v>197</v>
      </c>
      <c r="N64" s="416">
        <v>8</v>
      </c>
      <c r="O64" s="416"/>
      <c r="P64" s="425">
        <v>50</v>
      </c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3</v>
      </c>
      <c r="B65" s="423"/>
      <c r="C65" s="123"/>
      <c r="D65" s="238"/>
      <c r="E65" s="241"/>
      <c r="F65" s="424"/>
      <c r="G65" s="416"/>
      <c r="H65" s="416"/>
      <c r="I65" s="416"/>
      <c r="J65" s="416"/>
      <c r="K65" s="416"/>
      <c r="L65" s="416"/>
      <c r="M65" s="54"/>
      <c r="N65" s="416"/>
      <c r="O65" s="416"/>
      <c r="P65" s="425"/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4</v>
      </c>
      <c r="B66" s="423"/>
      <c r="C66" s="123"/>
      <c r="D66" s="238"/>
      <c r="E66" s="241"/>
      <c r="F66" s="424"/>
      <c r="G66" s="416"/>
      <c r="H66" s="416"/>
      <c r="I66" s="416"/>
      <c r="J66" s="416"/>
      <c r="K66" s="416"/>
      <c r="L66" s="416"/>
      <c r="M66" s="54"/>
      <c r="N66" s="416"/>
      <c r="O66" s="416"/>
      <c r="P66" s="425"/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5</v>
      </c>
      <c r="B67" s="423"/>
      <c r="C67" s="123"/>
      <c r="D67" s="238"/>
      <c r="E67" s="241"/>
      <c r="F67" s="424"/>
      <c r="G67" s="416"/>
      <c r="H67" s="416"/>
      <c r="I67" s="416"/>
      <c r="J67" s="416"/>
      <c r="K67" s="416"/>
      <c r="L67" s="416"/>
      <c r="M67" s="54"/>
      <c r="N67" s="416"/>
      <c r="O67" s="416"/>
      <c r="P67" s="425"/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6</v>
      </c>
      <c r="B68" s="423"/>
      <c r="C68" s="123"/>
      <c r="D68" s="238"/>
      <c r="E68" s="241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7</v>
      </c>
      <c r="B69" s="423"/>
      <c r="C69" s="123"/>
      <c r="D69" s="238"/>
      <c r="E69" s="241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8</v>
      </c>
      <c r="B70" s="423"/>
      <c r="C70" s="123"/>
      <c r="D70" s="238"/>
      <c r="E70" s="241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6.25" customHeight="1" thickBot="1">
      <c r="A71" s="396" t="s">
        <v>375</v>
      </c>
      <c r="B71" s="396"/>
      <c r="C71" s="396"/>
      <c r="D71" s="396"/>
      <c r="E71" s="396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7" t="s">
        <v>113</v>
      </c>
      <c r="B72" s="398"/>
      <c r="C72" s="240" t="s">
        <v>2</v>
      </c>
      <c r="D72" s="240" t="s">
        <v>37</v>
      </c>
      <c r="E72" s="240" t="s">
        <v>3</v>
      </c>
      <c r="F72" s="398" t="s">
        <v>38</v>
      </c>
      <c r="G72" s="398"/>
      <c r="H72" s="398"/>
      <c r="I72" s="398"/>
      <c r="J72" s="398"/>
      <c r="K72" s="418" t="s">
        <v>58</v>
      </c>
      <c r="L72" s="419"/>
      <c r="M72" s="419"/>
      <c r="N72" s="419"/>
      <c r="O72" s="419"/>
      <c r="P72" s="419"/>
      <c r="Q72" s="419"/>
      <c r="R72" s="419"/>
      <c r="S72" s="420"/>
      <c r="T72" s="398" t="s">
        <v>49</v>
      </c>
      <c r="U72" s="398"/>
      <c r="V72" s="418" t="s">
        <v>50</v>
      </c>
      <c r="W72" s="420"/>
      <c r="X72" s="419" t="s">
        <v>51</v>
      </c>
      <c r="Y72" s="419"/>
      <c r="Z72" s="419"/>
      <c r="AA72" s="419"/>
      <c r="AB72" s="419"/>
      <c r="AC72" s="419"/>
      <c r="AD72" s="421"/>
      <c r="AF72" s="53"/>
    </row>
    <row r="73" spans="1:32" ht="33.75" customHeight="1">
      <c r="A73" s="390">
        <v>1</v>
      </c>
      <c r="B73" s="391"/>
      <c r="C73" s="239" t="s">
        <v>114</v>
      </c>
      <c r="D73" s="239"/>
      <c r="E73" s="71" t="s">
        <v>127</v>
      </c>
      <c r="F73" s="405" t="s">
        <v>126</v>
      </c>
      <c r="G73" s="406"/>
      <c r="H73" s="406"/>
      <c r="I73" s="406"/>
      <c r="J73" s="407"/>
      <c r="K73" s="408" t="s">
        <v>128</v>
      </c>
      <c r="L73" s="409"/>
      <c r="M73" s="409"/>
      <c r="N73" s="409"/>
      <c r="O73" s="409"/>
      <c r="P73" s="409"/>
      <c r="Q73" s="409"/>
      <c r="R73" s="409"/>
      <c r="S73" s="410"/>
      <c r="T73" s="411">
        <v>43384</v>
      </c>
      <c r="U73" s="412"/>
      <c r="V73" s="413"/>
      <c r="W73" s="413"/>
      <c r="X73" s="414"/>
      <c r="Y73" s="414"/>
      <c r="Z73" s="414"/>
      <c r="AA73" s="414"/>
      <c r="AB73" s="414"/>
      <c r="AC73" s="414"/>
      <c r="AD73" s="415"/>
      <c r="AF73" s="53"/>
    </row>
    <row r="74" spans="1:32" ht="30" customHeight="1">
      <c r="A74" s="383">
        <f>A73+1</f>
        <v>2</v>
      </c>
      <c r="B74" s="384"/>
      <c r="C74" s="238"/>
      <c r="D74" s="238"/>
      <c r="E74" s="35"/>
      <c r="F74" s="384"/>
      <c r="G74" s="384"/>
      <c r="H74" s="384"/>
      <c r="I74" s="384"/>
      <c r="J74" s="384"/>
      <c r="K74" s="399"/>
      <c r="L74" s="400"/>
      <c r="M74" s="400"/>
      <c r="N74" s="400"/>
      <c r="O74" s="400"/>
      <c r="P74" s="400"/>
      <c r="Q74" s="400"/>
      <c r="R74" s="400"/>
      <c r="S74" s="401"/>
      <c r="T74" s="402"/>
      <c r="U74" s="402"/>
      <c r="V74" s="402"/>
      <c r="W74" s="402"/>
      <c r="X74" s="403"/>
      <c r="Y74" s="403"/>
      <c r="Z74" s="403"/>
      <c r="AA74" s="403"/>
      <c r="AB74" s="403"/>
      <c r="AC74" s="403"/>
      <c r="AD74" s="404"/>
      <c r="AF74" s="53"/>
    </row>
    <row r="75" spans="1:32" ht="30" customHeight="1">
      <c r="A75" s="383">
        <f t="shared" ref="A75:A81" si="11">A74+1</f>
        <v>3</v>
      </c>
      <c r="B75" s="384"/>
      <c r="C75" s="238"/>
      <c r="D75" s="238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si="11"/>
        <v>4</v>
      </c>
      <c r="B76" s="384"/>
      <c r="C76" s="238"/>
      <c r="D76" s="238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1"/>
        <v>5</v>
      </c>
      <c r="B77" s="384"/>
      <c r="C77" s="238"/>
      <c r="D77" s="238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1"/>
        <v>6</v>
      </c>
      <c r="B78" s="384"/>
      <c r="C78" s="238"/>
      <c r="D78" s="238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1"/>
        <v>7</v>
      </c>
      <c r="B79" s="384"/>
      <c r="C79" s="238"/>
      <c r="D79" s="238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1"/>
        <v>8</v>
      </c>
      <c r="B80" s="384"/>
      <c r="C80" s="238"/>
      <c r="D80" s="238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1"/>
        <v>9</v>
      </c>
      <c r="B81" s="384"/>
      <c r="C81" s="238"/>
      <c r="D81" s="238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6" thickBot="1">
      <c r="A82" s="396" t="s">
        <v>376</v>
      </c>
      <c r="B82" s="396"/>
      <c r="C82" s="396"/>
      <c r="D82" s="396"/>
      <c r="E82" s="396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7" t="s">
        <v>113</v>
      </c>
      <c r="B83" s="398"/>
      <c r="C83" s="388" t="s">
        <v>52</v>
      </c>
      <c r="D83" s="388"/>
      <c r="E83" s="388" t="s">
        <v>53</v>
      </c>
      <c r="F83" s="388"/>
      <c r="G83" s="388"/>
      <c r="H83" s="388"/>
      <c r="I83" s="388"/>
      <c r="J83" s="388"/>
      <c r="K83" s="388" t="s">
        <v>54</v>
      </c>
      <c r="L83" s="388"/>
      <c r="M83" s="388"/>
      <c r="N83" s="388"/>
      <c r="O83" s="388"/>
      <c r="P83" s="388"/>
      <c r="Q83" s="388"/>
      <c r="R83" s="388"/>
      <c r="S83" s="388"/>
      <c r="T83" s="388" t="s">
        <v>55</v>
      </c>
      <c r="U83" s="388"/>
      <c r="V83" s="388" t="s">
        <v>56</v>
      </c>
      <c r="W83" s="388"/>
      <c r="X83" s="388"/>
      <c r="Y83" s="388" t="s">
        <v>51</v>
      </c>
      <c r="Z83" s="388"/>
      <c r="AA83" s="388"/>
      <c r="AB83" s="388"/>
      <c r="AC83" s="388"/>
      <c r="AD83" s="389"/>
      <c r="AF83" s="53"/>
    </row>
    <row r="84" spans="1:32" ht="30.75" customHeight="1">
      <c r="A84" s="390">
        <v>1</v>
      </c>
      <c r="B84" s="391"/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3"/>
      <c r="W84" s="393"/>
      <c r="X84" s="393"/>
      <c r="Y84" s="394"/>
      <c r="Z84" s="394"/>
      <c r="AA84" s="394"/>
      <c r="AB84" s="394"/>
      <c r="AC84" s="394"/>
      <c r="AD84" s="395"/>
      <c r="AF84" s="53"/>
    </row>
    <row r="85" spans="1:32" ht="30.75" customHeight="1">
      <c r="A85" s="383">
        <v>2</v>
      </c>
      <c r="B85" s="384"/>
      <c r="C85" s="385"/>
      <c r="D85" s="385"/>
      <c r="E85" s="385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6"/>
      <c r="U85" s="386"/>
      <c r="V85" s="387"/>
      <c r="W85" s="387"/>
      <c r="X85" s="387"/>
      <c r="Y85" s="376"/>
      <c r="Z85" s="376"/>
      <c r="AA85" s="376"/>
      <c r="AB85" s="376"/>
      <c r="AC85" s="376"/>
      <c r="AD85" s="377"/>
      <c r="AF85" s="53"/>
    </row>
    <row r="86" spans="1:32" ht="30.75" customHeight="1" thickBot="1">
      <c r="A86" s="378">
        <v>3</v>
      </c>
      <c r="B86" s="379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  <c r="X86" s="380"/>
      <c r="Y86" s="381"/>
      <c r="Z86" s="381"/>
      <c r="AA86" s="381"/>
      <c r="AB86" s="381"/>
      <c r="AC86" s="381"/>
      <c r="AD86" s="382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E87F-F14C-4F8B-BC4F-A3C006026976}">
  <sheetPr>
    <pageSetUpPr fitToPage="1"/>
  </sheetPr>
  <dimension ref="A1:AF86"/>
  <sheetViews>
    <sheetView zoomScale="72" zoomScaleNormal="72" zoomScaleSheetLayoutView="70" workbookViewId="0">
      <selection activeCell="F56" sqref="F56:M5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377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54" t="s">
        <v>17</v>
      </c>
      <c r="L5" s="254" t="s">
        <v>18</v>
      </c>
      <c r="M5" s="254" t="s">
        <v>19</v>
      </c>
      <c r="N5" s="25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0.36388888888888893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0.36388888888888893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123</v>
      </c>
      <c r="D8" s="55" t="s">
        <v>349</v>
      </c>
      <c r="E8" s="57" t="s">
        <v>350</v>
      </c>
      <c r="F8" s="33" t="s">
        <v>140</v>
      </c>
      <c r="G8" s="36" t="s">
        <v>240</v>
      </c>
      <c r="H8" s="38">
        <v>25</v>
      </c>
      <c r="I8" s="7">
        <v>3000</v>
      </c>
      <c r="J8" s="5">
        <v>793</v>
      </c>
      <c r="K8" s="15">
        <f>L8+2611+793</f>
        <v>3404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19</v>
      </c>
      <c r="R8" s="7"/>
      <c r="S8" s="6"/>
      <c r="T8" s="17"/>
      <c r="U8" s="17"/>
      <c r="V8" s="18"/>
      <c r="W8" s="19">
        <v>19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0.36388888888888893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114</v>
      </c>
      <c r="D9" s="55" t="s">
        <v>127</v>
      </c>
      <c r="E9" s="57" t="s">
        <v>273</v>
      </c>
      <c r="F9" s="33" t="s">
        <v>121</v>
      </c>
      <c r="G9" s="36">
        <v>1</v>
      </c>
      <c r="H9" s="38">
        <v>24</v>
      </c>
      <c r="I9" s="7">
        <v>4000</v>
      </c>
      <c r="J9" s="14">
        <v>4267</v>
      </c>
      <c r="K9" s="15">
        <f>L9+4267</f>
        <v>4267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0.36388888888888893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123</v>
      </c>
      <c r="D10" s="55" t="s">
        <v>119</v>
      </c>
      <c r="E10" s="57" t="s">
        <v>147</v>
      </c>
      <c r="F10" s="12" t="s">
        <v>121</v>
      </c>
      <c r="G10" s="12">
        <v>4</v>
      </c>
      <c r="H10" s="13">
        <v>25</v>
      </c>
      <c r="I10" s="7">
        <v>400000</v>
      </c>
      <c r="J10" s="14">
        <v>10488</v>
      </c>
      <c r="K10" s="15">
        <f>L10+23776+26072+26756+24764+18432+17192+18752+24536+24336+16996+23988+25708+23312+23400+25624+22984</f>
        <v>377116</v>
      </c>
      <c r="L10" s="15">
        <f>2622*4</f>
        <v>10488</v>
      </c>
      <c r="M10" s="16">
        <f t="shared" si="0"/>
        <v>10488</v>
      </c>
      <c r="N10" s="16">
        <v>0</v>
      </c>
      <c r="O10" s="62">
        <f t="shared" si="1"/>
        <v>0</v>
      </c>
      <c r="P10" s="42">
        <f t="shared" si="2"/>
        <v>14</v>
      </c>
      <c r="Q10" s="43">
        <f t="shared" si="3"/>
        <v>10</v>
      </c>
      <c r="R10" s="7"/>
      <c r="S10" s="6">
        <v>10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0.58333333333333337</v>
      </c>
      <c r="AD10" s="10">
        <f t="shared" si="6"/>
        <v>0.58333333333333337</v>
      </c>
      <c r="AE10" s="39">
        <f t="shared" si="7"/>
        <v>0.36388888888888893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114</v>
      </c>
      <c r="D11" s="55" t="s">
        <v>134</v>
      </c>
      <c r="E11" s="57" t="s">
        <v>355</v>
      </c>
      <c r="F11" s="12" t="s">
        <v>361</v>
      </c>
      <c r="G11" s="12">
        <v>1</v>
      </c>
      <c r="H11" s="13">
        <v>25</v>
      </c>
      <c r="I11" s="7">
        <v>2000</v>
      </c>
      <c r="J11" s="14">
        <v>3055</v>
      </c>
      <c r="K11" s="15">
        <f>L11+1962</f>
        <v>5017</v>
      </c>
      <c r="L11" s="15">
        <f>2413+642</f>
        <v>3055</v>
      </c>
      <c r="M11" s="16">
        <f t="shared" si="0"/>
        <v>3055</v>
      </c>
      <c r="N11" s="16">
        <v>0</v>
      </c>
      <c r="O11" s="62">
        <f t="shared" si="1"/>
        <v>0</v>
      </c>
      <c r="P11" s="42">
        <f t="shared" si="2"/>
        <v>15</v>
      </c>
      <c r="Q11" s="43">
        <f t="shared" si="3"/>
        <v>9</v>
      </c>
      <c r="R11" s="7"/>
      <c r="S11" s="6">
        <v>9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0.625</v>
      </c>
      <c r="AD11" s="10">
        <f t="shared" si="6"/>
        <v>0.625</v>
      </c>
      <c r="AE11" s="39">
        <f t="shared" si="7"/>
        <v>0.36388888888888893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123</v>
      </c>
      <c r="D12" s="55" t="s">
        <v>292</v>
      </c>
      <c r="E12" s="57" t="s">
        <v>293</v>
      </c>
      <c r="F12" s="33" t="s">
        <v>116</v>
      </c>
      <c r="G12" s="36">
        <v>1</v>
      </c>
      <c r="H12" s="38">
        <v>24</v>
      </c>
      <c r="I12" s="7">
        <v>10000</v>
      </c>
      <c r="J12" s="14">
        <v>2837</v>
      </c>
      <c r="K12" s="15">
        <f>L12+1507+2959+3099+2837</f>
        <v>10402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0.36388888888888893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123</v>
      </c>
      <c r="D13" s="55" t="s">
        <v>117</v>
      </c>
      <c r="E13" s="57" t="s">
        <v>369</v>
      </c>
      <c r="F13" s="33" t="s">
        <v>140</v>
      </c>
      <c r="G13" s="36">
        <v>1</v>
      </c>
      <c r="H13" s="38">
        <v>24</v>
      </c>
      <c r="I13" s="7">
        <v>2000</v>
      </c>
      <c r="J13" s="14">
        <v>2086</v>
      </c>
      <c r="K13" s="15">
        <f>L13</f>
        <v>2086</v>
      </c>
      <c r="L13" s="15">
        <f>641+1445</f>
        <v>2086</v>
      </c>
      <c r="M13" s="16">
        <f t="shared" si="0"/>
        <v>2086</v>
      </c>
      <c r="N13" s="16">
        <v>0</v>
      </c>
      <c r="O13" s="62">
        <f t="shared" si="1"/>
        <v>0</v>
      </c>
      <c r="P13" s="42">
        <f t="shared" si="2"/>
        <v>20</v>
      </c>
      <c r="Q13" s="43">
        <f t="shared" si="3"/>
        <v>4</v>
      </c>
      <c r="R13" s="7"/>
      <c r="S13" s="6"/>
      <c r="T13" s="17"/>
      <c r="U13" s="17"/>
      <c r="V13" s="18"/>
      <c r="W13" s="19">
        <v>4</v>
      </c>
      <c r="X13" s="17"/>
      <c r="Y13" s="20"/>
      <c r="Z13" s="20"/>
      <c r="AA13" s="21"/>
      <c r="AB13" s="8">
        <f t="shared" si="4"/>
        <v>1</v>
      </c>
      <c r="AC13" s="9">
        <f t="shared" si="5"/>
        <v>0.83333333333333337</v>
      </c>
      <c r="AD13" s="10">
        <f t="shared" si="6"/>
        <v>0.83333333333333337</v>
      </c>
      <c r="AE13" s="39">
        <f t="shared" si="7"/>
        <v>0.36388888888888893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114</v>
      </c>
      <c r="D14" s="55" t="s">
        <v>117</v>
      </c>
      <c r="E14" s="57" t="s">
        <v>284</v>
      </c>
      <c r="F14" s="33" t="s">
        <v>352</v>
      </c>
      <c r="G14" s="36">
        <v>1</v>
      </c>
      <c r="H14" s="38">
        <v>25</v>
      </c>
      <c r="I14" s="7">
        <v>500</v>
      </c>
      <c r="J14" s="5">
        <v>640</v>
      </c>
      <c r="K14" s="15">
        <f>L14+640</f>
        <v>640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0.36388888888888893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123</v>
      </c>
      <c r="D15" s="55" t="s">
        <v>362</v>
      </c>
      <c r="E15" s="57" t="s">
        <v>334</v>
      </c>
      <c r="F15" s="12" t="s">
        <v>131</v>
      </c>
      <c r="G15" s="12">
        <v>1</v>
      </c>
      <c r="H15" s="13">
        <v>24</v>
      </c>
      <c r="I15" s="34">
        <v>12000</v>
      </c>
      <c r="J15" s="14">
        <v>7558</v>
      </c>
      <c r="K15" s="15">
        <f>L15+3042</f>
        <v>10600</v>
      </c>
      <c r="L15" s="15">
        <f>3517+4041</f>
        <v>7558</v>
      </c>
      <c r="M15" s="16">
        <f t="shared" si="0"/>
        <v>7558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1</v>
      </c>
      <c r="AD15" s="10">
        <f t="shared" si="6"/>
        <v>1</v>
      </c>
      <c r="AE15" s="39">
        <f t="shared" si="7"/>
        <v>0.36388888888888893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11" t="s">
        <v>123</v>
      </c>
      <c r="D16" s="55" t="s">
        <v>227</v>
      </c>
      <c r="E16" s="57" t="s">
        <v>141</v>
      </c>
      <c r="F16" s="12" t="s">
        <v>121</v>
      </c>
      <c r="G16" s="12">
        <v>2</v>
      </c>
      <c r="H16" s="13">
        <v>25</v>
      </c>
      <c r="I16" s="7">
        <v>65000</v>
      </c>
      <c r="J16" s="14">
        <v>9052</v>
      </c>
      <c r="K16" s="15">
        <f>L16</f>
        <v>9052</v>
      </c>
      <c r="L16" s="15">
        <f>489*2+4037*2</f>
        <v>9052</v>
      </c>
      <c r="M16" s="16">
        <f t="shared" si="0"/>
        <v>9052</v>
      </c>
      <c r="N16" s="16">
        <v>0</v>
      </c>
      <c r="O16" s="62">
        <f t="shared" si="1"/>
        <v>0</v>
      </c>
      <c r="P16" s="42">
        <f t="shared" si="2"/>
        <v>21</v>
      </c>
      <c r="Q16" s="43">
        <f t="shared" si="3"/>
        <v>3</v>
      </c>
      <c r="R16" s="7"/>
      <c r="S16" s="6">
        <v>3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0.875</v>
      </c>
      <c r="AD16" s="10">
        <f t="shared" si="6"/>
        <v>0.875</v>
      </c>
      <c r="AE16" s="39">
        <f t="shared" si="7"/>
        <v>0.36388888888888893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123</v>
      </c>
      <c r="D17" s="55" t="s">
        <v>124</v>
      </c>
      <c r="E17" s="57" t="s">
        <v>148</v>
      </c>
      <c r="F17" s="12" t="s">
        <v>131</v>
      </c>
      <c r="G17" s="12">
        <v>4</v>
      </c>
      <c r="H17" s="13">
        <v>24</v>
      </c>
      <c r="I17" s="34">
        <v>400000</v>
      </c>
      <c r="J17" s="14">
        <v>24452</v>
      </c>
      <c r="K17" s="15">
        <f>L17+19964+21928+25296+24300+24768+24688+11104+18160+24312+25036+24132+25812+24196+24040+25580+23824</f>
        <v>391592</v>
      </c>
      <c r="L17" s="15">
        <f>3363*4+2750*4</f>
        <v>24452</v>
      </c>
      <c r="M17" s="16">
        <f t="shared" si="0"/>
        <v>24452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0.36388888888888893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123</v>
      </c>
      <c r="D18" s="55" t="s">
        <v>117</v>
      </c>
      <c r="E18" s="57" t="s">
        <v>153</v>
      </c>
      <c r="F18" s="12" t="s">
        <v>129</v>
      </c>
      <c r="G18" s="36">
        <v>4</v>
      </c>
      <c r="H18" s="38">
        <v>24</v>
      </c>
      <c r="I18" s="7">
        <v>400000</v>
      </c>
      <c r="J18" s="5">
        <v>9284</v>
      </c>
      <c r="K18" s="15">
        <f>L18+12380+14384+22568+16460+13888+20848+20972+20888+19996+10224+14424+21632+20220+19704</f>
        <v>257872</v>
      </c>
      <c r="L18" s="15">
        <f>2321*4</f>
        <v>9284</v>
      </c>
      <c r="M18" s="16">
        <f t="shared" si="0"/>
        <v>9284</v>
      </c>
      <c r="N18" s="16">
        <v>0</v>
      </c>
      <c r="O18" s="62">
        <f t="shared" si="1"/>
        <v>0</v>
      </c>
      <c r="P18" s="42">
        <f t="shared" si="2"/>
        <v>13</v>
      </c>
      <c r="Q18" s="43">
        <f t="shared" si="3"/>
        <v>11</v>
      </c>
      <c r="R18" s="7"/>
      <c r="S18" s="6">
        <v>11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0.54166666666666663</v>
      </c>
      <c r="AD18" s="10">
        <f>AC18*AB18*(1-O18)</f>
        <v>0.54166666666666663</v>
      </c>
      <c r="AE18" s="39">
        <f t="shared" si="7"/>
        <v>0.36388888888888893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118</v>
      </c>
      <c r="D19" s="55" t="s">
        <v>119</v>
      </c>
      <c r="E19" s="57" t="s">
        <v>309</v>
      </c>
      <c r="F19" s="12" t="s">
        <v>310</v>
      </c>
      <c r="G19" s="36">
        <v>1</v>
      </c>
      <c r="H19" s="13">
        <v>24</v>
      </c>
      <c r="I19" s="7">
        <v>6000</v>
      </c>
      <c r="J19" s="14">
        <v>5637</v>
      </c>
      <c r="K19" s="15">
        <f>L19+2947+5418+4914+5367</f>
        <v>18646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0.36388888888888893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133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L20+39648+30712+45256+43600+10476</f>
        <v>169692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0.36388888888888893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1604500</v>
      </c>
      <c r="J21" s="22">
        <f t="shared" si="9"/>
        <v>90625</v>
      </c>
      <c r="K21" s="23">
        <f t="shared" si="9"/>
        <v>1260386</v>
      </c>
      <c r="L21" s="24">
        <f t="shared" si="9"/>
        <v>65975</v>
      </c>
      <c r="M21" s="23">
        <f t="shared" si="9"/>
        <v>65975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131</v>
      </c>
      <c r="Q21" s="46">
        <f t="shared" si="10"/>
        <v>224</v>
      </c>
      <c r="R21" s="26">
        <f t="shared" si="10"/>
        <v>24</v>
      </c>
      <c r="S21" s="27">
        <f t="shared" si="10"/>
        <v>33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167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0.46666666666666667</v>
      </c>
      <c r="AC21" s="4">
        <f>SUM(AC6:AC20)/15</f>
        <v>0.36388888888888893</v>
      </c>
      <c r="AD21" s="4">
        <f>SUM(AD6:AD20)/15</f>
        <v>0.36388888888888893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378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381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255" t="s">
        <v>46</v>
      </c>
      <c r="D50" s="255" t="s">
        <v>47</v>
      </c>
      <c r="E50" s="255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255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4" t="s">
        <v>114</v>
      </c>
      <c r="B51" s="435"/>
      <c r="C51" s="257" t="s">
        <v>144</v>
      </c>
      <c r="D51" s="257" t="s">
        <v>134</v>
      </c>
      <c r="E51" s="257" t="s">
        <v>355</v>
      </c>
      <c r="F51" s="445" t="s">
        <v>379</v>
      </c>
      <c r="G51" s="446"/>
      <c r="H51" s="446"/>
      <c r="I51" s="446"/>
      <c r="J51" s="446"/>
      <c r="K51" s="446"/>
      <c r="L51" s="446"/>
      <c r="M51" s="447"/>
      <c r="N51" s="256"/>
      <c r="O51" s="124"/>
      <c r="P51" s="443"/>
      <c r="Q51" s="444"/>
      <c r="R51" s="435"/>
      <c r="S51" s="435"/>
      <c r="T51" s="435"/>
      <c r="U51" s="435"/>
      <c r="V51" s="426"/>
      <c r="W51" s="426"/>
      <c r="X51" s="426"/>
      <c r="Y51" s="426"/>
      <c r="Z51" s="426"/>
      <c r="AA51" s="426"/>
      <c r="AB51" s="426"/>
      <c r="AC51" s="426"/>
      <c r="AD51" s="436"/>
    </row>
    <row r="52" spans="1:32" ht="27" customHeight="1">
      <c r="A52" s="434" t="s">
        <v>123</v>
      </c>
      <c r="B52" s="435"/>
      <c r="C52" s="257" t="s">
        <v>247</v>
      </c>
      <c r="D52" s="257" t="s">
        <v>227</v>
      </c>
      <c r="E52" s="257" t="s">
        <v>141</v>
      </c>
      <c r="F52" s="445" t="s">
        <v>207</v>
      </c>
      <c r="G52" s="446"/>
      <c r="H52" s="446"/>
      <c r="I52" s="446"/>
      <c r="J52" s="446"/>
      <c r="K52" s="446"/>
      <c r="L52" s="446"/>
      <c r="M52" s="447"/>
      <c r="N52" s="256"/>
      <c r="O52" s="124"/>
      <c r="P52" s="443"/>
      <c r="Q52" s="444"/>
      <c r="R52" s="435"/>
      <c r="S52" s="435"/>
      <c r="T52" s="435"/>
      <c r="U52" s="435"/>
      <c r="V52" s="426"/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123</v>
      </c>
      <c r="B53" s="435"/>
      <c r="C53" s="257" t="s">
        <v>166</v>
      </c>
      <c r="D53" s="257" t="s">
        <v>117</v>
      </c>
      <c r="E53" s="257" t="s">
        <v>366</v>
      </c>
      <c r="F53" s="445" t="s">
        <v>380</v>
      </c>
      <c r="G53" s="446"/>
      <c r="H53" s="446"/>
      <c r="I53" s="446"/>
      <c r="J53" s="446"/>
      <c r="K53" s="446"/>
      <c r="L53" s="446"/>
      <c r="M53" s="447"/>
      <c r="N53" s="256"/>
      <c r="O53" s="124"/>
      <c r="P53" s="435"/>
      <c r="Q53" s="435"/>
      <c r="R53" s="435"/>
      <c r="S53" s="435"/>
      <c r="T53" s="435"/>
      <c r="U53" s="435"/>
      <c r="V53" s="426"/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 t="s">
        <v>123</v>
      </c>
      <c r="B54" s="435"/>
      <c r="C54" s="257" t="s">
        <v>225</v>
      </c>
      <c r="D54" s="257" t="s">
        <v>117</v>
      </c>
      <c r="E54" s="257" t="s">
        <v>369</v>
      </c>
      <c r="F54" s="445" t="s">
        <v>171</v>
      </c>
      <c r="G54" s="446"/>
      <c r="H54" s="446"/>
      <c r="I54" s="446"/>
      <c r="J54" s="446"/>
      <c r="K54" s="446"/>
      <c r="L54" s="446"/>
      <c r="M54" s="447"/>
      <c r="N54" s="256"/>
      <c r="O54" s="124"/>
      <c r="P54" s="443"/>
      <c r="Q54" s="444"/>
      <c r="R54" s="435"/>
      <c r="S54" s="435"/>
      <c r="T54" s="435"/>
      <c r="U54" s="435"/>
      <c r="V54" s="426"/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/>
      <c r="B55" s="435"/>
      <c r="C55" s="257"/>
      <c r="D55" s="257"/>
      <c r="E55" s="257"/>
      <c r="F55" s="445"/>
      <c r="G55" s="446"/>
      <c r="H55" s="446"/>
      <c r="I55" s="446"/>
      <c r="J55" s="446"/>
      <c r="K55" s="446"/>
      <c r="L55" s="446"/>
      <c r="M55" s="447"/>
      <c r="N55" s="256"/>
      <c r="O55" s="124"/>
      <c r="P55" s="435"/>
      <c r="Q55" s="435"/>
      <c r="R55" s="435"/>
      <c r="S55" s="435"/>
      <c r="T55" s="435"/>
      <c r="U55" s="435"/>
      <c r="V55" s="426"/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257"/>
      <c r="D56" s="257"/>
      <c r="E56" s="257"/>
      <c r="F56" s="445"/>
      <c r="G56" s="446"/>
      <c r="H56" s="446"/>
      <c r="I56" s="446"/>
      <c r="J56" s="446"/>
      <c r="K56" s="446"/>
      <c r="L56" s="446"/>
      <c r="M56" s="447"/>
      <c r="N56" s="256"/>
      <c r="O56" s="124"/>
      <c r="P56" s="443"/>
      <c r="Q56" s="444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257"/>
      <c r="D57" s="257"/>
      <c r="E57" s="257"/>
      <c r="F57" s="445"/>
      <c r="G57" s="446"/>
      <c r="H57" s="446"/>
      <c r="I57" s="446"/>
      <c r="J57" s="446"/>
      <c r="K57" s="446"/>
      <c r="L57" s="446"/>
      <c r="M57" s="447"/>
      <c r="N57" s="256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257"/>
      <c r="D58" s="257"/>
      <c r="E58" s="257"/>
      <c r="F58" s="426"/>
      <c r="G58" s="426"/>
      <c r="H58" s="426"/>
      <c r="I58" s="426"/>
      <c r="J58" s="426"/>
      <c r="K58" s="426"/>
      <c r="L58" s="426"/>
      <c r="M58" s="436"/>
      <c r="N58" s="256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257"/>
      <c r="D59" s="257"/>
      <c r="E59" s="257"/>
      <c r="F59" s="445"/>
      <c r="G59" s="446"/>
      <c r="H59" s="446"/>
      <c r="I59" s="446"/>
      <c r="J59" s="446"/>
      <c r="K59" s="446"/>
      <c r="L59" s="446"/>
      <c r="M59" s="447"/>
      <c r="N59" s="256"/>
      <c r="O59" s="124"/>
      <c r="P59" s="435"/>
      <c r="Q59" s="435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  <c r="AF59" s="93">
        <f>8*3000</f>
        <v>24000</v>
      </c>
    </row>
    <row r="60" spans="1:32" ht="27" customHeight="1" thickBot="1">
      <c r="A60" s="437"/>
      <c r="B60" s="438"/>
      <c r="C60" s="259"/>
      <c r="D60" s="259"/>
      <c r="E60" s="259"/>
      <c r="F60" s="439"/>
      <c r="G60" s="439"/>
      <c r="H60" s="439"/>
      <c r="I60" s="439"/>
      <c r="J60" s="439"/>
      <c r="K60" s="439"/>
      <c r="L60" s="439"/>
      <c r="M60" s="440"/>
      <c r="N60" s="258"/>
      <c r="O60" s="120"/>
      <c r="P60" s="438"/>
      <c r="Q60" s="438"/>
      <c r="R60" s="438"/>
      <c r="S60" s="438"/>
      <c r="T60" s="438"/>
      <c r="U60" s="438"/>
      <c r="V60" s="441"/>
      <c r="W60" s="441"/>
      <c r="X60" s="441"/>
      <c r="Y60" s="441"/>
      <c r="Z60" s="441"/>
      <c r="AA60" s="441"/>
      <c r="AB60" s="441"/>
      <c r="AC60" s="441"/>
      <c r="AD60" s="442"/>
      <c r="AF60" s="93">
        <f>16*3000</f>
        <v>48000</v>
      </c>
    </row>
    <row r="61" spans="1:32" ht="27.75" thickBot="1">
      <c r="A61" s="432" t="s">
        <v>382</v>
      </c>
      <c r="B61" s="432"/>
      <c r="C61" s="432"/>
      <c r="D61" s="432"/>
      <c r="E61" s="43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3" t="s">
        <v>113</v>
      </c>
      <c r="B62" s="430"/>
      <c r="C62" s="260" t="s">
        <v>2</v>
      </c>
      <c r="D62" s="260" t="s">
        <v>37</v>
      </c>
      <c r="E62" s="260" t="s">
        <v>3</v>
      </c>
      <c r="F62" s="430" t="s">
        <v>110</v>
      </c>
      <c r="G62" s="430"/>
      <c r="H62" s="430"/>
      <c r="I62" s="430"/>
      <c r="J62" s="430"/>
      <c r="K62" s="430" t="s">
        <v>39</v>
      </c>
      <c r="L62" s="430"/>
      <c r="M62" s="260" t="s">
        <v>40</v>
      </c>
      <c r="N62" s="430" t="s">
        <v>41</v>
      </c>
      <c r="O62" s="430"/>
      <c r="P62" s="427" t="s">
        <v>42</v>
      </c>
      <c r="Q62" s="429"/>
      <c r="R62" s="427" t="s">
        <v>43</v>
      </c>
      <c r="S62" s="428"/>
      <c r="T62" s="428"/>
      <c r="U62" s="428"/>
      <c r="V62" s="428"/>
      <c r="W62" s="428"/>
      <c r="X62" s="428"/>
      <c r="Y62" s="428"/>
      <c r="Z62" s="428"/>
      <c r="AA62" s="429"/>
      <c r="AB62" s="430" t="s">
        <v>44</v>
      </c>
      <c r="AC62" s="430"/>
      <c r="AD62" s="431"/>
      <c r="AF62" s="93">
        <f>SUM(AF59:AF61)</f>
        <v>96000</v>
      </c>
    </row>
    <row r="63" spans="1:32" ht="25.5" customHeight="1">
      <c r="A63" s="422">
        <v>1</v>
      </c>
      <c r="B63" s="423"/>
      <c r="C63" s="123" t="s">
        <v>114</v>
      </c>
      <c r="D63" s="263"/>
      <c r="E63" s="261" t="s">
        <v>298</v>
      </c>
      <c r="F63" s="424" t="s">
        <v>372</v>
      </c>
      <c r="G63" s="416"/>
      <c r="H63" s="416"/>
      <c r="I63" s="416"/>
      <c r="J63" s="416"/>
      <c r="K63" s="416" t="s">
        <v>303</v>
      </c>
      <c r="L63" s="416"/>
      <c r="M63" s="54" t="s">
        <v>197</v>
      </c>
      <c r="N63" s="416">
        <v>8</v>
      </c>
      <c r="O63" s="416"/>
      <c r="P63" s="425">
        <v>50</v>
      </c>
      <c r="Q63" s="425"/>
      <c r="R63" s="426"/>
      <c r="S63" s="426"/>
      <c r="T63" s="426"/>
      <c r="U63" s="426"/>
      <c r="V63" s="426"/>
      <c r="W63" s="426"/>
      <c r="X63" s="426"/>
      <c r="Y63" s="426"/>
      <c r="Z63" s="426"/>
      <c r="AA63" s="426"/>
      <c r="AB63" s="416"/>
      <c r="AC63" s="416"/>
      <c r="AD63" s="417"/>
      <c r="AF63" s="53"/>
    </row>
    <row r="64" spans="1:32" ht="25.5" customHeight="1">
      <c r="A64" s="422">
        <v>2</v>
      </c>
      <c r="B64" s="423"/>
      <c r="C64" s="123" t="s">
        <v>114</v>
      </c>
      <c r="D64" s="263"/>
      <c r="E64" s="261" t="s">
        <v>117</v>
      </c>
      <c r="F64" s="424" t="s">
        <v>387</v>
      </c>
      <c r="G64" s="416"/>
      <c r="H64" s="416"/>
      <c r="I64" s="416"/>
      <c r="J64" s="416"/>
      <c r="K64" s="416" t="s">
        <v>266</v>
      </c>
      <c r="L64" s="416"/>
      <c r="M64" s="54" t="s">
        <v>135</v>
      </c>
      <c r="N64" s="416">
        <v>14</v>
      </c>
      <c r="O64" s="416"/>
      <c r="P64" s="425">
        <v>100</v>
      </c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3</v>
      </c>
      <c r="B65" s="423"/>
      <c r="C65" s="123" t="s">
        <v>114</v>
      </c>
      <c r="D65" s="263"/>
      <c r="E65" s="261" t="s">
        <v>134</v>
      </c>
      <c r="F65" s="424" t="s">
        <v>388</v>
      </c>
      <c r="G65" s="416"/>
      <c r="H65" s="416"/>
      <c r="I65" s="416"/>
      <c r="J65" s="416"/>
      <c r="K65" s="416" t="s">
        <v>129</v>
      </c>
      <c r="L65" s="416"/>
      <c r="M65" s="54" t="s">
        <v>135</v>
      </c>
      <c r="N65" s="416">
        <v>4</v>
      </c>
      <c r="O65" s="416"/>
      <c r="P65" s="425">
        <v>100</v>
      </c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4</v>
      </c>
      <c r="B66" s="423"/>
      <c r="C66" s="123" t="s">
        <v>114</v>
      </c>
      <c r="D66" s="263"/>
      <c r="E66" s="261" t="s">
        <v>119</v>
      </c>
      <c r="F66" s="424" t="s">
        <v>389</v>
      </c>
      <c r="G66" s="416"/>
      <c r="H66" s="416"/>
      <c r="I66" s="416"/>
      <c r="J66" s="416"/>
      <c r="K66" s="416" t="s">
        <v>390</v>
      </c>
      <c r="L66" s="416"/>
      <c r="M66" s="54" t="s">
        <v>135</v>
      </c>
      <c r="N66" s="416">
        <v>4</v>
      </c>
      <c r="O66" s="416"/>
      <c r="P66" s="425">
        <v>100</v>
      </c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5</v>
      </c>
      <c r="B67" s="423"/>
      <c r="C67" s="123" t="s">
        <v>114</v>
      </c>
      <c r="D67" s="263"/>
      <c r="E67" s="261" t="s">
        <v>341</v>
      </c>
      <c r="F67" s="424" t="s">
        <v>386</v>
      </c>
      <c r="G67" s="416"/>
      <c r="H67" s="416"/>
      <c r="I67" s="416"/>
      <c r="J67" s="416"/>
      <c r="K67" s="416" t="s">
        <v>342</v>
      </c>
      <c r="L67" s="416"/>
      <c r="M67" s="54" t="s">
        <v>135</v>
      </c>
      <c r="N67" s="416">
        <v>7</v>
      </c>
      <c r="O67" s="416"/>
      <c r="P67" s="425">
        <v>100</v>
      </c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6</v>
      </c>
      <c r="B68" s="423"/>
      <c r="C68" s="123" t="s">
        <v>114</v>
      </c>
      <c r="D68" s="263"/>
      <c r="E68" s="261" t="s">
        <v>124</v>
      </c>
      <c r="F68" s="424" t="s">
        <v>385</v>
      </c>
      <c r="G68" s="416"/>
      <c r="H68" s="416"/>
      <c r="I68" s="416"/>
      <c r="J68" s="416"/>
      <c r="K68" s="416" t="s">
        <v>342</v>
      </c>
      <c r="L68" s="416"/>
      <c r="M68" s="54" t="s">
        <v>135</v>
      </c>
      <c r="N68" s="416">
        <v>7</v>
      </c>
      <c r="O68" s="416"/>
      <c r="P68" s="425">
        <v>200</v>
      </c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7</v>
      </c>
      <c r="B69" s="423"/>
      <c r="C69" s="123" t="s">
        <v>118</v>
      </c>
      <c r="D69" s="263"/>
      <c r="E69" s="261" t="s">
        <v>120</v>
      </c>
      <c r="F69" s="424" t="s">
        <v>383</v>
      </c>
      <c r="G69" s="416"/>
      <c r="H69" s="416"/>
      <c r="I69" s="416"/>
      <c r="J69" s="416"/>
      <c r="K69" s="416" t="s">
        <v>187</v>
      </c>
      <c r="L69" s="416"/>
      <c r="M69" s="54" t="s">
        <v>253</v>
      </c>
      <c r="N69" s="416">
        <v>4</v>
      </c>
      <c r="O69" s="416"/>
      <c r="P69" s="425">
        <v>50</v>
      </c>
      <c r="Q69" s="425"/>
      <c r="R69" s="426" t="s">
        <v>384</v>
      </c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8</v>
      </c>
      <c r="B70" s="423"/>
      <c r="C70" s="123"/>
      <c r="D70" s="263"/>
      <c r="E70" s="261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6.25" customHeight="1" thickBot="1">
      <c r="A71" s="396" t="s">
        <v>391</v>
      </c>
      <c r="B71" s="396"/>
      <c r="C71" s="396"/>
      <c r="D71" s="396"/>
      <c r="E71" s="396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7" t="s">
        <v>113</v>
      </c>
      <c r="B72" s="398"/>
      <c r="C72" s="262" t="s">
        <v>2</v>
      </c>
      <c r="D72" s="262" t="s">
        <v>37</v>
      </c>
      <c r="E72" s="262" t="s">
        <v>3</v>
      </c>
      <c r="F72" s="398" t="s">
        <v>38</v>
      </c>
      <c r="G72" s="398"/>
      <c r="H72" s="398"/>
      <c r="I72" s="398"/>
      <c r="J72" s="398"/>
      <c r="K72" s="418" t="s">
        <v>58</v>
      </c>
      <c r="L72" s="419"/>
      <c r="M72" s="419"/>
      <c r="N72" s="419"/>
      <c r="O72" s="419"/>
      <c r="P72" s="419"/>
      <c r="Q72" s="419"/>
      <c r="R72" s="419"/>
      <c r="S72" s="420"/>
      <c r="T72" s="398" t="s">
        <v>49</v>
      </c>
      <c r="U72" s="398"/>
      <c r="V72" s="418" t="s">
        <v>50</v>
      </c>
      <c r="W72" s="420"/>
      <c r="X72" s="419" t="s">
        <v>51</v>
      </c>
      <c r="Y72" s="419"/>
      <c r="Z72" s="419"/>
      <c r="AA72" s="419"/>
      <c r="AB72" s="419"/>
      <c r="AC72" s="419"/>
      <c r="AD72" s="421"/>
      <c r="AF72" s="53"/>
    </row>
    <row r="73" spans="1:32" ht="33.75" customHeight="1">
      <c r="A73" s="390">
        <v>1</v>
      </c>
      <c r="B73" s="391"/>
      <c r="C73" s="264" t="s">
        <v>114</v>
      </c>
      <c r="D73" s="264"/>
      <c r="E73" s="71" t="s">
        <v>127</v>
      </c>
      <c r="F73" s="405" t="s">
        <v>126</v>
      </c>
      <c r="G73" s="406"/>
      <c r="H73" s="406"/>
      <c r="I73" s="406"/>
      <c r="J73" s="407"/>
      <c r="K73" s="408" t="s">
        <v>128</v>
      </c>
      <c r="L73" s="409"/>
      <c r="M73" s="409"/>
      <c r="N73" s="409"/>
      <c r="O73" s="409"/>
      <c r="P73" s="409"/>
      <c r="Q73" s="409"/>
      <c r="R73" s="409"/>
      <c r="S73" s="410"/>
      <c r="T73" s="411">
        <v>43384</v>
      </c>
      <c r="U73" s="412"/>
      <c r="V73" s="413"/>
      <c r="W73" s="413"/>
      <c r="X73" s="414"/>
      <c r="Y73" s="414"/>
      <c r="Z73" s="414"/>
      <c r="AA73" s="414"/>
      <c r="AB73" s="414"/>
      <c r="AC73" s="414"/>
      <c r="AD73" s="415"/>
      <c r="AF73" s="53"/>
    </row>
    <row r="74" spans="1:32" ht="30" customHeight="1">
      <c r="A74" s="383">
        <f>A73+1</f>
        <v>2</v>
      </c>
      <c r="B74" s="384"/>
      <c r="C74" s="263"/>
      <c r="D74" s="263"/>
      <c r="E74" s="35"/>
      <c r="F74" s="384"/>
      <c r="G74" s="384"/>
      <c r="H74" s="384"/>
      <c r="I74" s="384"/>
      <c r="J74" s="384"/>
      <c r="K74" s="399"/>
      <c r="L74" s="400"/>
      <c r="M74" s="400"/>
      <c r="N74" s="400"/>
      <c r="O74" s="400"/>
      <c r="P74" s="400"/>
      <c r="Q74" s="400"/>
      <c r="R74" s="400"/>
      <c r="S74" s="401"/>
      <c r="T74" s="402"/>
      <c r="U74" s="402"/>
      <c r="V74" s="402"/>
      <c r="W74" s="402"/>
      <c r="X74" s="403"/>
      <c r="Y74" s="403"/>
      <c r="Z74" s="403"/>
      <c r="AA74" s="403"/>
      <c r="AB74" s="403"/>
      <c r="AC74" s="403"/>
      <c r="AD74" s="404"/>
      <c r="AF74" s="53"/>
    </row>
    <row r="75" spans="1:32" ht="30" customHeight="1">
      <c r="A75" s="383">
        <f t="shared" ref="A75:A81" si="11">A74+1</f>
        <v>3</v>
      </c>
      <c r="B75" s="384"/>
      <c r="C75" s="263"/>
      <c r="D75" s="263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si="11"/>
        <v>4</v>
      </c>
      <c r="B76" s="384"/>
      <c r="C76" s="263"/>
      <c r="D76" s="263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1"/>
        <v>5</v>
      </c>
      <c r="B77" s="384"/>
      <c r="C77" s="263"/>
      <c r="D77" s="263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1"/>
        <v>6</v>
      </c>
      <c r="B78" s="384"/>
      <c r="C78" s="263"/>
      <c r="D78" s="263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1"/>
        <v>7</v>
      </c>
      <c r="B79" s="384"/>
      <c r="C79" s="263"/>
      <c r="D79" s="263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1"/>
        <v>8</v>
      </c>
      <c r="B80" s="384"/>
      <c r="C80" s="263"/>
      <c r="D80" s="263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1"/>
        <v>9</v>
      </c>
      <c r="B81" s="384"/>
      <c r="C81" s="263"/>
      <c r="D81" s="263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6" thickBot="1">
      <c r="A82" s="396" t="s">
        <v>392</v>
      </c>
      <c r="B82" s="396"/>
      <c r="C82" s="396"/>
      <c r="D82" s="396"/>
      <c r="E82" s="396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7" t="s">
        <v>113</v>
      </c>
      <c r="B83" s="398"/>
      <c r="C83" s="388" t="s">
        <v>52</v>
      </c>
      <c r="D83" s="388"/>
      <c r="E83" s="388" t="s">
        <v>53</v>
      </c>
      <c r="F83" s="388"/>
      <c r="G83" s="388"/>
      <c r="H83" s="388"/>
      <c r="I83" s="388"/>
      <c r="J83" s="388"/>
      <c r="K83" s="388" t="s">
        <v>54</v>
      </c>
      <c r="L83" s="388"/>
      <c r="M83" s="388"/>
      <c r="N83" s="388"/>
      <c r="O83" s="388"/>
      <c r="P83" s="388"/>
      <c r="Q83" s="388"/>
      <c r="R83" s="388"/>
      <c r="S83" s="388"/>
      <c r="T83" s="388" t="s">
        <v>55</v>
      </c>
      <c r="U83" s="388"/>
      <c r="V83" s="388" t="s">
        <v>56</v>
      </c>
      <c r="W83" s="388"/>
      <c r="X83" s="388"/>
      <c r="Y83" s="388" t="s">
        <v>51</v>
      </c>
      <c r="Z83" s="388"/>
      <c r="AA83" s="388"/>
      <c r="AB83" s="388"/>
      <c r="AC83" s="388"/>
      <c r="AD83" s="389"/>
      <c r="AF83" s="53"/>
    </row>
    <row r="84" spans="1:32" ht="30.75" customHeight="1">
      <c r="A84" s="390">
        <v>1</v>
      </c>
      <c r="B84" s="391"/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3"/>
      <c r="W84" s="393"/>
      <c r="X84" s="393"/>
      <c r="Y84" s="394"/>
      <c r="Z84" s="394"/>
      <c r="AA84" s="394"/>
      <c r="AB84" s="394"/>
      <c r="AC84" s="394"/>
      <c r="AD84" s="395"/>
      <c r="AF84" s="53"/>
    </row>
    <row r="85" spans="1:32" ht="30.75" customHeight="1">
      <c r="A85" s="383">
        <v>2</v>
      </c>
      <c r="B85" s="384"/>
      <c r="C85" s="385"/>
      <c r="D85" s="385"/>
      <c r="E85" s="385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6"/>
      <c r="U85" s="386"/>
      <c r="V85" s="387"/>
      <c r="W85" s="387"/>
      <c r="X85" s="387"/>
      <c r="Y85" s="376"/>
      <c r="Z85" s="376"/>
      <c r="AA85" s="376"/>
      <c r="AB85" s="376"/>
      <c r="AC85" s="376"/>
      <c r="AD85" s="377"/>
      <c r="AF85" s="53"/>
    </row>
    <row r="86" spans="1:32" ht="30.75" customHeight="1" thickBot="1">
      <c r="A86" s="378">
        <v>3</v>
      </c>
      <c r="B86" s="379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  <c r="X86" s="380"/>
      <c r="Y86" s="381"/>
      <c r="Z86" s="381"/>
      <c r="AA86" s="381"/>
      <c r="AB86" s="381"/>
      <c r="AC86" s="381"/>
      <c r="AD86" s="382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FFA6-398C-4002-A6E6-C81BF129E1DA}">
  <sheetPr>
    <pageSetUpPr fitToPage="1"/>
  </sheetPr>
  <dimension ref="A1:AF86"/>
  <sheetViews>
    <sheetView zoomScale="72" zoomScaleNormal="72" zoomScaleSheetLayoutView="70" workbookViewId="0">
      <selection activeCell="F57" sqref="F57:M5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393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75" t="s">
        <v>17</v>
      </c>
      <c r="L5" s="275" t="s">
        <v>18</v>
      </c>
      <c r="M5" s="275" t="s">
        <v>19</v>
      </c>
      <c r="N5" s="27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0.31944444444444448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0.31944444444444448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123</v>
      </c>
      <c r="D8" s="55" t="s">
        <v>349</v>
      </c>
      <c r="E8" s="57" t="s">
        <v>350</v>
      </c>
      <c r="F8" s="33" t="s">
        <v>140</v>
      </c>
      <c r="G8" s="36" t="s">
        <v>240</v>
      </c>
      <c r="H8" s="38">
        <v>25</v>
      </c>
      <c r="I8" s="7">
        <v>3000</v>
      </c>
      <c r="J8" s="5">
        <v>793</v>
      </c>
      <c r="K8" s="15">
        <f>L8+2611+793</f>
        <v>3404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19</v>
      </c>
      <c r="R8" s="7"/>
      <c r="S8" s="6"/>
      <c r="T8" s="17"/>
      <c r="U8" s="17"/>
      <c r="V8" s="18"/>
      <c r="W8" s="19">
        <v>19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0.31944444444444448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114</v>
      </c>
      <c r="D9" s="55" t="s">
        <v>127</v>
      </c>
      <c r="E9" s="57" t="s">
        <v>273</v>
      </c>
      <c r="F9" s="33" t="s">
        <v>121</v>
      </c>
      <c r="G9" s="36">
        <v>1</v>
      </c>
      <c r="H9" s="38">
        <v>24</v>
      </c>
      <c r="I9" s="7">
        <v>4000</v>
      </c>
      <c r="J9" s="14">
        <v>4267</v>
      </c>
      <c r="K9" s="15">
        <f>L9+4267</f>
        <v>4267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0.31944444444444448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123</v>
      </c>
      <c r="D10" s="55" t="s">
        <v>119</v>
      </c>
      <c r="E10" s="57" t="s">
        <v>147</v>
      </c>
      <c r="F10" s="12" t="s">
        <v>121</v>
      </c>
      <c r="G10" s="12">
        <v>4</v>
      </c>
      <c r="H10" s="13">
        <v>25</v>
      </c>
      <c r="I10" s="7">
        <v>400000</v>
      </c>
      <c r="J10" s="14">
        <v>22848</v>
      </c>
      <c r="K10" s="15">
        <f>L10+23776+26072+26756+24764+18432+17192+18752+24536+24336+16996+23988+25708+23312+23400+25624+22984+10488</f>
        <v>399964</v>
      </c>
      <c r="L10" s="15">
        <f>3060*4+2652*4</f>
        <v>22848</v>
      </c>
      <c r="M10" s="16">
        <f t="shared" si="0"/>
        <v>22848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0.31944444444444448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114</v>
      </c>
      <c r="D11" s="55" t="s">
        <v>134</v>
      </c>
      <c r="E11" s="57" t="s">
        <v>355</v>
      </c>
      <c r="F11" s="12" t="s">
        <v>361</v>
      </c>
      <c r="G11" s="12">
        <v>1</v>
      </c>
      <c r="H11" s="13">
        <v>25</v>
      </c>
      <c r="I11" s="7">
        <v>2000</v>
      </c>
      <c r="J11" s="14">
        <v>2201</v>
      </c>
      <c r="K11" s="15">
        <f>L11+1962+3055</f>
        <v>7218</v>
      </c>
      <c r="L11" s="15">
        <v>2201</v>
      </c>
      <c r="M11" s="16">
        <f t="shared" si="0"/>
        <v>2201</v>
      </c>
      <c r="N11" s="16">
        <v>0</v>
      </c>
      <c r="O11" s="62">
        <f t="shared" si="1"/>
        <v>0</v>
      </c>
      <c r="P11" s="42">
        <f t="shared" si="2"/>
        <v>10</v>
      </c>
      <c r="Q11" s="43">
        <f t="shared" si="3"/>
        <v>14</v>
      </c>
      <c r="R11" s="7"/>
      <c r="S11" s="6"/>
      <c r="T11" s="17"/>
      <c r="U11" s="17"/>
      <c r="V11" s="18"/>
      <c r="W11" s="19">
        <v>14</v>
      </c>
      <c r="X11" s="17"/>
      <c r="Y11" s="20"/>
      <c r="Z11" s="20"/>
      <c r="AA11" s="21"/>
      <c r="AB11" s="8">
        <f t="shared" si="4"/>
        <v>1</v>
      </c>
      <c r="AC11" s="9">
        <f t="shared" si="5"/>
        <v>0.41666666666666669</v>
      </c>
      <c r="AD11" s="10">
        <f t="shared" si="6"/>
        <v>0.41666666666666669</v>
      </c>
      <c r="AE11" s="39">
        <f t="shared" si="7"/>
        <v>0.31944444444444448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123</v>
      </c>
      <c r="D12" s="55" t="s">
        <v>292</v>
      </c>
      <c r="E12" s="57" t="s">
        <v>293</v>
      </c>
      <c r="F12" s="33" t="s">
        <v>116</v>
      </c>
      <c r="G12" s="36">
        <v>1</v>
      </c>
      <c r="H12" s="38">
        <v>24</v>
      </c>
      <c r="I12" s="7">
        <v>10000</v>
      </c>
      <c r="J12" s="14">
        <v>2837</v>
      </c>
      <c r="K12" s="15">
        <f>L12+1507+2959+3099+2837</f>
        <v>10402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0.31944444444444448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123</v>
      </c>
      <c r="D13" s="55" t="s">
        <v>117</v>
      </c>
      <c r="E13" s="57" t="s">
        <v>369</v>
      </c>
      <c r="F13" s="33" t="s">
        <v>140</v>
      </c>
      <c r="G13" s="36">
        <v>1</v>
      </c>
      <c r="H13" s="38">
        <v>24</v>
      </c>
      <c r="I13" s="7">
        <v>2000</v>
      </c>
      <c r="J13" s="14">
        <v>2086</v>
      </c>
      <c r="K13" s="15">
        <f>L13+2086</f>
        <v>2086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0.31944444444444448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114</v>
      </c>
      <c r="D14" s="55" t="s">
        <v>117</v>
      </c>
      <c r="E14" s="57" t="s">
        <v>284</v>
      </c>
      <c r="F14" s="33" t="s">
        <v>352</v>
      </c>
      <c r="G14" s="36">
        <v>1</v>
      </c>
      <c r="H14" s="38">
        <v>25</v>
      </c>
      <c r="I14" s="7">
        <v>500</v>
      </c>
      <c r="J14" s="5">
        <v>640</v>
      </c>
      <c r="K14" s="15">
        <f>L14+640</f>
        <v>640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0.31944444444444448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123</v>
      </c>
      <c r="D15" s="55" t="s">
        <v>362</v>
      </c>
      <c r="E15" s="57" t="s">
        <v>334</v>
      </c>
      <c r="F15" s="12" t="s">
        <v>131</v>
      </c>
      <c r="G15" s="12">
        <v>1</v>
      </c>
      <c r="H15" s="13">
        <v>24</v>
      </c>
      <c r="I15" s="34">
        <v>12000</v>
      </c>
      <c r="J15" s="14">
        <v>2381</v>
      </c>
      <c r="K15" s="15">
        <f>L15+3042+7558</f>
        <v>12981</v>
      </c>
      <c r="L15" s="15">
        <v>2381</v>
      </c>
      <c r="M15" s="16">
        <f t="shared" si="0"/>
        <v>2381</v>
      </c>
      <c r="N15" s="16">
        <v>0</v>
      </c>
      <c r="O15" s="62">
        <f t="shared" si="1"/>
        <v>0</v>
      </c>
      <c r="P15" s="42">
        <f t="shared" si="2"/>
        <v>10</v>
      </c>
      <c r="Q15" s="43">
        <f t="shared" si="3"/>
        <v>14</v>
      </c>
      <c r="R15" s="7"/>
      <c r="S15" s="6"/>
      <c r="T15" s="17"/>
      <c r="U15" s="17"/>
      <c r="V15" s="18"/>
      <c r="W15" s="19">
        <v>14</v>
      </c>
      <c r="X15" s="17"/>
      <c r="Y15" s="20"/>
      <c r="Z15" s="20"/>
      <c r="AA15" s="21"/>
      <c r="AB15" s="8">
        <f t="shared" si="4"/>
        <v>1</v>
      </c>
      <c r="AC15" s="9">
        <f t="shared" si="5"/>
        <v>0.41666666666666669</v>
      </c>
      <c r="AD15" s="10">
        <f t="shared" si="6"/>
        <v>0.41666666666666669</v>
      </c>
      <c r="AE15" s="39">
        <f t="shared" si="7"/>
        <v>0.31944444444444448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11" t="s">
        <v>123</v>
      </c>
      <c r="D16" s="55" t="s">
        <v>227</v>
      </c>
      <c r="E16" s="57" t="s">
        <v>141</v>
      </c>
      <c r="F16" s="12" t="s">
        <v>121</v>
      </c>
      <c r="G16" s="12">
        <v>2</v>
      </c>
      <c r="H16" s="13">
        <v>25</v>
      </c>
      <c r="I16" s="7">
        <v>65000</v>
      </c>
      <c r="J16" s="14">
        <v>14066</v>
      </c>
      <c r="K16" s="15">
        <f>L16+9052</f>
        <v>23118</v>
      </c>
      <c r="L16" s="15">
        <f>3787*2+3246*2</f>
        <v>14066</v>
      </c>
      <c r="M16" s="16">
        <f t="shared" si="0"/>
        <v>14066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1</v>
      </c>
      <c r="AD16" s="10">
        <f t="shared" si="6"/>
        <v>1</v>
      </c>
      <c r="AE16" s="39">
        <f t="shared" si="7"/>
        <v>0.31944444444444448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123</v>
      </c>
      <c r="D17" s="55" t="s">
        <v>124</v>
      </c>
      <c r="E17" s="57" t="s">
        <v>148</v>
      </c>
      <c r="F17" s="12" t="s">
        <v>131</v>
      </c>
      <c r="G17" s="12">
        <v>4</v>
      </c>
      <c r="H17" s="13">
        <v>24</v>
      </c>
      <c r="I17" s="34">
        <v>400000</v>
      </c>
      <c r="J17" s="14">
        <v>25360</v>
      </c>
      <c r="K17" s="15">
        <f>L17+19964+21928+25296+24300+24768+24688+11104+18160+24312+25036+24132+25812+24196+24040+25580+23824+24452</f>
        <v>416952</v>
      </c>
      <c r="L17" s="15">
        <f>3461*4+2879*4</f>
        <v>25360</v>
      </c>
      <c r="M17" s="16">
        <f t="shared" si="0"/>
        <v>25360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0.31944444444444448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123</v>
      </c>
      <c r="D18" s="55" t="s">
        <v>117</v>
      </c>
      <c r="E18" s="57" t="s">
        <v>153</v>
      </c>
      <c r="F18" s="12" t="s">
        <v>129</v>
      </c>
      <c r="G18" s="36">
        <v>4</v>
      </c>
      <c r="H18" s="38">
        <v>24</v>
      </c>
      <c r="I18" s="7">
        <v>400000</v>
      </c>
      <c r="J18" s="5">
        <v>22304</v>
      </c>
      <c r="K18" s="15">
        <f>L18+12380+14384+22568+16460+13888+20848+20972+20888+19996+10224+14424+21632+20220+19704+9284</f>
        <v>280176</v>
      </c>
      <c r="L18" s="15">
        <f>3001*4+2575*4</f>
        <v>22304</v>
      </c>
      <c r="M18" s="16">
        <f t="shared" si="0"/>
        <v>22304</v>
      </c>
      <c r="N18" s="16">
        <v>0</v>
      </c>
      <c r="O18" s="62">
        <f t="shared" si="1"/>
        <v>0</v>
      </c>
      <c r="P18" s="42">
        <f t="shared" si="2"/>
        <v>23</v>
      </c>
      <c r="Q18" s="43">
        <f t="shared" si="3"/>
        <v>1</v>
      </c>
      <c r="R18" s="7"/>
      <c r="S18" s="6">
        <v>1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0.95833333333333337</v>
      </c>
      <c r="AD18" s="10">
        <f>AC18*AB18*(1-O18)</f>
        <v>0.95833333333333337</v>
      </c>
      <c r="AE18" s="39">
        <f t="shared" si="7"/>
        <v>0.31944444444444448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118</v>
      </c>
      <c r="D19" s="55" t="s">
        <v>119</v>
      </c>
      <c r="E19" s="57" t="s">
        <v>309</v>
      </c>
      <c r="F19" s="12" t="s">
        <v>310</v>
      </c>
      <c r="G19" s="36">
        <v>1</v>
      </c>
      <c r="H19" s="13">
        <v>24</v>
      </c>
      <c r="I19" s="7">
        <v>6000</v>
      </c>
      <c r="J19" s="14">
        <v>5637</v>
      </c>
      <c r="K19" s="15">
        <f>L19+2947+5418+4914+5367</f>
        <v>18646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0.31944444444444448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133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L20+39648+30712+45256+43600+10476</f>
        <v>169692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0.31944444444444448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1604500</v>
      </c>
      <c r="J21" s="22">
        <f t="shared" si="9"/>
        <v>115896</v>
      </c>
      <c r="K21" s="23">
        <f t="shared" si="9"/>
        <v>1349546</v>
      </c>
      <c r="L21" s="24">
        <f t="shared" si="9"/>
        <v>89160</v>
      </c>
      <c r="M21" s="23">
        <f t="shared" si="9"/>
        <v>89160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115</v>
      </c>
      <c r="Q21" s="46">
        <f t="shared" si="10"/>
        <v>240</v>
      </c>
      <c r="R21" s="26">
        <f t="shared" si="10"/>
        <v>24</v>
      </c>
      <c r="S21" s="27">
        <f t="shared" si="10"/>
        <v>1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215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</v>
      </c>
      <c r="AC21" s="4">
        <f>SUM(AC6:AC20)/15</f>
        <v>0.31944444444444448</v>
      </c>
      <c r="AD21" s="4">
        <f>SUM(AD6:AD20)/15</f>
        <v>0.31944444444444448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394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396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274" t="s">
        <v>46</v>
      </c>
      <c r="D50" s="274" t="s">
        <v>47</v>
      </c>
      <c r="E50" s="274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274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4" t="s">
        <v>123</v>
      </c>
      <c r="B51" s="435"/>
      <c r="C51" s="271" t="s">
        <v>166</v>
      </c>
      <c r="D51" s="271" t="s">
        <v>117</v>
      </c>
      <c r="E51" s="271" t="s">
        <v>366</v>
      </c>
      <c r="F51" s="445" t="s">
        <v>395</v>
      </c>
      <c r="G51" s="446"/>
      <c r="H51" s="446"/>
      <c r="I51" s="446"/>
      <c r="J51" s="446"/>
      <c r="K51" s="446"/>
      <c r="L51" s="446"/>
      <c r="M51" s="447"/>
      <c r="N51" s="270" t="s">
        <v>123</v>
      </c>
      <c r="O51" s="124" t="s">
        <v>166</v>
      </c>
      <c r="P51" s="443" t="s">
        <v>117</v>
      </c>
      <c r="Q51" s="444"/>
      <c r="R51" s="435" t="s">
        <v>366</v>
      </c>
      <c r="S51" s="435"/>
      <c r="T51" s="435"/>
      <c r="U51" s="435"/>
      <c r="V51" s="426" t="s">
        <v>207</v>
      </c>
      <c r="W51" s="426"/>
      <c r="X51" s="426"/>
      <c r="Y51" s="426"/>
      <c r="Z51" s="426"/>
      <c r="AA51" s="426"/>
      <c r="AB51" s="426"/>
      <c r="AC51" s="426"/>
      <c r="AD51" s="436"/>
    </row>
    <row r="52" spans="1:32" ht="27" customHeight="1">
      <c r="A52" s="434"/>
      <c r="B52" s="435"/>
      <c r="C52" s="271"/>
      <c r="D52" s="271"/>
      <c r="E52" s="271"/>
      <c r="F52" s="445"/>
      <c r="G52" s="446"/>
      <c r="H52" s="446"/>
      <c r="I52" s="446"/>
      <c r="J52" s="446"/>
      <c r="K52" s="446"/>
      <c r="L52" s="446"/>
      <c r="M52" s="447"/>
      <c r="N52" s="270" t="s">
        <v>118</v>
      </c>
      <c r="O52" s="124" t="s">
        <v>225</v>
      </c>
      <c r="P52" s="443" t="s">
        <v>117</v>
      </c>
      <c r="Q52" s="444"/>
      <c r="R52" s="435" t="s">
        <v>312</v>
      </c>
      <c r="S52" s="435"/>
      <c r="T52" s="435"/>
      <c r="U52" s="435"/>
      <c r="V52" s="426" t="s">
        <v>171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/>
      <c r="B53" s="435"/>
      <c r="C53" s="271"/>
      <c r="D53" s="271"/>
      <c r="E53" s="271"/>
      <c r="F53" s="445"/>
      <c r="G53" s="446"/>
      <c r="H53" s="446"/>
      <c r="I53" s="446"/>
      <c r="J53" s="446"/>
      <c r="K53" s="446"/>
      <c r="L53" s="446"/>
      <c r="M53" s="447"/>
      <c r="N53" s="270" t="s">
        <v>118</v>
      </c>
      <c r="O53" s="124" t="s">
        <v>173</v>
      </c>
      <c r="P53" s="435" t="s">
        <v>120</v>
      </c>
      <c r="Q53" s="435"/>
      <c r="R53" s="435" t="s">
        <v>397</v>
      </c>
      <c r="S53" s="435"/>
      <c r="T53" s="435"/>
      <c r="U53" s="435"/>
      <c r="V53" s="426" t="s">
        <v>398</v>
      </c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/>
      <c r="B54" s="435"/>
      <c r="C54" s="271"/>
      <c r="D54" s="271"/>
      <c r="E54" s="271"/>
      <c r="F54" s="445"/>
      <c r="G54" s="446"/>
      <c r="H54" s="446"/>
      <c r="I54" s="446"/>
      <c r="J54" s="446"/>
      <c r="K54" s="446"/>
      <c r="L54" s="446"/>
      <c r="M54" s="447"/>
      <c r="N54" s="270"/>
      <c r="O54" s="124"/>
      <c r="P54" s="443"/>
      <c r="Q54" s="444"/>
      <c r="R54" s="435"/>
      <c r="S54" s="435"/>
      <c r="T54" s="435"/>
      <c r="U54" s="435"/>
      <c r="V54" s="426"/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/>
      <c r="B55" s="435"/>
      <c r="C55" s="271"/>
      <c r="D55" s="271"/>
      <c r="E55" s="271"/>
      <c r="F55" s="445"/>
      <c r="G55" s="446"/>
      <c r="H55" s="446"/>
      <c r="I55" s="446"/>
      <c r="J55" s="446"/>
      <c r="K55" s="446"/>
      <c r="L55" s="446"/>
      <c r="M55" s="447"/>
      <c r="N55" s="270"/>
      <c r="O55" s="124"/>
      <c r="P55" s="435"/>
      <c r="Q55" s="435"/>
      <c r="R55" s="435"/>
      <c r="S55" s="435"/>
      <c r="T55" s="435"/>
      <c r="U55" s="435"/>
      <c r="V55" s="426"/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271"/>
      <c r="D56" s="271"/>
      <c r="E56" s="271"/>
      <c r="F56" s="445"/>
      <c r="G56" s="446"/>
      <c r="H56" s="446"/>
      <c r="I56" s="446"/>
      <c r="J56" s="446"/>
      <c r="K56" s="446"/>
      <c r="L56" s="446"/>
      <c r="M56" s="447"/>
      <c r="N56" s="270"/>
      <c r="O56" s="124"/>
      <c r="P56" s="443"/>
      <c r="Q56" s="444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271"/>
      <c r="D57" s="271"/>
      <c r="E57" s="271"/>
      <c r="F57" s="445"/>
      <c r="G57" s="446"/>
      <c r="H57" s="446"/>
      <c r="I57" s="446"/>
      <c r="J57" s="446"/>
      <c r="K57" s="446"/>
      <c r="L57" s="446"/>
      <c r="M57" s="447"/>
      <c r="N57" s="270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271"/>
      <c r="D58" s="271"/>
      <c r="E58" s="271"/>
      <c r="F58" s="426"/>
      <c r="G58" s="426"/>
      <c r="H58" s="426"/>
      <c r="I58" s="426"/>
      <c r="J58" s="426"/>
      <c r="K58" s="426"/>
      <c r="L58" s="426"/>
      <c r="M58" s="436"/>
      <c r="N58" s="270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271"/>
      <c r="D59" s="271"/>
      <c r="E59" s="271"/>
      <c r="F59" s="445"/>
      <c r="G59" s="446"/>
      <c r="H59" s="446"/>
      <c r="I59" s="446"/>
      <c r="J59" s="446"/>
      <c r="K59" s="446"/>
      <c r="L59" s="446"/>
      <c r="M59" s="447"/>
      <c r="N59" s="270"/>
      <c r="O59" s="124"/>
      <c r="P59" s="435"/>
      <c r="Q59" s="435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  <c r="AF59" s="93">
        <f>8*3000</f>
        <v>24000</v>
      </c>
    </row>
    <row r="60" spans="1:32" ht="27" customHeight="1" thickBot="1">
      <c r="A60" s="437"/>
      <c r="B60" s="438"/>
      <c r="C60" s="273"/>
      <c r="D60" s="273"/>
      <c r="E60" s="273"/>
      <c r="F60" s="439"/>
      <c r="G60" s="439"/>
      <c r="H60" s="439"/>
      <c r="I60" s="439"/>
      <c r="J60" s="439"/>
      <c r="K60" s="439"/>
      <c r="L60" s="439"/>
      <c r="M60" s="440"/>
      <c r="N60" s="272"/>
      <c r="O60" s="120"/>
      <c r="P60" s="438"/>
      <c r="Q60" s="438"/>
      <c r="R60" s="438"/>
      <c r="S60" s="438"/>
      <c r="T60" s="438"/>
      <c r="U60" s="438"/>
      <c r="V60" s="441"/>
      <c r="W60" s="441"/>
      <c r="X60" s="441"/>
      <c r="Y60" s="441"/>
      <c r="Z60" s="441"/>
      <c r="AA60" s="441"/>
      <c r="AB60" s="441"/>
      <c r="AC60" s="441"/>
      <c r="AD60" s="442"/>
      <c r="AF60" s="93">
        <f>16*3000</f>
        <v>48000</v>
      </c>
    </row>
    <row r="61" spans="1:32" ht="27.75" thickBot="1">
      <c r="A61" s="432" t="s">
        <v>399</v>
      </c>
      <c r="B61" s="432"/>
      <c r="C61" s="432"/>
      <c r="D61" s="432"/>
      <c r="E61" s="43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3" t="s">
        <v>113</v>
      </c>
      <c r="B62" s="430"/>
      <c r="C62" s="269" t="s">
        <v>2</v>
      </c>
      <c r="D62" s="269" t="s">
        <v>37</v>
      </c>
      <c r="E62" s="269" t="s">
        <v>3</v>
      </c>
      <c r="F62" s="430" t="s">
        <v>110</v>
      </c>
      <c r="G62" s="430"/>
      <c r="H62" s="430"/>
      <c r="I62" s="430"/>
      <c r="J62" s="430"/>
      <c r="K62" s="430" t="s">
        <v>39</v>
      </c>
      <c r="L62" s="430"/>
      <c r="M62" s="269" t="s">
        <v>40</v>
      </c>
      <c r="N62" s="430" t="s">
        <v>41</v>
      </c>
      <c r="O62" s="430"/>
      <c r="P62" s="427" t="s">
        <v>42</v>
      </c>
      <c r="Q62" s="429"/>
      <c r="R62" s="427" t="s">
        <v>43</v>
      </c>
      <c r="S62" s="428"/>
      <c r="T62" s="428"/>
      <c r="U62" s="428"/>
      <c r="V62" s="428"/>
      <c r="W62" s="428"/>
      <c r="X62" s="428"/>
      <c r="Y62" s="428"/>
      <c r="Z62" s="428"/>
      <c r="AA62" s="429"/>
      <c r="AB62" s="430" t="s">
        <v>44</v>
      </c>
      <c r="AC62" s="430"/>
      <c r="AD62" s="431"/>
      <c r="AF62" s="93">
        <f>SUM(AF59:AF61)</f>
        <v>96000</v>
      </c>
    </row>
    <row r="63" spans="1:32" ht="25.5" customHeight="1">
      <c r="A63" s="422">
        <v>1</v>
      </c>
      <c r="B63" s="423"/>
      <c r="C63" s="123" t="s">
        <v>118</v>
      </c>
      <c r="D63" s="265"/>
      <c r="E63" s="268" t="s">
        <v>341</v>
      </c>
      <c r="F63" s="424" t="s">
        <v>400</v>
      </c>
      <c r="G63" s="416"/>
      <c r="H63" s="416"/>
      <c r="I63" s="416"/>
      <c r="J63" s="416"/>
      <c r="K63" s="416" t="s">
        <v>342</v>
      </c>
      <c r="L63" s="416"/>
      <c r="M63" s="54" t="s">
        <v>405</v>
      </c>
      <c r="N63" s="416">
        <v>7</v>
      </c>
      <c r="O63" s="416"/>
      <c r="P63" s="425">
        <v>50</v>
      </c>
      <c r="Q63" s="425"/>
      <c r="R63" s="426"/>
      <c r="S63" s="426"/>
      <c r="T63" s="426"/>
      <c r="U63" s="426"/>
      <c r="V63" s="426"/>
      <c r="W63" s="426"/>
      <c r="X63" s="426"/>
      <c r="Y63" s="426"/>
      <c r="Z63" s="426"/>
      <c r="AA63" s="426"/>
      <c r="AB63" s="416"/>
      <c r="AC63" s="416"/>
      <c r="AD63" s="417"/>
      <c r="AF63" s="53"/>
    </row>
    <row r="64" spans="1:32" ht="25.5" customHeight="1">
      <c r="A64" s="422">
        <v>2</v>
      </c>
      <c r="B64" s="423"/>
      <c r="C64" s="123" t="s">
        <v>118</v>
      </c>
      <c r="D64" s="265"/>
      <c r="E64" s="268" t="s">
        <v>341</v>
      </c>
      <c r="F64" s="424" t="s">
        <v>401</v>
      </c>
      <c r="G64" s="416"/>
      <c r="H64" s="416"/>
      <c r="I64" s="416"/>
      <c r="J64" s="416"/>
      <c r="K64" s="416" t="s">
        <v>342</v>
      </c>
      <c r="L64" s="416"/>
      <c r="M64" s="54" t="s">
        <v>404</v>
      </c>
      <c r="N64" s="416">
        <v>7</v>
      </c>
      <c r="O64" s="416"/>
      <c r="P64" s="425">
        <v>50</v>
      </c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3</v>
      </c>
      <c r="B65" s="423"/>
      <c r="C65" s="123" t="s">
        <v>118</v>
      </c>
      <c r="D65" s="265"/>
      <c r="E65" s="268" t="s">
        <v>117</v>
      </c>
      <c r="F65" s="424" t="s">
        <v>402</v>
      </c>
      <c r="G65" s="416"/>
      <c r="H65" s="416"/>
      <c r="I65" s="416"/>
      <c r="J65" s="416"/>
      <c r="K65" s="416" t="s">
        <v>242</v>
      </c>
      <c r="L65" s="416"/>
      <c r="M65" s="54" t="s">
        <v>404</v>
      </c>
      <c r="N65" s="416">
        <v>4</v>
      </c>
      <c r="O65" s="416"/>
      <c r="P65" s="425">
        <v>50</v>
      </c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4</v>
      </c>
      <c r="B66" s="423"/>
      <c r="C66" s="123" t="s">
        <v>118</v>
      </c>
      <c r="D66" s="265"/>
      <c r="E66" s="268" t="s">
        <v>119</v>
      </c>
      <c r="F66" s="424" t="s">
        <v>403</v>
      </c>
      <c r="G66" s="416"/>
      <c r="H66" s="416"/>
      <c r="I66" s="416"/>
      <c r="J66" s="416"/>
      <c r="K66" s="416" t="s">
        <v>121</v>
      </c>
      <c r="L66" s="416"/>
      <c r="M66" s="54" t="s">
        <v>404</v>
      </c>
      <c r="N66" s="416">
        <v>14</v>
      </c>
      <c r="O66" s="416"/>
      <c r="P66" s="425"/>
      <c r="Q66" s="425"/>
      <c r="R66" s="426" t="s">
        <v>406</v>
      </c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5</v>
      </c>
      <c r="B67" s="423"/>
      <c r="C67" s="123"/>
      <c r="D67" s="265"/>
      <c r="E67" s="268"/>
      <c r="F67" s="424"/>
      <c r="G67" s="416"/>
      <c r="H67" s="416"/>
      <c r="I67" s="416"/>
      <c r="J67" s="416"/>
      <c r="K67" s="416"/>
      <c r="L67" s="416"/>
      <c r="M67" s="54"/>
      <c r="N67" s="416"/>
      <c r="O67" s="416"/>
      <c r="P67" s="425"/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6</v>
      </c>
      <c r="B68" s="423"/>
      <c r="C68" s="123"/>
      <c r="D68" s="265"/>
      <c r="E68" s="268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7</v>
      </c>
      <c r="B69" s="423"/>
      <c r="C69" s="123"/>
      <c r="D69" s="265"/>
      <c r="E69" s="268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8</v>
      </c>
      <c r="B70" s="423"/>
      <c r="C70" s="123"/>
      <c r="D70" s="265"/>
      <c r="E70" s="268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6.25" customHeight="1" thickBot="1">
      <c r="A71" s="396" t="s">
        <v>407</v>
      </c>
      <c r="B71" s="396"/>
      <c r="C71" s="396"/>
      <c r="D71" s="396"/>
      <c r="E71" s="396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7" t="s">
        <v>113</v>
      </c>
      <c r="B72" s="398"/>
      <c r="C72" s="267" t="s">
        <v>2</v>
      </c>
      <c r="D72" s="267" t="s">
        <v>37</v>
      </c>
      <c r="E72" s="267" t="s">
        <v>3</v>
      </c>
      <c r="F72" s="398" t="s">
        <v>38</v>
      </c>
      <c r="G72" s="398"/>
      <c r="H72" s="398"/>
      <c r="I72" s="398"/>
      <c r="J72" s="398"/>
      <c r="K72" s="418" t="s">
        <v>58</v>
      </c>
      <c r="L72" s="419"/>
      <c r="M72" s="419"/>
      <c r="N72" s="419"/>
      <c r="O72" s="419"/>
      <c r="P72" s="419"/>
      <c r="Q72" s="419"/>
      <c r="R72" s="419"/>
      <c r="S72" s="420"/>
      <c r="T72" s="398" t="s">
        <v>49</v>
      </c>
      <c r="U72" s="398"/>
      <c r="V72" s="418" t="s">
        <v>50</v>
      </c>
      <c r="W72" s="420"/>
      <c r="X72" s="419" t="s">
        <v>51</v>
      </c>
      <c r="Y72" s="419"/>
      <c r="Z72" s="419"/>
      <c r="AA72" s="419"/>
      <c r="AB72" s="419"/>
      <c r="AC72" s="419"/>
      <c r="AD72" s="421"/>
      <c r="AF72" s="53"/>
    </row>
    <row r="73" spans="1:32" ht="33.75" customHeight="1">
      <c r="A73" s="390">
        <v>1</v>
      </c>
      <c r="B73" s="391"/>
      <c r="C73" s="266" t="s">
        <v>114</v>
      </c>
      <c r="D73" s="266"/>
      <c r="E73" s="71" t="s">
        <v>127</v>
      </c>
      <c r="F73" s="405" t="s">
        <v>126</v>
      </c>
      <c r="G73" s="406"/>
      <c r="H73" s="406"/>
      <c r="I73" s="406"/>
      <c r="J73" s="407"/>
      <c r="K73" s="408" t="s">
        <v>128</v>
      </c>
      <c r="L73" s="409"/>
      <c r="M73" s="409"/>
      <c r="N73" s="409"/>
      <c r="O73" s="409"/>
      <c r="P73" s="409"/>
      <c r="Q73" s="409"/>
      <c r="R73" s="409"/>
      <c r="S73" s="410"/>
      <c r="T73" s="411">
        <v>43384</v>
      </c>
      <c r="U73" s="412"/>
      <c r="V73" s="413"/>
      <c r="W73" s="413"/>
      <c r="X73" s="414"/>
      <c r="Y73" s="414"/>
      <c r="Z73" s="414"/>
      <c r="AA73" s="414"/>
      <c r="AB73" s="414"/>
      <c r="AC73" s="414"/>
      <c r="AD73" s="415"/>
      <c r="AF73" s="53"/>
    </row>
    <row r="74" spans="1:32" ht="30" customHeight="1">
      <c r="A74" s="383">
        <f>A73+1</f>
        <v>2</v>
      </c>
      <c r="B74" s="384"/>
      <c r="C74" s="265"/>
      <c r="D74" s="265"/>
      <c r="E74" s="35"/>
      <c r="F74" s="384"/>
      <c r="G74" s="384"/>
      <c r="H74" s="384"/>
      <c r="I74" s="384"/>
      <c r="J74" s="384"/>
      <c r="K74" s="399"/>
      <c r="L74" s="400"/>
      <c r="M74" s="400"/>
      <c r="N74" s="400"/>
      <c r="O74" s="400"/>
      <c r="P74" s="400"/>
      <c r="Q74" s="400"/>
      <c r="R74" s="400"/>
      <c r="S74" s="401"/>
      <c r="T74" s="402"/>
      <c r="U74" s="402"/>
      <c r="V74" s="402"/>
      <c r="W74" s="402"/>
      <c r="X74" s="403"/>
      <c r="Y74" s="403"/>
      <c r="Z74" s="403"/>
      <c r="AA74" s="403"/>
      <c r="AB74" s="403"/>
      <c r="AC74" s="403"/>
      <c r="AD74" s="404"/>
      <c r="AF74" s="53"/>
    </row>
    <row r="75" spans="1:32" ht="30" customHeight="1">
      <c r="A75" s="383">
        <f t="shared" ref="A75:A81" si="11">A74+1</f>
        <v>3</v>
      </c>
      <c r="B75" s="384"/>
      <c r="C75" s="265"/>
      <c r="D75" s="265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si="11"/>
        <v>4</v>
      </c>
      <c r="B76" s="384"/>
      <c r="C76" s="265"/>
      <c r="D76" s="265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1"/>
        <v>5</v>
      </c>
      <c r="B77" s="384"/>
      <c r="C77" s="265"/>
      <c r="D77" s="265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1"/>
        <v>6</v>
      </c>
      <c r="B78" s="384"/>
      <c r="C78" s="265"/>
      <c r="D78" s="265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1"/>
        <v>7</v>
      </c>
      <c r="B79" s="384"/>
      <c r="C79" s="265"/>
      <c r="D79" s="265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1"/>
        <v>8</v>
      </c>
      <c r="B80" s="384"/>
      <c r="C80" s="265"/>
      <c r="D80" s="265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1"/>
        <v>9</v>
      </c>
      <c r="B81" s="384"/>
      <c r="C81" s="265"/>
      <c r="D81" s="265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6" thickBot="1">
      <c r="A82" s="396" t="s">
        <v>408</v>
      </c>
      <c r="B82" s="396"/>
      <c r="C82" s="396"/>
      <c r="D82" s="396"/>
      <c r="E82" s="396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7" t="s">
        <v>113</v>
      </c>
      <c r="B83" s="398"/>
      <c r="C83" s="388" t="s">
        <v>52</v>
      </c>
      <c r="D83" s="388"/>
      <c r="E83" s="388" t="s">
        <v>53</v>
      </c>
      <c r="F83" s="388"/>
      <c r="G83" s="388"/>
      <c r="H83" s="388"/>
      <c r="I83" s="388"/>
      <c r="J83" s="388"/>
      <c r="K83" s="388" t="s">
        <v>54</v>
      </c>
      <c r="L83" s="388"/>
      <c r="M83" s="388"/>
      <c r="N83" s="388"/>
      <c r="O83" s="388"/>
      <c r="P83" s="388"/>
      <c r="Q83" s="388"/>
      <c r="R83" s="388"/>
      <c r="S83" s="388"/>
      <c r="T83" s="388" t="s">
        <v>55</v>
      </c>
      <c r="U83" s="388"/>
      <c r="V83" s="388" t="s">
        <v>56</v>
      </c>
      <c r="W83" s="388"/>
      <c r="X83" s="388"/>
      <c r="Y83" s="388" t="s">
        <v>51</v>
      </c>
      <c r="Z83" s="388"/>
      <c r="AA83" s="388"/>
      <c r="AB83" s="388"/>
      <c r="AC83" s="388"/>
      <c r="AD83" s="389"/>
      <c r="AF83" s="53"/>
    </row>
    <row r="84" spans="1:32" ht="30.75" customHeight="1">
      <c r="A84" s="390">
        <v>1</v>
      </c>
      <c r="B84" s="391"/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3"/>
      <c r="W84" s="393"/>
      <c r="X84" s="393"/>
      <c r="Y84" s="394"/>
      <c r="Z84" s="394"/>
      <c r="AA84" s="394"/>
      <c r="AB84" s="394"/>
      <c r="AC84" s="394"/>
      <c r="AD84" s="395"/>
      <c r="AF84" s="53"/>
    </row>
    <row r="85" spans="1:32" ht="30.75" customHeight="1">
      <c r="A85" s="383">
        <v>2</v>
      </c>
      <c r="B85" s="384"/>
      <c r="C85" s="385"/>
      <c r="D85" s="385"/>
      <c r="E85" s="385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6"/>
      <c r="U85" s="386"/>
      <c r="V85" s="387"/>
      <c r="W85" s="387"/>
      <c r="X85" s="387"/>
      <c r="Y85" s="376"/>
      <c r="Z85" s="376"/>
      <c r="AA85" s="376"/>
      <c r="AB85" s="376"/>
      <c r="AC85" s="376"/>
      <c r="AD85" s="377"/>
      <c r="AF85" s="53"/>
    </row>
    <row r="86" spans="1:32" ht="30.75" customHeight="1" thickBot="1">
      <c r="A86" s="378">
        <v>3</v>
      </c>
      <c r="B86" s="379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  <c r="X86" s="380"/>
      <c r="Y86" s="381"/>
      <c r="Z86" s="381"/>
      <c r="AA86" s="381"/>
      <c r="AB86" s="381"/>
      <c r="AC86" s="381"/>
      <c r="AD86" s="382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BA5A-4A71-40F1-812A-8E8D038F99E0}">
  <sheetPr>
    <pageSetUpPr fitToPage="1"/>
  </sheetPr>
  <dimension ref="A1:AF86"/>
  <sheetViews>
    <sheetView zoomScale="72" zoomScaleNormal="72" zoomScaleSheetLayoutView="70" workbookViewId="0">
      <selection activeCell="U12" sqref="U1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409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76" t="s">
        <v>17</v>
      </c>
      <c r="L5" s="276" t="s">
        <v>18</v>
      </c>
      <c r="M5" s="276" t="s">
        <v>19</v>
      </c>
      <c r="N5" s="27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0.25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0.25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123</v>
      </c>
      <c r="D8" s="55" t="s">
        <v>349</v>
      </c>
      <c r="E8" s="57" t="s">
        <v>350</v>
      </c>
      <c r="F8" s="33" t="s">
        <v>140</v>
      </c>
      <c r="G8" s="36" t="s">
        <v>240</v>
      </c>
      <c r="H8" s="38">
        <v>25</v>
      </c>
      <c r="I8" s="7">
        <v>3000</v>
      </c>
      <c r="J8" s="5">
        <v>793</v>
      </c>
      <c r="K8" s="15">
        <f>L8+2611+793</f>
        <v>3404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19</v>
      </c>
      <c r="R8" s="7"/>
      <c r="S8" s="6"/>
      <c r="T8" s="17"/>
      <c r="U8" s="17"/>
      <c r="V8" s="18"/>
      <c r="W8" s="19">
        <v>19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0.25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114</v>
      </c>
      <c r="D9" s="55" t="s">
        <v>127</v>
      </c>
      <c r="E9" s="57" t="s">
        <v>273</v>
      </c>
      <c r="F9" s="33" t="s">
        <v>121</v>
      </c>
      <c r="G9" s="36">
        <v>1</v>
      </c>
      <c r="H9" s="38">
        <v>24</v>
      </c>
      <c r="I9" s="7">
        <v>4000</v>
      </c>
      <c r="J9" s="14">
        <v>4267</v>
      </c>
      <c r="K9" s="15">
        <f>L9+4267</f>
        <v>4267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0.25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123</v>
      </c>
      <c r="D10" s="55" t="s">
        <v>119</v>
      </c>
      <c r="E10" s="57" t="s">
        <v>147</v>
      </c>
      <c r="F10" s="12" t="s">
        <v>121</v>
      </c>
      <c r="G10" s="12">
        <v>4</v>
      </c>
      <c r="H10" s="13">
        <v>25</v>
      </c>
      <c r="I10" s="7">
        <v>400000</v>
      </c>
      <c r="J10" s="14">
        <v>8370</v>
      </c>
      <c r="K10" s="15">
        <f>L10+23776+26072+26756+24764+18432+17192+18752+24536+24336+16996+23988+25708+23312+23400+25624+22984+10488+22848</f>
        <v>408334</v>
      </c>
      <c r="L10" s="15">
        <f>1483*4+2438</f>
        <v>8370</v>
      </c>
      <c r="M10" s="16">
        <f t="shared" si="0"/>
        <v>8370</v>
      </c>
      <c r="N10" s="16">
        <v>0</v>
      </c>
      <c r="O10" s="62">
        <f t="shared" si="1"/>
        <v>0</v>
      </c>
      <c r="P10" s="42">
        <f t="shared" si="2"/>
        <v>20</v>
      </c>
      <c r="Q10" s="43">
        <f t="shared" si="3"/>
        <v>4</v>
      </c>
      <c r="R10" s="7"/>
      <c r="S10" s="6"/>
      <c r="T10" s="17"/>
      <c r="U10" s="17"/>
      <c r="V10" s="18"/>
      <c r="W10" s="19">
        <v>4</v>
      </c>
      <c r="X10" s="17"/>
      <c r="Y10" s="20"/>
      <c r="Z10" s="20"/>
      <c r="AA10" s="21"/>
      <c r="AB10" s="8">
        <f t="shared" si="4"/>
        <v>1</v>
      </c>
      <c r="AC10" s="9">
        <f t="shared" si="5"/>
        <v>0.83333333333333337</v>
      </c>
      <c r="AD10" s="10">
        <f t="shared" si="6"/>
        <v>0.83333333333333337</v>
      </c>
      <c r="AE10" s="39">
        <f t="shared" si="7"/>
        <v>0.25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114</v>
      </c>
      <c r="D11" s="55" t="s">
        <v>134</v>
      </c>
      <c r="E11" s="57" t="s">
        <v>355</v>
      </c>
      <c r="F11" s="12" t="s">
        <v>361</v>
      </c>
      <c r="G11" s="12">
        <v>1</v>
      </c>
      <c r="H11" s="13">
        <v>25</v>
      </c>
      <c r="I11" s="7">
        <v>2000</v>
      </c>
      <c r="J11" s="14">
        <v>2201</v>
      </c>
      <c r="K11" s="15">
        <f>L11+1962+3055+2201</f>
        <v>7218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0.25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123</v>
      </c>
      <c r="D12" s="55" t="s">
        <v>292</v>
      </c>
      <c r="E12" s="57" t="s">
        <v>293</v>
      </c>
      <c r="F12" s="33" t="s">
        <v>116</v>
      </c>
      <c r="G12" s="36">
        <v>1</v>
      </c>
      <c r="H12" s="38">
        <v>24</v>
      </c>
      <c r="I12" s="7">
        <v>10000</v>
      </c>
      <c r="J12" s="14">
        <v>2837</v>
      </c>
      <c r="K12" s="15">
        <f>L12+1507+2959+3099+2837</f>
        <v>10402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0.25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117</v>
      </c>
      <c r="E13" s="57" t="s">
        <v>312</v>
      </c>
      <c r="F13" s="33" t="s">
        <v>242</v>
      </c>
      <c r="G13" s="36">
        <v>1</v>
      </c>
      <c r="H13" s="38">
        <v>24</v>
      </c>
      <c r="I13" s="7">
        <v>7000</v>
      </c>
      <c r="J13" s="14">
        <v>2961</v>
      </c>
      <c r="K13" s="15">
        <f>L13</f>
        <v>2961</v>
      </c>
      <c r="L13" s="15">
        <f>2114+847</f>
        <v>2961</v>
      </c>
      <c r="M13" s="16">
        <f t="shared" si="0"/>
        <v>2961</v>
      </c>
      <c r="N13" s="16">
        <v>0</v>
      </c>
      <c r="O13" s="62">
        <f t="shared" si="1"/>
        <v>0</v>
      </c>
      <c r="P13" s="42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1</v>
      </c>
      <c r="AC13" s="9" t="str">
        <f t="shared" si="5"/>
        <v>0</v>
      </c>
      <c r="AD13" s="10">
        <f t="shared" si="6"/>
        <v>0</v>
      </c>
      <c r="AE13" s="39">
        <f t="shared" si="7"/>
        <v>0.25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114</v>
      </c>
      <c r="D14" s="55" t="s">
        <v>117</v>
      </c>
      <c r="E14" s="57" t="s">
        <v>284</v>
      </c>
      <c r="F14" s="33" t="s">
        <v>352</v>
      </c>
      <c r="G14" s="36">
        <v>1</v>
      </c>
      <c r="H14" s="38">
        <v>25</v>
      </c>
      <c r="I14" s="7">
        <v>300</v>
      </c>
      <c r="J14" s="5">
        <v>375</v>
      </c>
      <c r="K14" s="15">
        <f>L14</f>
        <v>375</v>
      </c>
      <c r="L14" s="15">
        <v>375</v>
      </c>
      <c r="M14" s="16">
        <f t="shared" si="0"/>
        <v>375</v>
      </c>
      <c r="N14" s="16">
        <v>0</v>
      </c>
      <c r="O14" s="62">
        <f t="shared" si="1"/>
        <v>0</v>
      </c>
      <c r="P14" s="42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1</v>
      </c>
      <c r="AC14" s="9" t="str">
        <f t="shared" si="5"/>
        <v>0</v>
      </c>
      <c r="AD14" s="10">
        <f t="shared" si="6"/>
        <v>0</v>
      </c>
      <c r="AE14" s="39">
        <f t="shared" si="7"/>
        <v>0.25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123</v>
      </c>
      <c r="D15" s="55" t="s">
        <v>362</v>
      </c>
      <c r="E15" s="57" t="s">
        <v>334</v>
      </c>
      <c r="F15" s="12" t="s">
        <v>131</v>
      </c>
      <c r="G15" s="12">
        <v>1</v>
      </c>
      <c r="H15" s="13">
        <v>24</v>
      </c>
      <c r="I15" s="34">
        <v>12000</v>
      </c>
      <c r="J15" s="14">
        <v>2381</v>
      </c>
      <c r="K15" s="15">
        <f>L15+3042+7558+2381</f>
        <v>12981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0.25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11" t="s">
        <v>123</v>
      </c>
      <c r="D16" s="55" t="s">
        <v>227</v>
      </c>
      <c r="E16" s="57" t="s">
        <v>141</v>
      </c>
      <c r="F16" s="12" t="s">
        <v>121</v>
      </c>
      <c r="G16" s="12">
        <v>2</v>
      </c>
      <c r="H16" s="13">
        <v>25</v>
      </c>
      <c r="I16" s="7">
        <v>105000</v>
      </c>
      <c r="J16" s="14">
        <v>13010</v>
      </c>
      <c r="K16" s="15">
        <f>L16+9052+14066</f>
        <v>36128</v>
      </c>
      <c r="L16" s="15">
        <f>3601*2+2904*2</f>
        <v>13010</v>
      </c>
      <c r="M16" s="16">
        <f t="shared" si="0"/>
        <v>13010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1</v>
      </c>
      <c r="AD16" s="10">
        <f t="shared" si="6"/>
        <v>1</v>
      </c>
      <c r="AE16" s="39">
        <f t="shared" si="7"/>
        <v>0.25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123</v>
      </c>
      <c r="D17" s="55" t="s">
        <v>124</v>
      </c>
      <c r="E17" s="57" t="s">
        <v>148</v>
      </c>
      <c r="F17" s="12" t="s">
        <v>131</v>
      </c>
      <c r="G17" s="12">
        <v>4</v>
      </c>
      <c r="H17" s="13">
        <v>24</v>
      </c>
      <c r="I17" s="34">
        <v>400000</v>
      </c>
      <c r="J17" s="14">
        <v>22764</v>
      </c>
      <c r="K17" s="15">
        <f>L17+19964+21928+25296+24300+24768+24688+11104+18160+24312+25036+24132+25812+24196+24040+25580+23824+24452+25360</f>
        <v>439716</v>
      </c>
      <c r="L17" s="15">
        <f>2696*4+2995*4</f>
        <v>22764</v>
      </c>
      <c r="M17" s="16">
        <f t="shared" si="0"/>
        <v>22764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0.25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123</v>
      </c>
      <c r="D18" s="55" t="s">
        <v>117</v>
      </c>
      <c r="E18" s="57" t="s">
        <v>153</v>
      </c>
      <c r="F18" s="12" t="s">
        <v>129</v>
      </c>
      <c r="G18" s="36">
        <v>4</v>
      </c>
      <c r="H18" s="38">
        <v>24</v>
      </c>
      <c r="I18" s="7">
        <v>400000</v>
      </c>
      <c r="J18" s="5">
        <v>15876</v>
      </c>
      <c r="K18" s="15">
        <f>L18+12380+14384+22568+16460+13888+20848+20972+20888+19996+10224+14424+21632+20220+19704+9284+22304</f>
        <v>296052</v>
      </c>
      <c r="L18" s="15">
        <f>1528*4+2441*4</f>
        <v>15876</v>
      </c>
      <c r="M18" s="16">
        <f t="shared" si="0"/>
        <v>15876</v>
      </c>
      <c r="N18" s="16">
        <v>0</v>
      </c>
      <c r="O18" s="62">
        <f t="shared" si="1"/>
        <v>0</v>
      </c>
      <c r="P18" s="42">
        <f t="shared" si="2"/>
        <v>22</v>
      </c>
      <c r="Q18" s="43">
        <f t="shared" si="3"/>
        <v>2</v>
      </c>
      <c r="R18" s="7"/>
      <c r="S18" s="6">
        <v>2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0.91666666666666663</v>
      </c>
      <c r="AD18" s="10">
        <f>AC18*AB18*(1-O18)</f>
        <v>0.91666666666666663</v>
      </c>
      <c r="AE18" s="39">
        <f t="shared" si="7"/>
        <v>0.25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118</v>
      </c>
      <c r="D19" s="55" t="s">
        <v>119</v>
      </c>
      <c r="E19" s="57" t="s">
        <v>309</v>
      </c>
      <c r="F19" s="12" t="s">
        <v>310</v>
      </c>
      <c r="G19" s="36">
        <v>1</v>
      </c>
      <c r="H19" s="13">
        <v>24</v>
      </c>
      <c r="I19" s="7">
        <v>6000</v>
      </c>
      <c r="J19" s="14">
        <v>5637</v>
      </c>
      <c r="K19" s="15">
        <f>L19+2947+5418+4914+5367</f>
        <v>18646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0.25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133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L20+39648+30712+45256+43600+10476</f>
        <v>169692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0.25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1649300</v>
      </c>
      <c r="J21" s="22">
        <f t="shared" si="9"/>
        <v>91948</v>
      </c>
      <c r="K21" s="23">
        <f t="shared" si="9"/>
        <v>1410176</v>
      </c>
      <c r="L21" s="24">
        <f t="shared" si="9"/>
        <v>63356</v>
      </c>
      <c r="M21" s="23">
        <f t="shared" si="9"/>
        <v>63356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90</v>
      </c>
      <c r="Q21" s="46">
        <f t="shared" si="10"/>
        <v>265</v>
      </c>
      <c r="R21" s="26">
        <f t="shared" si="10"/>
        <v>24</v>
      </c>
      <c r="S21" s="27">
        <f t="shared" si="10"/>
        <v>2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239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</v>
      </c>
      <c r="AC21" s="4">
        <f>SUM(AC6:AC20)/15</f>
        <v>0.25</v>
      </c>
      <c r="AD21" s="4">
        <f>SUM(AD6:AD20)/15</f>
        <v>0.25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410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412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277" t="s">
        <v>46</v>
      </c>
      <c r="D50" s="277" t="s">
        <v>47</v>
      </c>
      <c r="E50" s="277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277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4" t="s">
        <v>123</v>
      </c>
      <c r="B51" s="435"/>
      <c r="C51" s="279" t="s">
        <v>166</v>
      </c>
      <c r="D51" s="279" t="s">
        <v>117</v>
      </c>
      <c r="E51" s="279" t="s">
        <v>366</v>
      </c>
      <c r="F51" s="445" t="s">
        <v>411</v>
      </c>
      <c r="G51" s="446"/>
      <c r="H51" s="446"/>
      <c r="I51" s="446"/>
      <c r="J51" s="446"/>
      <c r="K51" s="446"/>
      <c r="L51" s="446"/>
      <c r="M51" s="447"/>
      <c r="N51" s="278" t="s">
        <v>123</v>
      </c>
      <c r="O51" s="124" t="s">
        <v>166</v>
      </c>
      <c r="P51" s="443" t="s">
        <v>117</v>
      </c>
      <c r="Q51" s="444"/>
      <c r="R51" s="435" t="s">
        <v>366</v>
      </c>
      <c r="S51" s="435"/>
      <c r="T51" s="435"/>
      <c r="U51" s="435"/>
      <c r="V51" s="426" t="s">
        <v>207</v>
      </c>
      <c r="W51" s="426"/>
      <c r="X51" s="426"/>
      <c r="Y51" s="426"/>
      <c r="Z51" s="426"/>
      <c r="AA51" s="426"/>
      <c r="AB51" s="426"/>
      <c r="AC51" s="426"/>
      <c r="AD51" s="436"/>
    </row>
    <row r="52" spans="1:32" ht="27" customHeight="1">
      <c r="A52" s="434" t="s">
        <v>118</v>
      </c>
      <c r="B52" s="435"/>
      <c r="C52" s="279" t="s">
        <v>225</v>
      </c>
      <c r="D52" s="279" t="s">
        <v>117</v>
      </c>
      <c r="E52" s="279" t="s">
        <v>312</v>
      </c>
      <c r="F52" s="445" t="s">
        <v>171</v>
      </c>
      <c r="G52" s="446"/>
      <c r="H52" s="446"/>
      <c r="I52" s="446"/>
      <c r="J52" s="446"/>
      <c r="K52" s="446"/>
      <c r="L52" s="446"/>
      <c r="M52" s="447"/>
      <c r="N52" s="278" t="s">
        <v>118</v>
      </c>
      <c r="O52" s="124" t="s">
        <v>173</v>
      </c>
      <c r="P52" s="435" t="s">
        <v>120</v>
      </c>
      <c r="Q52" s="435"/>
      <c r="R52" s="435" t="s">
        <v>397</v>
      </c>
      <c r="S52" s="435"/>
      <c r="T52" s="435"/>
      <c r="U52" s="435"/>
      <c r="V52" s="426" t="s">
        <v>398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114</v>
      </c>
      <c r="B53" s="435"/>
      <c r="C53" s="279" t="s">
        <v>275</v>
      </c>
      <c r="D53" s="279" t="s">
        <v>117</v>
      </c>
      <c r="E53" s="279" t="s">
        <v>284</v>
      </c>
      <c r="F53" s="445" t="s">
        <v>171</v>
      </c>
      <c r="G53" s="446"/>
      <c r="H53" s="446"/>
      <c r="I53" s="446"/>
      <c r="J53" s="446"/>
      <c r="K53" s="446"/>
      <c r="L53" s="446"/>
      <c r="M53" s="447"/>
      <c r="N53" s="278" t="s">
        <v>115</v>
      </c>
      <c r="O53" s="124" t="s">
        <v>414</v>
      </c>
      <c r="P53" s="435"/>
      <c r="Q53" s="435"/>
      <c r="R53" s="435" t="s">
        <v>413</v>
      </c>
      <c r="S53" s="435"/>
      <c r="T53" s="435"/>
      <c r="U53" s="435"/>
      <c r="V53" s="426" t="s">
        <v>171</v>
      </c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/>
      <c r="B54" s="435"/>
      <c r="C54" s="279"/>
      <c r="D54" s="279"/>
      <c r="E54" s="279"/>
      <c r="F54" s="445"/>
      <c r="G54" s="446"/>
      <c r="H54" s="446"/>
      <c r="I54" s="446"/>
      <c r="J54" s="446"/>
      <c r="K54" s="446"/>
      <c r="L54" s="446"/>
      <c r="M54" s="447"/>
      <c r="N54" s="278"/>
      <c r="O54" s="124"/>
      <c r="P54" s="443"/>
      <c r="Q54" s="444"/>
      <c r="R54" s="435"/>
      <c r="S54" s="435"/>
      <c r="T54" s="435"/>
      <c r="U54" s="435"/>
      <c r="V54" s="426"/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/>
      <c r="B55" s="435"/>
      <c r="C55" s="279"/>
      <c r="D55" s="279"/>
      <c r="E55" s="279"/>
      <c r="F55" s="445"/>
      <c r="G55" s="446"/>
      <c r="H55" s="446"/>
      <c r="I55" s="446"/>
      <c r="J55" s="446"/>
      <c r="K55" s="446"/>
      <c r="L55" s="446"/>
      <c r="M55" s="447"/>
      <c r="N55" s="278"/>
      <c r="O55" s="124"/>
      <c r="P55" s="435"/>
      <c r="Q55" s="435"/>
      <c r="R55" s="435"/>
      <c r="S55" s="435"/>
      <c r="T55" s="435"/>
      <c r="U55" s="435"/>
      <c r="V55" s="426"/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279"/>
      <c r="D56" s="279"/>
      <c r="E56" s="279"/>
      <c r="F56" s="445"/>
      <c r="G56" s="446"/>
      <c r="H56" s="446"/>
      <c r="I56" s="446"/>
      <c r="J56" s="446"/>
      <c r="K56" s="446"/>
      <c r="L56" s="446"/>
      <c r="M56" s="447"/>
      <c r="N56" s="278"/>
      <c r="O56" s="124"/>
      <c r="P56" s="443"/>
      <c r="Q56" s="444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279"/>
      <c r="D57" s="279"/>
      <c r="E57" s="279"/>
      <c r="F57" s="445"/>
      <c r="G57" s="446"/>
      <c r="H57" s="446"/>
      <c r="I57" s="446"/>
      <c r="J57" s="446"/>
      <c r="K57" s="446"/>
      <c r="L57" s="446"/>
      <c r="M57" s="447"/>
      <c r="N57" s="278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279"/>
      <c r="D58" s="279"/>
      <c r="E58" s="279"/>
      <c r="F58" s="426"/>
      <c r="G58" s="426"/>
      <c r="H58" s="426"/>
      <c r="I58" s="426"/>
      <c r="J58" s="426"/>
      <c r="K58" s="426"/>
      <c r="L58" s="426"/>
      <c r="M58" s="436"/>
      <c r="N58" s="278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279"/>
      <c r="D59" s="279"/>
      <c r="E59" s="279"/>
      <c r="F59" s="445"/>
      <c r="G59" s="446"/>
      <c r="H59" s="446"/>
      <c r="I59" s="446"/>
      <c r="J59" s="446"/>
      <c r="K59" s="446"/>
      <c r="L59" s="446"/>
      <c r="M59" s="447"/>
      <c r="N59" s="278"/>
      <c r="O59" s="124"/>
      <c r="P59" s="435"/>
      <c r="Q59" s="435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  <c r="AF59" s="93">
        <f>8*3000</f>
        <v>24000</v>
      </c>
    </row>
    <row r="60" spans="1:32" ht="27" customHeight="1" thickBot="1">
      <c r="A60" s="437"/>
      <c r="B60" s="438"/>
      <c r="C60" s="281"/>
      <c r="D60" s="281"/>
      <c r="E60" s="281"/>
      <c r="F60" s="439"/>
      <c r="G60" s="439"/>
      <c r="H60" s="439"/>
      <c r="I60" s="439"/>
      <c r="J60" s="439"/>
      <c r="K60" s="439"/>
      <c r="L60" s="439"/>
      <c r="M60" s="440"/>
      <c r="N60" s="280"/>
      <c r="O60" s="120"/>
      <c r="P60" s="438"/>
      <c r="Q60" s="438"/>
      <c r="R60" s="438"/>
      <c r="S60" s="438"/>
      <c r="T60" s="438"/>
      <c r="U60" s="438"/>
      <c r="V60" s="441"/>
      <c r="W60" s="441"/>
      <c r="X60" s="441"/>
      <c r="Y60" s="441"/>
      <c r="Z60" s="441"/>
      <c r="AA60" s="441"/>
      <c r="AB60" s="441"/>
      <c r="AC60" s="441"/>
      <c r="AD60" s="442"/>
      <c r="AF60" s="93">
        <f>16*3000</f>
        <v>48000</v>
      </c>
    </row>
    <row r="61" spans="1:32" ht="27.75" thickBot="1">
      <c r="A61" s="432" t="s">
        <v>415</v>
      </c>
      <c r="B61" s="432"/>
      <c r="C61" s="432"/>
      <c r="D61" s="432"/>
      <c r="E61" s="43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3" t="s">
        <v>113</v>
      </c>
      <c r="B62" s="430"/>
      <c r="C62" s="282" t="s">
        <v>2</v>
      </c>
      <c r="D62" s="282" t="s">
        <v>37</v>
      </c>
      <c r="E62" s="282" t="s">
        <v>3</v>
      </c>
      <c r="F62" s="430" t="s">
        <v>110</v>
      </c>
      <c r="G62" s="430"/>
      <c r="H62" s="430"/>
      <c r="I62" s="430"/>
      <c r="J62" s="430"/>
      <c r="K62" s="430" t="s">
        <v>39</v>
      </c>
      <c r="L62" s="430"/>
      <c r="M62" s="282" t="s">
        <v>40</v>
      </c>
      <c r="N62" s="430" t="s">
        <v>41</v>
      </c>
      <c r="O62" s="430"/>
      <c r="P62" s="427" t="s">
        <v>42</v>
      </c>
      <c r="Q62" s="429"/>
      <c r="R62" s="427" t="s">
        <v>43</v>
      </c>
      <c r="S62" s="428"/>
      <c r="T62" s="428"/>
      <c r="U62" s="428"/>
      <c r="V62" s="428"/>
      <c r="W62" s="428"/>
      <c r="X62" s="428"/>
      <c r="Y62" s="428"/>
      <c r="Z62" s="428"/>
      <c r="AA62" s="429"/>
      <c r="AB62" s="430" t="s">
        <v>44</v>
      </c>
      <c r="AC62" s="430"/>
      <c r="AD62" s="431"/>
      <c r="AF62" s="93">
        <f>SUM(AF59:AF61)</f>
        <v>96000</v>
      </c>
    </row>
    <row r="63" spans="1:32" ht="25.5" customHeight="1">
      <c r="A63" s="422">
        <v>1</v>
      </c>
      <c r="B63" s="423"/>
      <c r="C63" s="123" t="s">
        <v>118</v>
      </c>
      <c r="D63" s="285"/>
      <c r="E63" s="283" t="s">
        <v>117</v>
      </c>
      <c r="F63" s="424" t="s">
        <v>416</v>
      </c>
      <c r="G63" s="416"/>
      <c r="H63" s="416"/>
      <c r="I63" s="416"/>
      <c r="J63" s="416"/>
      <c r="K63" s="416" t="s">
        <v>242</v>
      </c>
      <c r="L63" s="416"/>
      <c r="M63" s="54" t="s">
        <v>404</v>
      </c>
      <c r="N63" s="416">
        <v>4</v>
      </c>
      <c r="O63" s="416"/>
      <c r="P63" s="425">
        <v>50</v>
      </c>
      <c r="Q63" s="425"/>
      <c r="R63" s="426"/>
      <c r="S63" s="426"/>
      <c r="T63" s="426"/>
      <c r="U63" s="426"/>
      <c r="V63" s="426"/>
      <c r="W63" s="426"/>
      <c r="X63" s="426"/>
      <c r="Y63" s="426"/>
      <c r="Z63" s="426"/>
      <c r="AA63" s="426"/>
      <c r="AB63" s="416"/>
      <c r="AC63" s="416"/>
      <c r="AD63" s="417"/>
      <c r="AF63" s="53"/>
    </row>
    <row r="64" spans="1:32" ht="25.5" customHeight="1">
      <c r="A64" s="422">
        <v>2</v>
      </c>
      <c r="B64" s="423"/>
      <c r="C64" s="123" t="s">
        <v>114</v>
      </c>
      <c r="D64" s="285"/>
      <c r="E64" s="283" t="s">
        <v>124</v>
      </c>
      <c r="F64" s="424" t="s">
        <v>385</v>
      </c>
      <c r="G64" s="416"/>
      <c r="H64" s="416"/>
      <c r="I64" s="416"/>
      <c r="J64" s="416"/>
      <c r="K64" s="416" t="s">
        <v>252</v>
      </c>
      <c r="L64" s="416"/>
      <c r="M64" s="54" t="s">
        <v>404</v>
      </c>
      <c r="N64" s="416">
        <v>8</v>
      </c>
      <c r="O64" s="416"/>
      <c r="P64" s="425">
        <v>400</v>
      </c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3</v>
      </c>
      <c r="B65" s="423"/>
      <c r="C65" s="123" t="s">
        <v>114</v>
      </c>
      <c r="D65" s="285"/>
      <c r="E65" s="283" t="s">
        <v>341</v>
      </c>
      <c r="F65" s="424" t="s">
        <v>386</v>
      </c>
      <c r="G65" s="416"/>
      <c r="H65" s="416"/>
      <c r="I65" s="416"/>
      <c r="J65" s="416"/>
      <c r="K65" s="416" t="s">
        <v>342</v>
      </c>
      <c r="L65" s="416"/>
      <c r="M65" s="54" t="s">
        <v>404</v>
      </c>
      <c r="N65" s="416">
        <v>7</v>
      </c>
      <c r="O65" s="416"/>
      <c r="P65" s="425">
        <v>200</v>
      </c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4</v>
      </c>
      <c r="B66" s="423"/>
      <c r="C66" s="123" t="s">
        <v>118</v>
      </c>
      <c r="D66" s="285"/>
      <c r="E66" s="283" t="s">
        <v>119</v>
      </c>
      <c r="F66" s="424" t="s">
        <v>403</v>
      </c>
      <c r="G66" s="416"/>
      <c r="H66" s="416"/>
      <c r="I66" s="416"/>
      <c r="J66" s="416"/>
      <c r="K66" s="416" t="s">
        <v>121</v>
      </c>
      <c r="L66" s="416"/>
      <c r="M66" s="54" t="s">
        <v>404</v>
      </c>
      <c r="N66" s="416">
        <v>14</v>
      </c>
      <c r="O66" s="416"/>
      <c r="P66" s="425">
        <v>100</v>
      </c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5</v>
      </c>
      <c r="B67" s="423"/>
      <c r="C67" s="123" t="s">
        <v>118</v>
      </c>
      <c r="D67" s="285"/>
      <c r="E67" s="283" t="s">
        <v>120</v>
      </c>
      <c r="F67" s="424" t="s">
        <v>417</v>
      </c>
      <c r="G67" s="416"/>
      <c r="H67" s="416"/>
      <c r="I67" s="416"/>
      <c r="J67" s="416"/>
      <c r="K67" s="416" t="s">
        <v>187</v>
      </c>
      <c r="L67" s="416"/>
      <c r="M67" s="54" t="s">
        <v>404</v>
      </c>
      <c r="N67" s="416">
        <v>4</v>
      </c>
      <c r="O67" s="416"/>
      <c r="P67" s="425">
        <v>50</v>
      </c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6</v>
      </c>
      <c r="B68" s="423"/>
      <c r="C68" s="123" t="s">
        <v>118</v>
      </c>
      <c r="D68" s="285"/>
      <c r="E68" s="283" t="s">
        <v>120</v>
      </c>
      <c r="F68" s="424" t="s">
        <v>418</v>
      </c>
      <c r="G68" s="416"/>
      <c r="H68" s="416"/>
      <c r="I68" s="416"/>
      <c r="J68" s="416"/>
      <c r="K68" s="416" t="s">
        <v>187</v>
      </c>
      <c r="L68" s="416"/>
      <c r="M68" s="54" t="s">
        <v>404</v>
      </c>
      <c r="N68" s="416">
        <v>4</v>
      </c>
      <c r="O68" s="416"/>
      <c r="P68" s="425">
        <v>50</v>
      </c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7</v>
      </c>
      <c r="B69" s="423"/>
      <c r="C69" s="123" t="s">
        <v>118</v>
      </c>
      <c r="D69" s="285"/>
      <c r="E69" s="283" t="s">
        <v>120</v>
      </c>
      <c r="F69" s="424" t="s">
        <v>397</v>
      </c>
      <c r="G69" s="416"/>
      <c r="H69" s="416"/>
      <c r="I69" s="416"/>
      <c r="J69" s="416"/>
      <c r="K69" s="416" t="s">
        <v>187</v>
      </c>
      <c r="L69" s="416"/>
      <c r="M69" s="54" t="s">
        <v>197</v>
      </c>
      <c r="N69" s="416">
        <v>7</v>
      </c>
      <c r="O69" s="416"/>
      <c r="P69" s="425"/>
      <c r="Q69" s="425"/>
      <c r="R69" s="426" t="s">
        <v>419</v>
      </c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8</v>
      </c>
      <c r="B70" s="423"/>
      <c r="C70" s="123"/>
      <c r="D70" s="285"/>
      <c r="E70" s="283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6.25" customHeight="1" thickBot="1">
      <c r="A71" s="396" t="s">
        <v>420</v>
      </c>
      <c r="B71" s="396"/>
      <c r="C71" s="396"/>
      <c r="D71" s="396"/>
      <c r="E71" s="396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7" t="s">
        <v>113</v>
      </c>
      <c r="B72" s="398"/>
      <c r="C72" s="284" t="s">
        <v>2</v>
      </c>
      <c r="D72" s="284" t="s">
        <v>37</v>
      </c>
      <c r="E72" s="284" t="s">
        <v>3</v>
      </c>
      <c r="F72" s="398" t="s">
        <v>38</v>
      </c>
      <c r="G72" s="398"/>
      <c r="H72" s="398"/>
      <c r="I72" s="398"/>
      <c r="J72" s="398"/>
      <c r="K72" s="418" t="s">
        <v>58</v>
      </c>
      <c r="L72" s="419"/>
      <c r="M72" s="419"/>
      <c r="N72" s="419"/>
      <c r="O72" s="419"/>
      <c r="P72" s="419"/>
      <c r="Q72" s="419"/>
      <c r="R72" s="419"/>
      <c r="S72" s="420"/>
      <c r="T72" s="398" t="s">
        <v>49</v>
      </c>
      <c r="U72" s="398"/>
      <c r="V72" s="418" t="s">
        <v>50</v>
      </c>
      <c r="W72" s="420"/>
      <c r="X72" s="419" t="s">
        <v>51</v>
      </c>
      <c r="Y72" s="419"/>
      <c r="Z72" s="419"/>
      <c r="AA72" s="419"/>
      <c r="AB72" s="419"/>
      <c r="AC72" s="419"/>
      <c r="AD72" s="421"/>
      <c r="AF72" s="53"/>
    </row>
    <row r="73" spans="1:32" ht="33.75" customHeight="1">
      <c r="A73" s="390">
        <v>1</v>
      </c>
      <c r="B73" s="391"/>
      <c r="C73" s="286" t="s">
        <v>114</v>
      </c>
      <c r="D73" s="286"/>
      <c r="E73" s="71" t="s">
        <v>127</v>
      </c>
      <c r="F73" s="405" t="s">
        <v>126</v>
      </c>
      <c r="G73" s="406"/>
      <c r="H73" s="406"/>
      <c r="I73" s="406"/>
      <c r="J73" s="407"/>
      <c r="K73" s="408" t="s">
        <v>128</v>
      </c>
      <c r="L73" s="409"/>
      <c r="M73" s="409"/>
      <c r="N73" s="409"/>
      <c r="O73" s="409"/>
      <c r="P73" s="409"/>
      <c r="Q73" s="409"/>
      <c r="R73" s="409"/>
      <c r="S73" s="410"/>
      <c r="T73" s="411">
        <v>43384</v>
      </c>
      <c r="U73" s="412"/>
      <c r="V73" s="413"/>
      <c r="W73" s="413"/>
      <c r="X73" s="414"/>
      <c r="Y73" s="414"/>
      <c r="Z73" s="414"/>
      <c r="AA73" s="414"/>
      <c r="AB73" s="414"/>
      <c r="AC73" s="414"/>
      <c r="AD73" s="415"/>
      <c r="AF73" s="53"/>
    </row>
    <row r="74" spans="1:32" ht="30" customHeight="1">
      <c r="A74" s="383">
        <f>A73+1</f>
        <v>2</v>
      </c>
      <c r="B74" s="384"/>
      <c r="C74" s="285"/>
      <c r="D74" s="285"/>
      <c r="E74" s="35"/>
      <c r="F74" s="384"/>
      <c r="G74" s="384"/>
      <c r="H74" s="384"/>
      <c r="I74" s="384"/>
      <c r="J74" s="384"/>
      <c r="K74" s="399"/>
      <c r="L74" s="400"/>
      <c r="M74" s="400"/>
      <c r="N74" s="400"/>
      <c r="O74" s="400"/>
      <c r="P74" s="400"/>
      <c r="Q74" s="400"/>
      <c r="R74" s="400"/>
      <c r="S74" s="401"/>
      <c r="T74" s="402"/>
      <c r="U74" s="402"/>
      <c r="V74" s="402"/>
      <c r="W74" s="402"/>
      <c r="X74" s="403"/>
      <c r="Y74" s="403"/>
      <c r="Z74" s="403"/>
      <c r="AA74" s="403"/>
      <c r="AB74" s="403"/>
      <c r="AC74" s="403"/>
      <c r="AD74" s="404"/>
      <c r="AF74" s="53"/>
    </row>
    <row r="75" spans="1:32" ht="30" customHeight="1">
      <c r="A75" s="383">
        <f t="shared" ref="A75:A81" si="11">A74+1</f>
        <v>3</v>
      </c>
      <c r="B75" s="384"/>
      <c r="C75" s="285"/>
      <c r="D75" s="285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si="11"/>
        <v>4</v>
      </c>
      <c r="B76" s="384"/>
      <c r="C76" s="285"/>
      <c r="D76" s="285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1"/>
        <v>5</v>
      </c>
      <c r="B77" s="384"/>
      <c r="C77" s="285"/>
      <c r="D77" s="285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1"/>
        <v>6</v>
      </c>
      <c r="B78" s="384"/>
      <c r="C78" s="285"/>
      <c r="D78" s="285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1"/>
        <v>7</v>
      </c>
      <c r="B79" s="384"/>
      <c r="C79" s="285"/>
      <c r="D79" s="285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1"/>
        <v>8</v>
      </c>
      <c r="B80" s="384"/>
      <c r="C80" s="285"/>
      <c r="D80" s="285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1"/>
        <v>9</v>
      </c>
      <c r="B81" s="384"/>
      <c r="C81" s="285"/>
      <c r="D81" s="285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6" thickBot="1">
      <c r="A82" s="396" t="s">
        <v>421</v>
      </c>
      <c r="B82" s="396"/>
      <c r="C82" s="396"/>
      <c r="D82" s="396"/>
      <c r="E82" s="396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7" t="s">
        <v>113</v>
      </c>
      <c r="B83" s="398"/>
      <c r="C83" s="388" t="s">
        <v>52</v>
      </c>
      <c r="D83" s="388"/>
      <c r="E83" s="388" t="s">
        <v>53</v>
      </c>
      <c r="F83" s="388"/>
      <c r="G83" s="388"/>
      <c r="H83" s="388"/>
      <c r="I83" s="388"/>
      <c r="J83" s="388"/>
      <c r="K83" s="388" t="s">
        <v>54</v>
      </c>
      <c r="L83" s="388"/>
      <c r="M83" s="388"/>
      <c r="N83" s="388"/>
      <c r="O83" s="388"/>
      <c r="P83" s="388"/>
      <c r="Q83" s="388"/>
      <c r="R83" s="388"/>
      <c r="S83" s="388"/>
      <c r="T83" s="388" t="s">
        <v>55</v>
      </c>
      <c r="U83" s="388"/>
      <c r="V83" s="388" t="s">
        <v>56</v>
      </c>
      <c r="W83" s="388"/>
      <c r="X83" s="388"/>
      <c r="Y83" s="388" t="s">
        <v>51</v>
      </c>
      <c r="Z83" s="388"/>
      <c r="AA83" s="388"/>
      <c r="AB83" s="388"/>
      <c r="AC83" s="388"/>
      <c r="AD83" s="389"/>
      <c r="AF83" s="53"/>
    </row>
    <row r="84" spans="1:32" ht="30.75" customHeight="1">
      <c r="A84" s="390">
        <v>1</v>
      </c>
      <c r="B84" s="391"/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3"/>
      <c r="W84" s="393"/>
      <c r="X84" s="393"/>
      <c r="Y84" s="394"/>
      <c r="Z84" s="394"/>
      <c r="AA84" s="394"/>
      <c r="AB84" s="394"/>
      <c r="AC84" s="394"/>
      <c r="AD84" s="395"/>
      <c r="AF84" s="53"/>
    </row>
    <row r="85" spans="1:32" ht="30.75" customHeight="1">
      <c r="A85" s="383">
        <v>2</v>
      </c>
      <c r="B85" s="384"/>
      <c r="C85" s="385"/>
      <c r="D85" s="385"/>
      <c r="E85" s="385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6"/>
      <c r="U85" s="386"/>
      <c r="V85" s="387"/>
      <c r="W85" s="387"/>
      <c r="X85" s="387"/>
      <c r="Y85" s="376"/>
      <c r="Z85" s="376"/>
      <c r="AA85" s="376"/>
      <c r="AB85" s="376"/>
      <c r="AC85" s="376"/>
      <c r="AD85" s="377"/>
      <c r="AF85" s="53"/>
    </row>
    <row r="86" spans="1:32" ht="30.75" customHeight="1" thickBot="1">
      <c r="A86" s="378">
        <v>3</v>
      </c>
      <c r="B86" s="379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  <c r="X86" s="380"/>
      <c r="Y86" s="381"/>
      <c r="Z86" s="381"/>
      <c r="AA86" s="381"/>
      <c r="AB86" s="381"/>
      <c r="AC86" s="381"/>
      <c r="AD86" s="382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540A-B9C8-4923-B460-9FAD9DDF3EF4}">
  <sheetPr>
    <pageSetUpPr fitToPage="1"/>
  </sheetPr>
  <dimension ref="A1:AF86"/>
  <sheetViews>
    <sheetView zoomScale="72" zoomScaleNormal="72" zoomScaleSheetLayoutView="70" workbookViewId="0">
      <selection activeCell="L11" sqref="L11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422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97" t="s">
        <v>17</v>
      </c>
      <c r="L5" s="297" t="s">
        <v>18</v>
      </c>
      <c r="M5" s="297" t="s">
        <v>19</v>
      </c>
      <c r="N5" s="29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0.2388888888888889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0.2388888888888889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123</v>
      </c>
      <c r="D8" s="55" t="s">
        <v>349</v>
      </c>
      <c r="E8" s="57" t="s">
        <v>350</v>
      </c>
      <c r="F8" s="33" t="s">
        <v>140</v>
      </c>
      <c r="G8" s="36" t="s">
        <v>240</v>
      </c>
      <c r="H8" s="38">
        <v>25</v>
      </c>
      <c r="I8" s="7">
        <v>3000</v>
      </c>
      <c r="J8" s="5">
        <v>793</v>
      </c>
      <c r="K8" s="15">
        <f>L8+2611+793</f>
        <v>3404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0.2388888888888889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114</v>
      </c>
      <c r="D9" s="55" t="s">
        <v>127</v>
      </c>
      <c r="E9" s="57" t="s">
        <v>273</v>
      </c>
      <c r="F9" s="33" t="s">
        <v>121</v>
      </c>
      <c r="G9" s="36">
        <v>1</v>
      </c>
      <c r="H9" s="38">
        <v>24</v>
      </c>
      <c r="I9" s="7">
        <v>4000</v>
      </c>
      <c r="J9" s="14">
        <v>4267</v>
      </c>
      <c r="K9" s="15">
        <f>L9+4267</f>
        <v>4267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0.2388888888888889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123</v>
      </c>
      <c r="D10" s="55" t="s">
        <v>119</v>
      </c>
      <c r="E10" s="57" t="s">
        <v>147</v>
      </c>
      <c r="F10" s="12" t="s">
        <v>121</v>
      </c>
      <c r="G10" s="12">
        <v>4</v>
      </c>
      <c r="H10" s="13">
        <v>25</v>
      </c>
      <c r="I10" s="7">
        <v>400000</v>
      </c>
      <c r="J10" s="14">
        <v>8370</v>
      </c>
      <c r="K10" s="15">
        <f>L10+23776+26072+26756+24764+18432+17192+18752+24536+24336+16996+23988+25708+23312+23400+25624+22984+10488+22848+8370</f>
        <v>408334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0.2388888888888889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114</v>
      </c>
      <c r="D11" s="55" t="s">
        <v>134</v>
      </c>
      <c r="E11" s="57" t="s">
        <v>355</v>
      </c>
      <c r="F11" s="12" t="s">
        <v>361</v>
      </c>
      <c r="G11" s="12">
        <v>1</v>
      </c>
      <c r="H11" s="13">
        <v>25</v>
      </c>
      <c r="I11" s="7">
        <v>2000</v>
      </c>
      <c r="J11" s="14">
        <v>2201</v>
      </c>
      <c r="K11" s="15">
        <f>L11+1962+3055+2201</f>
        <v>7218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0.2388888888888889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397</v>
      </c>
      <c r="F12" s="33" t="s">
        <v>187</v>
      </c>
      <c r="G12" s="36">
        <v>1</v>
      </c>
      <c r="H12" s="38">
        <v>24</v>
      </c>
      <c r="I12" s="7">
        <v>7000</v>
      </c>
      <c r="J12" s="14">
        <v>1005</v>
      </c>
      <c r="K12" s="15">
        <f>L12</f>
        <v>1005</v>
      </c>
      <c r="L12" s="15">
        <f>677+328</f>
        <v>1005</v>
      </c>
      <c r="M12" s="16">
        <f t="shared" si="0"/>
        <v>1005</v>
      </c>
      <c r="N12" s="16">
        <v>0</v>
      </c>
      <c r="O12" s="62">
        <f t="shared" si="1"/>
        <v>0</v>
      </c>
      <c r="P12" s="42">
        <f t="shared" si="2"/>
        <v>7</v>
      </c>
      <c r="Q12" s="43">
        <f t="shared" si="3"/>
        <v>17</v>
      </c>
      <c r="R12" s="7"/>
      <c r="S12" s="6">
        <v>17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0.29166666666666669</v>
      </c>
      <c r="AD12" s="10">
        <f t="shared" si="6"/>
        <v>0.29166666666666669</v>
      </c>
      <c r="AE12" s="39">
        <f t="shared" si="7"/>
        <v>0.2388888888888889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117</v>
      </c>
      <c r="E13" s="57" t="s">
        <v>312</v>
      </c>
      <c r="F13" s="33" t="s">
        <v>242</v>
      </c>
      <c r="G13" s="36">
        <v>1</v>
      </c>
      <c r="H13" s="38">
        <v>24</v>
      </c>
      <c r="I13" s="7">
        <v>7000</v>
      </c>
      <c r="J13" s="14">
        <v>3418</v>
      </c>
      <c r="K13" s="15">
        <f>L13+2961</f>
        <v>6379</v>
      </c>
      <c r="L13" s="15">
        <f>2558+860</f>
        <v>3418</v>
      </c>
      <c r="M13" s="16">
        <f t="shared" si="0"/>
        <v>3418</v>
      </c>
      <c r="N13" s="16">
        <v>0</v>
      </c>
      <c r="O13" s="62">
        <f t="shared" si="1"/>
        <v>0</v>
      </c>
      <c r="P13" s="42">
        <f t="shared" si="2"/>
        <v>20</v>
      </c>
      <c r="Q13" s="43">
        <f t="shared" si="3"/>
        <v>4</v>
      </c>
      <c r="R13" s="7"/>
      <c r="S13" s="6">
        <v>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0.83333333333333337</v>
      </c>
      <c r="AD13" s="10">
        <f t="shared" si="6"/>
        <v>0.83333333333333337</v>
      </c>
      <c r="AE13" s="39">
        <f t="shared" si="7"/>
        <v>0.2388888888888889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114</v>
      </c>
      <c r="D14" s="55" t="s">
        <v>117</v>
      </c>
      <c r="E14" s="57" t="s">
        <v>284</v>
      </c>
      <c r="F14" s="33" t="s">
        <v>352</v>
      </c>
      <c r="G14" s="36">
        <v>1</v>
      </c>
      <c r="H14" s="38">
        <v>25</v>
      </c>
      <c r="I14" s="7">
        <v>300</v>
      </c>
      <c r="J14" s="5">
        <v>375</v>
      </c>
      <c r="K14" s="15">
        <f>L14+375</f>
        <v>375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0.2388888888888889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123</v>
      </c>
      <c r="D15" s="55" t="s">
        <v>362</v>
      </c>
      <c r="E15" s="57" t="s">
        <v>334</v>
      </c>
      <c r="F15" s="12" t="s">
        <v>131</v>
      </c>
      <c r="G15" s="12">
        <v>1</v>
      </c>
      <c r="H15" s="13">
        <v>24</v>
      </c>
      <c r="I15" s="34">
        <v>12000</v>
      </c>
      <c r="J15" s="14">
        <v>2381</v>
      </c>
      <c r="K15" s="15">
        <f>L15+3042+7558+2381</f>
        <v>12981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0.2388888888888889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11" t="s">
        <v>123</v>
      </c>
      <c r="D16" s="55" t="s">
        <v>227</v>
      </c>
      <c r="E16" s="57" t="s">
        <v>141</v>
      </c>
      <c r="F16" s="12" t="s">
        <v>121</v>
      </c>
      <c r="G16" s="12">
        <v>2</v>
      </c>
      <c r="H16" s="13">
        <v>25</v>
      </c>
      <c r="I16" s="7">
        <v>105000</v>
      </c>
      <c r="J16" s="14">
        <v>14610</v>
      </c>
      <c r="K16" s="15">
        <f>L16+9052+14066+13010</f>
        <v>50738</v>
      </c>
      <c r="L16" s="15">
        <f>3959*2+3346*2</f>
        <v>14610</v>
      </c>
      <c r="M16" s="16">
        <f t="shared" si="0"/>
        <v>14610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1</v>
      </c>
      <c r="AD16" s="10">
        <f t="shared" si="6"/>
        <v>1</v>
      </c>
      <c r="AE16" s="39">
        <f t="shared" si="7"/>
        <v>0.2388888888888889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123</v>
      </c>
      <c r="D17" s="55" t="s">
        <v>124</v>
      </c>
      <c r="E17" s="57" t="s">
        <v>148</v>
      </c>
      <c r="F17" s="12" t="s">
        <v>131</v>
      </c>
      <c r="G17" s="12">
        <v>4</v>
      </c>
      <c r="H17" s="13">
        <v>24</v>
      </c>
      <c r="I17" s="34">
        <v>400000</v>
      </c>
      <c r="J17" s="14">
        <v>22764</v>
      </c>
      <c r="K17" s="15">
        <f>L17+19964+21928+25296+24300+24768+24688+11104+18160+24312+25036+24132+25812+24196+24040+25580+23824+24452+25360+22764</f>
        <v>439716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0.2388888888888889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123</v>
      </c>
      <c r="D18" s="55" t="s">
        <v>117</v>
      </c>
      <c r="E18" s="57" t="s">
        <v>153</v>
      </c>
      <c r="F18" s="12" t="s">
        <v>129</v>
      </c>
      <c r="G18" s="36">
        <v>4</v>
      </c>
      <c r="H18" s="38">
        <v>24</v>
      </c>
      <c r="I18" s="7">
        <v>400000</v>
      </c>
      <c r="J18" s="5">
        <v>16404</v>
      </c>
      <c r="K18" s="15">
        <f>L18+12380+14384+22568+16460+13888+20848+20972+20888+19996+10224+14424+21632+20220+19704+9284+22304+15876</f>
        <v>312456</v>
      </c>
      <c r="L18" s="15">
        <f>2159*4+1942*4</f>
        <v>16404</v>
      </c>
      <c r="M18" s="16">
        <f t="shared" si="0"/>
        <v>16404</v>
      </c>
      <c r="N18" s="16">
        <v>0</v>
      </c>
      <c r="O18" s="62">
        <f t="shared" si="1"/>
        <v>0</v>
      </c>
      <c r="P18" s="42">
        <f t="shared" si="2"/>
        <v>23</v>
      </c>
      <c r="Q18" s="43">
        <f t="shared" si="3"/>
        <v>1</v>
      </c>
      <c r="R18" s="7"/>
      <c r="S18" s="6">
        <v>1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0.95833333333333337</v>
      </c>
      <c r="AD18" s="10">
        <f>AC18*AB18*(1-O18)</f>
        <v>0.95833333333333337</v>
      </c>
      <c r="AE18" s="39">
        <f t="shared" si="7"/>
        <v>0.2388888888888889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118</v>
      </c>
      <c r="D19" s="55" t="s">
        <v>119</v>
      </c>
      <c r="E19" s="57" t="s">
        <v>309</v>
      </c>
      <c r="F19" s="12" t="s">
        <v>310</v>
      </c>
      <c r="G19" s="36">
        <v>1</v>
      </c>
      <c r="H19" s="13">
        <v>24</v>
      </c>
      <c r="I19" s="7">
        <v>6000</v>
      </c>
      <c r="J19" s="14">
        <v>5637</v>
      </c>
      <c r="K19" s="15">
        <f>L19+2947+5418+4914+5367</f>
        <v>18646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0.2388888888888889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423</v>
      </c>
      <c r="F20" s="12" t="s">
        <v>116</v>
      </c>
      <c r="G20" s="12">
        <v>4</v>
      </c>
      <c r="H20" s="38">
        <v>20</v>
      </c>
      <c r="I20" s="7">
        <v>100000</v>
      </c>
      <c r="J20" s="14">
        <v>10712</v>
      </c>
      <c r="K20" s="15">
        <f>L20</f>
        <v>10712</v>
      </c>
      <c r="L20" s="15">
        <f>2678*4</f>
        <v>10712</v>
      </c>
      <c r="M20" s="16">
        <f t="shared" si="0"/>
        <v>10712</v>
      </c>
      <c r="N20" s="16">
        <v>0</v>
      </c>
      <c r="O20" s="62">
        <f t="shared" si="1"/>
        <v>0</v>
      </c>
      <c r="P20" s="42">
        <f t="shared" si="2"/>
        <v>12</v>
      </c>
      <c r="Q20" s="43">
        <f t="shared" si="3"/>
        <v>12</v>
      </c>
      <c r="R20" s="7">
        <v>8</v>
      </c>
      <c r="S20" s="6"/>
      <c r="T20" s="17"/>
      <c r="U20" s="17"/>
      <c r="V20" s="18">
        <v>4</v>
      </c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0.5</v>
      </c>
      <c r="AD20" s="10">
        <f t="shared" si="6"/>
        <v>0.5</v>
      </c>
      <c r="AE20" s="39">
        <f t="shared" si="7"/>
        <v>0.2388888888888889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1446300</v>
      </c>
      <c r="J21" s="22">
        <f t="shared" si="9"/>
        <v>92937</v>
      </c>
      <c r="K21" s="23">
        <f t="shared" si="9"/>
        <v>1276231</v>
      </c>
      <c r="L21" s="24">
        <f t="shared" si="9"/>
        <v>46149</v>
      </c>
      <c r="M21" s="23">
        <f t="shared" si="9"/>
        <v>46149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86</v>
      </c>
      <c r="Q21" s="46">
        <f t="shared" si="10"/>
        <v>274</v>
      </c>
      <c r="R21" s="26">
        <f t="shared" si="10"/>
        <v>32</v>
      </c>
      <c r="S21" s="27">
        <f t="shared" si="10"/>
        <v>22</v>
      </c>
      <c r="T21" s="27">
        <f t="shared" si="10"/>
        <v>0</v>
      </c>
      <c r="U21" s="27">
        <f t="shared" si="10"/>
        <v>0</v>
      </c>
      <c r="V21" s="28">
        <f t="shared" si="10"/>
        <v>4</v>
      </c>
      <c r="W21" s="29">
        <f t="shared" si="10"/>
        <v>216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0.33333333333333331</v>
      </c>
      <c r="AC21" s="4">
        <f>SUM(AC6:AC20)/15</f>
        <v>0.2388888888888889</v>
      </c>
      <c r="AD21" s="4">
        <f>SUM(AD6:AD20)/15</f>
        <v>0.2388888888888889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424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426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296" t="s">
        <v>46</v>
      </c>
      <c r="D50" s="296" t="s">
        <v>47</v>
      </c>
      <c r="E50" s="296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296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4" t="s">
        <v>123</v>
      </c>
      <c r="B51" s="435"/>
      <c r="C51" s="293" t="s">
        <v>166</v>
      </c>
      <c r="D51" s="293" t="s">
        <v>117</v>
      </c>
      <c r="E51" s="293" t="s">
        <v>366</v>
      </c>
      <c r="F51" s="445" t="s">
        <v>427</v>
      </c>
      <c r="G51" s="446"/>
      <c r="H51" s="446"/>
      <c r="I51" s="446"/>
      <c r="J51" s="446"/>
      <c r="K51" s="446"/>
      <c r="L51" s="446"/>
      <c r="M51" s="447"/>
      <c r="N51" s="292" t="s">
        <v>123</v>
      </c>
      <c r="O51" s="124" t="s">
        <v>166</v>
      </c>
      <c r="P51" s="443" t="s">
        <v>117</v>
      </c>
      <c r="Q51" s="444"/>
      <c r="R51" s="435" t="s">
        <v>366</v>
      </c>
      <c r="S51" s="435"/>
      <c r="T51" s="435"/>
      <c r="U51" s="435"/>
      <c r="V51" s="426" t="s">
        <v>207</v>
      </c>
      <c r="W51" s="426"/>
      <c r="X51" s="426"/>
      <c r="Y51" s="426"/>
      <c r="Z51" s="426"/>
      <c r="AA51" s="426"/>
      <c r="AB51" s="426"/>
      <c r="AC51" s="426"/>
      <c r="AD51" s="436"/>
    </row>
    <row r="52" spans="1:32" ht="27" customHeight="1">
      <c r="A52" s="434" t="s">
        <v>118</v>
      </c>
      <c r="B52" s="435"/>
      <c r="C52" s="293" t="s">
        <v>225</v>
      </c>
      <c r="D52" s="293" t="s">
        <v>117</v>
      </c>
      <c r="E52" s="293" t="s">
        <v>312</v>
      </c>
      <c r="F52" s="445" t="s">
        <v>171</v>
      </c>
      <c r="G52" s="446"/>
      <c r="H52" s="446"/>
      <c r="I52" s="446"/>
      <c r="J52" s="446"/>
      <c r="K52" s="446"/>
      <c r="L52" s="446"/>
      <c r="M52" s="447"/>
      <c r="N52" s="292" t="s">
        <v>118</v>
      </c>
      <c r="O52" s="124" t="s">
        <v>173</v>
      </c>
      <c r="P52" s="435" t="s">
        <v>120</v>
      </c>
      <c r="Q52" s="435"/>
      <c r="R52" s="435" t="s">
        <v>397</v>
      </c>
      <c r="S52" s="435"/>
      <c r="T52" s="435"/>
      <c r="U52" s="435"/>
      <c r="V52" s="426" t="s">
        <v>398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118</v>
      </c>
      <c r="B53" s="435"/>
      <c r="C53" s="293" t="s">
        <v>178</v>
      </c>
      <c r="D53" s="293" t="s">
        <v>120</v>
      </c>
      <c r="E53" s="293" t="s">
        <v>397</v>
      </c>
      <c r="F53" s="445" t="s">
        <v>425</v>
      </c>
      <c r="G53" s="446"/>
      <c r="H53" s="446"/>
      <c r="I53" s="446"/>
      <c r="J53" s="446"/>
      <c r="K53" s="446"/>
      <c r="L53" s="446"/>
      <c r="M53" s="447"/>
      <c r="N53" s="292"/>
      <c r="O53" s="124"/>
      <c r="P53" s="435"/>
      <c r="Q53" s="435"/>
      <c r="R53" s="435"/>
      <c r="S53" s="435"/>
      <c r="T53" s="435"/>
      <c r="U53" s="435"/>
      <c r="V53" s="426"/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 t="s">
        <v>115</v>
      </c>
      <c r="B54" s="435"/>
      <c r="C54" s="293" t="s">
        <v>414</v>
      </c>
      <c r="D54" s="293"/>
      <c r="E54" s="293" t="s">
        <v>423</v>
      </c>
      <c r="F54" s="445" t="s">
        <v>171</v>
      </c>
      <c r="G54" s="446"/>
      <c r="H54" s="446"/>
      <c r="I54" s="446"/>
      <c r="J54" s="446"/>
      <c r="K54" s="446"/>
      <c r="L54" s="446"/>
      <c r="M54" s="447"/>
      <c r="N54" s="292"/>
      <c r="O54" s="124"/>
      <c r="P54" s="443"/>
      <c r="Q54" s="444"/>
      <c r="R54" s="435"/>
      <c r="S54" s="435"/>
      <c r="T54" s="435"/>
      <c r="U54" s="435"/>
      <c r="V54" s="426"/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/>
      <c r="B55" s="435"/>
      <c r="C55" s="293"/>
      <c r="D55" s="293"/>
      <c r="E55" s="293"/>
      <c r="F55" s="445"/>
      <c r="G55" s="446"/>
      <c r="H55" s="446"/>
      <c r="I55" s="446"/>
      <c r="J55" s="446"/>
      <c r="K55" s="446"/>
      <c r="L55" s="446"/>
      <c r="M55" s="447"/>
      <c r="N55" s="292"/>
      <c r="O55" s="124"/>
      <c r="P55" s="435"/>
      <c r="Q55" s="435"/>
      <c r="R55" s="435"/>
      <c r="S55" s="435"/>
      <c r="T55" s="435"/>
      <c r="U55" s="435"/>
      <c r="V55" s="426"/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293"/>
      <c r="D56" s="293"/>
      <c r="E56" s="293"/>
      <c r="F56" s="445"/>
      <c r="G56" s="446"/>
      <c r="H56" s="446"/>
      <c r="I56" s="446"/>
      <c r="J56" s="446"/>
      <c r="K56" s="446"/>
      <c r="L56" s="446"/>
      <c r="M56" s="447"/>
      <c r="N56" s="292"/>
      <c r="O56" s="124"/>
      <c r="P56" s="443"/>
      <c r="Q56" s="444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293"/>
      <c r="D57" s="293"/>
      <c r="E57" s="293"/>
      <c r="F57" s="445"/>
      <c r="G57" s="446"/>
      <c r="H57" s="446"/>
      <c r="I57" s="446"/>
      <c r="J57" s="446"/>
      <c r="K57" s="446"/>
      <c r="L57" s="446"/>
      <c r="M57" s="447"/>
      <c r="N57" s="292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293"/>
      <c r="D58" s="293"/>
      <c r="E58" s="293"/>
      <c r="F58" s="426"/>
      <c r="G58" s="426"/>
      <c r="H58" s="426"/>
      <c r="I58" s="426"/>
      <c r="J58" s="426"/>
      <c r="K58" s="426"/>
      <c r="L58" s="426"/>
      <c r="M58" s="436"/>
      <c r="N58" s="292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293"/>
      <c r="D59" s="293"/>
      <c r="E59" s="293"/>
      <c r="F59" s="445"/>
      <c r="G59" s="446"/>
      <c r="H59" s="446"/>
      <c r="I59" s="446"/>
      <c r="J59" s="446"/>
      <c r="K59" s="446"/>
      <c r="L59" s="446"/>
      <c r="M59" s="447"/>
      <c r="N59" s="292"/>
      <c r="O59" s="124"/>
      <c r="P59" s="435"/>
      <c r="Q59" s="435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  <c r="AF59" s="93">
        <f>8*3000</f>
        <v>24000</v>
      </c>
    </row>
    <row r="60" spans="1:32" ht="27" customHeight="1" thickBot="1">
      <c r="A60" s="437"/>
      <c r="B60" s="438"/>
      <c r="C60" s="295"/>
      <c r="D60" s="295"/>
      <c r="E60" s="295"/>
      <c r="F60" s="439"/>
      <c r="G60" s="439"/>
      <c r="H60" s="439"/>
      <c r="I60" s="439"/>
      <c r="J60" s="439"/>
      <c r="K60" s="439"/>
      <c r="L60" s="439"/>
      <c r="M60" s="440"/>
      <c r="N60" s="294"/>
      <c r="O60" s="120"/>
      <c r="P60" s="438"/>
      <c r="Q60" s="438"/>
      <c r="R60" s="438"/>
      <c r="S60" s="438"/>
      <c r="T60" s="438"/>
      <c r="U60" s="438"/>
      <c r="V60" s="441"/>
      <c r="W60" s="441"/>
      <c r="X60" s="441"/>
      <c r="Y60" s="441"/>
      <c r="Z60" s="441"/>
      <c r="AA60" s="441"/>
      <c r="AB60" s="441"/>
      <c r="AC60" s="441"/>
      <c r="AD60" s="442"/>
      <c r="AF60" s="93">
        <f>16*3000</f>
        <v>48000</v>
      </c>
    </row>
    <row r="61" spans="1:32" ht="27.75" thickBot="1">
      <c r="A61" s="432" t="s">
        <v>428</v>
      </c>
      <c r="B61" s="432"/>
      <c r="C61" s="432"/>
      <c r="D61" s="432"/>
      <c r="E61" s="43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3" t="s">
        <v>113</v>
      </c>
      <c r="B62" s="430"/>
      <c r="C62" s="291" t="s">
        <v>2</v>
      </c>
      <c r="D62" s="291" t="s">
        <v>37</v>
      </c>
      <c r="E62" s="291" t="s">
        <v>3</v>
      </c>
      <c r="F62" s="430" t="s">
        <v>110</v>
      </c>
      <c r="G62" s="430"/>
      <c r="H62" s="430"/>
      <c r="I62" s="430"/>
      <c r="J62" s="430"/>
      <c r="K62" s="430" t="s">
        <v>39</v>
      </c>
      <c r="L62" s="430"/>
      <c r="M62" s="291" t="s">
        <v>40</v>
      </c>
      <c r="N62" s="430" t="s">
        <v>41</v>
      </c>
      <c r="O62" s="430"/>
      <c r="P62" s="427" t="s">
        <v>42</v>
      </c>
      <c r="Q62" s="429"/>
      <c r="R62" s="427" t="s">
        <v>43</v>
      </c>
      <c r="S62" s="428"/>
      <c r="T62" s="428"/>
      <c r="U62" s="428"/>
      <c r="V62" s="428"/>
      <c r="W62" s="428"/>
      <c r="X62" s="428"/>
      <c r="Y62" s="428"/>
      <c r="Z62" s="428"/>
      <c r="AA62" s="429"/>
      <c r="AB62" s="430" t="s">
        <v>44</v>
      </c>
      <c r="AC62" s="430"/>
      <c r="AD62" s="431"/>
      <c r="AF62" s="93">
        <f>SUM(AF59:AF61)</f>
        <v>96000</v>
      </c>
    </row>
    <row r="63" spans="1:32" ht="25.5" customHeight="1">
      <c r="A63" s="422">
        <v>1</v>
      </c>
      <c r="B63" s="423"/>
      <c r="C63" s="123" t="s">
        <v>118</v>
      </c>
      <c r="D63" s="287"/>
      <c r="E63" s="290" t="s">
        <v>117</v>
      </c>
      <c r="F63" s="424" t="s">
        <v>429</v>
      </c>
      <c r="G63" s="416"/>
      <c r="H63" s="416"/>
      <c r="I63" s="416"/>
      <c r="J63" s="416"/>
      <c r="K63" s="416" t="s">
        <v>430</v>
      </c>
      <c r="L63" s="416"/>
      <c r="M63" s="54" t="s">
        <v>197</v>
      </c>
      <c r="N63" s="416">
        <v>14</v>
      </c>
      <c r="O63" s="416"/>
      <c r="P63" s="425">
        <v>50</v>
      </c>
      <c r="Q63" s="425"/>
      <c r="R63" s="426"/>
      <c r="S63" s="426"/>
      <c r="T63" s="426"/>
      <c r="U63" s="426"/>
      <c r="V63" s="426"/>
      <c r="W63" s="426"/>
      <c r="X63" s="426"/>
      <c r="Y63" s="426"/>
      <c r="Z63" s="426"/>
      <c r="AA63" s="426"/>
      <c r="AB63" s="416"/>
      <c r="AC63" s="416"/>
      <c r="AD63" s="417"/>
      <c r="AF63" s="53"/>
    </row>
    <row r="64" spans="1:32" ht="25.5" customHeight="1">
      <c r="A64" s="422">
        <v>2</v>
      </c>
      <c r="B64" s="423"/>
      <c r="C64" s="123" t="s">
        <v>118</v>
      </c>
      <c r="D64" s="287"/>
      <c r="E64" s="290" t="s">
        <v>120</v>
      </c>
      <c r="F64" s="424" t="s">
        <v>397</v>
      </c>
      <c r="G64" s="416"/>
      <c r="H64" s="416"/>
      <c r="I64" s="416"/>
      <c r="J64" s="416"/>
      <c r="K64" s="416" t="s">
        <v>187</v>
      </c>
      <c r="L64" s="416"/>
      <c r="M64" s="54" t="s">
        <v>197</v>
      </c>
      <c r="N64" s="416">
        <v>7</v>
      </c>
      <c r="O64" s="416"/>
      <c r="P64" s="425">
        <v>50</v>
      </c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3</v>
      </c>
      <c r="B65" s="423"/>
      <c r="C65" s="123" t="s">
        <v>114</v>
      </c>
      <c r="D65" s="287"/>
      <c r="E65" s="290" t="s">
        <v>117</v>
      </c>
      <c r="F65" s="424" t="s">
        <v>180</v>
      </c>
      <c r="G65" s="416"/>
      <c r="H65" s="416"/>
      <c r="I65" s="416"/>
      <c r="J65" s="416"/>
      <c r="K65" s="416" t="s">
        <v>181</v>
      </c>
      <c r="L65" s="416"/>
      <c r="M65" s="54" t="s">
        <v>197</v>
      </c>
      <c r="N65" s="416">
        <v>8</v>
      </c>
      <c r="O65" s="416"/>
      <c r="P65" s="425">
        <v>30</v>
      </c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4</v>
      </c>
      <c r="B66" s="423"/>
      <c r="C66" s="123" t="s">
        <v>114</v>
      </c>
      <c r="D66" s="287"/>
      <c r="E66" s="290" t="s">
        <v>117</v>
      </c>
      <c r="F66" s="424" t="s">
        <v>235</v>
      </c>
      <c r="G66" s="416"/>
      <c r="H66" s="416"/>
      <c r="I66" s="416"/>
      <c r="J66" s="416"/>
      <c r="K66" s="416" t="s">
        <v>181</v>
      </c>
      <c r="L66" s="416"/>
      <c r="M66" s="54" t="s">
        <v>197</v>
      </c>
      <c r="N66" s="416">
        <v>8</v>
      </c>
      <c r="O66" s="416"/>
      <c r="P66" s="425">
        <v>30</v>
      </c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5</v>
      </c>
      <c r="B67" s="423"/>
      <c r="C67" s="123" t="s">
        <v>123</v>
      </c>
      <c r="D67" s="287"/>
      <c r="E67" s="290" t="s">
        <v>202</v>
      </c>
      <c r="F67" s="424" t="s">
        <v>431</v>
      </c>
      <c r="G67" s="416"/>
      <c r="H67" s="416"/>
      <c r="I67" s="416"/>
      <c r="J67" s="416"/>
      <c r="K67" s="416" t="s">
        <v>252</v>
      </c>
      <c r="L67" s="416"/>
      <c r="M67" s="54" t="s">
        <v>197</v>
      </c>
      <c r="N67" s="416">
        <v>3</v>
      </c>
      <c r="O67" s="416"/>
      <c r="P67" s="425">
        <v>500</v>
      </c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6</v>
      </c>
      <c r="B68" s="423"/>
      <c r="C68" s="123" t="s">
        <v>114</v>
      </c>
      <c r="D68" s="287"/>
      <c r="E68" s="290" t="s">
        <v>127</v>
      </c>
      <c r="F68" s="424" t="s">
        <v>387</v>
      </c>
      <c r="G68" s="416"/>
      <c r="H68" s="416"/>
      <c r="I68" s="416"/>
      <c r="J68" s="416"/>
      <c r="K68" s="416" t="s">
        <v>266</v>
      </c>
      <c r="L68" s="416"/>
      <c r="M68" s="54" t="s">
        <v>197</v>
      </c>
      <c r="N68" s="416">
        <v>14</v>
      </c>
      <c r="O68" s="416"/>
      <c r="P68" s="425">
        <v>200</v>
      </c>
      <c r="Q68" s="425"/>
      <c r="R68" s="426" t="s">
        <v>432</v>
      </c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7</v>
      </c>
      <c r="B69" s="423"/>
      <c r="C69" s="123" t="s">
        <v>114</v>
      </c>
      <c r="D69" s="287"/>
      <c r="E69" s="290" t="s">
        <v>134</v>
      </c>
      <c r="F69" s="424" t="s">
        <v>388</v>
      </c>
      <c r="G69" s="416"/>
      <c r="H69" s="416"/>
      <c r="I69" s="416"/>
      <c r="J69" s="416"/>
      <c r="K69" s="416" t="s">
        <v>129</v>
      </c>
      <c r="L69" s="416"/>
      <c r="M69" s="54" t="s">
        <v>197</v>
      </c>
      <c r="N69" s="416">
        <v>4</v>
      </c>
      <c r="O69" s="416"/>
      <c r="P69" s="425">
        <v>400</v>
      </c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8</v>
      </c>
      <c r="B70" s="423"/>
      <c r="C70" s="123" t="s">
        <v>114</v>
      </c>
      <c r="D70" s="287"/>
      <c r="E70" s="290" t="s">
        <v>117</v>
      </c>
      <c r="F70" s="424" t="s">
        <v>343</v>
      </c>
      <c r="G70" s="416"/>
      <c r="H70" s="416"/>
      <c r="I70" s="416"/>
      <c r="J70" s="416"/>
      <c r="K70" s="416">
        <v>7301</v>
      </c>
      <c r="L70" s="416"/>
      <c r="M70" s="54" t="s">
        <v>197</v>
      </c>
      <c r="N70" s="416">
        <v>9</v>
      </c>
      <c r="O70" s="416"/>
      <c r="P70" s="425">
        <v>30</v>
      </c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6.25" customHeight="1" thickBot="1">
      <c r="A71" s="396" t="s">
        <v>433</v>
      </c>
      <c r="B71" s="396"/>
      <c r="C71" s="396"/>
      <c r="D71" s="396"/>
      <c r="E71" s="396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7" t="s">
        <v>113</v>
      </c>
      <c r="B72" s="398"/>
      <c r="C72" s="289" t="s">
        <v>2</v>
      </c>
      <c r="D72" s="289" t="s">
        <v>37</v>
      </c>
      <c r="E72" s="289" t="s">
        <v>3</v>
      </c>
      <c r="F72" s="398" t="s">
        <v>38</v>
      </c>
      <c r="G72" s="398"/>
      <c r="H72" s="398"/>
      <c r="I72" s="398"/>
      <c r="J72" s="398"/>
      <c r="K72" s="418" t="s">
        <v>58</v>
      </c>
      <c r="L72" s="419"/>
      <c r="M72" s="419"/>
      <c r="N72" s="419"/>
      <c r="O72" s="419"/>
      <c r="P72" s="419"/>
      <c r="Q72" s="419"/>
      <c r="R72" s="419"/>
      <c r="S72" s="420"/>
      <c r="T72" s="398" t="s">
        <v>49</v>
      </c>
      <c r="U72" s="398"/>
      <c r="V72" s="418" t="s">
        <v>50</v>
      </c>
      <c r="W72" s="420"/>
      <c r="X72" s="419" t="s">
        <v>51</v>
      </c>
      <c r="Y72" s="419"/>
      <c r="Z72" s="419"/>
      <c r="AA72" s="419"/>
      <c r="AB72" s="419"/>
      <c r="AC72" s="419"/>
      <c r="AD72" s="421"/>
      <c r="AF72" s="53"/>
    </row>
    <row r="73" spans="1:32" ht="33.75" customHeight="1">
      <c r="A73" s="390">
        <v>1</v>
      </c>
      <c r="B73" s="391"/>
      <c r="C73" s="288" t="s">
        <v>114</v>
      </c>
      <c r="D73" s="288"/>
      <c r="E73" s="71" t="s">
        <v>127</v>
      </c>
      <c r="F73" s="405" t="s">
        <v>126</v>
      </c>
      <c r="G73" s="406"/>
      <c r="H73" s="406"/>
      <c r="I73" s="406"/>
      <c r="J73" s="407"/>
      <c r="K73" s="408" t="s">
        <v>128</v>
      </c>
      <c r="L73" s="409"/>
      <c r="M73" s="409"/>
      <c r="N73" s="409"/>
      <c r="O73" s="409"/>
      <c r="P73" s="409"/>
      <c r="Q73" s="409"/>
      <c r="R73" s="409"/>
      <c r="S73" s="410"/>
      <c r="T73" s="411">
        <v>43384</v>
      </c>
      <c r="U73" s="412"/>
      <c r="V73" s="413"/>
      <c r="W73" s="413"/>
      <c r="X73" s="414"/>
      <c r="Y73" s="414"/>
      <c r="Z73" s="414"/>
      <c r="AA73" s="414"/>
      <c r="AB73" s="414"/>
      <c r="AC73" s="414"/>
      <c r="AD73" s="415"/>
      <c r="AF73" s="53"/>
    </row>
    <row r="74" spans="1:32" ht="30" customHeight="1">
      <c r="A74" s="383">
        <f>A73+1</f>
        <v>2</v>
      </c>
      <c r="B74" s="384"/>
      <c r="C74" s="287"/>
      <c r="D74" s="287"/>
      <c r="E74" s="35"/>
      <c r="F74" s="384"/>
      <c r="G74" s="384"/>
      <c r="H74" s="384"/>
      <c r="I74" s="384"/>
      <c r="J74" s="384"/>
      <c r="K74" s="399"/>
      <c r="L74" s="400"/>
      <c r="M74" s="400"/>
      <c r="N74" s="400"/>
      <c r="O74" s="400"/>
      <c r="P74" s="400"/>
      <c r="Q74" s="400"/>
      <c r="R74" s="400"/>
      <c r="S74" s="401"/>
      <c r="T74" s="402"/>
      <c r="U74" s="402"/>
      <c r="V74" s="402"/>
      <c r="W74" s="402"/>
      <c r="X74" s="403"/>
      <c r="Y74" s="403"/>
      <c r="Z74" s="403"/>
      <c r="AA74" s="403"/>
      <c r="AB74" s="403"/>
      <c r="AC74" s="403"/>
      <c r="AD74" s="404"/>
      <c r="AF74" s="53"/>
    </row>
    <row r="75" spans="1:32" ht="30" customHeight="1">
      <c r="A75" s="383">
        <f t="shared" ref="A75:A81" si="11">A74+1</f>
        <v>3</v>
      </c>
      <c r="B75" s="384"/>
      <c r="C75" s="287"/>
      <c r="D75" s="287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si="11"/>
        <v>4</v>
      </c>
      <c r="B76" s="384"/>
      <c r="C76" s="287"/>
      <c r="D76" s="287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1"/>
        <v>5</v>
      </c>
      <c r="B77" s="384"/>
      <c r="C77" s="287"/>
      <c r="D77" s="287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1"/>
        <v>6</v>
      </c>
      <c r="B78" s="384"/>
      <c r="C78" s="287"/>
      <c r="D78" s="287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1"/>
        <v>7</v>
      </c>
      <c r="B79" s="384"/>
      <c r="C79" s="287"/>
      <c r="D79" s="287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1"/>
        <v>8</v>
      </c>
      <c r="B80" s="384"/>
      <c r="C80" s="287"/>
      <c r="D80" s="287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1"/>
        <v>9</v>
      </c>
      <c r="B81" s="384"/>
      <c r="C81" s="287"/>
      <c r="D81" s="287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6" thickBot="1">
      <c r="A82" s="396" t="s">
        <v>434</v>
      </c>
      <c r="B82" s="396"/>
      <c r="C82" s="396"/>
      <c r="D82" s="396"/>
      <c r="E82" s="396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7" t="s">
        <v>113</v>
      </c>
      <c r="B83" s="398"/>
      <c r="C83" s="388" t="s">
        <v>52</v>
      </c>
      <c r="D83" s="388"/>
      <c r="E83" s="388" t="s">
        <v>53</v>
      </c>
      <c r="F83" s="388"/>
      <c r="G83" s="388"/>
      <c r="H83" s="388"/>
      <c r="I83" s="388"/>
      <c r="J83" s="388"/>
      <c r="K83" s="388" t="s">
        <v>54</v>
      </c>
      <c r="L83" s="388"/>
      <c r="M83" s="388"/>
      <c r="N83" s="388"/>
      <c r="O83" s="388"/>
      <c r="P83" s="388"/>
      <c r="Q83" s="388"/>
      <c r="R83" s="388"/>
      <c r="S83" s="388"/>
      <c r="T83" s="388" t="s">
        <v>55</v>
      </c>
      <c r="U83" s="388"/>
      <c r="V83" s="388" t="s">
        <v>56</v>
      </c>
      <c r="W83" s="388"/>
      <c r="X83" s="388"/>
      <c r="Y83" s="388" t="s">
        <v>51</v>
      </c>
      <c r="Z83" s="388"/>
      <c r="AA83" s="388"/>
      <c r="AB83" s="388"/>
      <c r="AC83" s="388"/>
      <c r="AD83" s="389"/>
      <c r="AF83" s="53"/>
    </row>
    <row r="84" spans="1:32" ht="30.75" customHeight="1">
      <c r="A84" s="390">
        <v>1</v>
      </c>
      <c r="B84" s="391"/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3"/>
      <c r="W84" s="393"/>
      <c r="X84" s="393"/>
      <c r="Y84" s="394"/>
      <c r="Z84" s="394"/>
      <c r="AA84" s="394"/>
      <c r="AB84" s="394"/>
      <c r="AC84" s="394"/>
      <c r="AD84" s="395"/>
      <c r="AF84" s="53"/>
    </row>
    <row r="85" spans="1:32" ht="30.75" customHeight="1">
      <c r="A85" s="383">
        <v>2</v>
      </c>
      <c r="B85" s="384"/>
      <c r="C85" s="385"/>
      <c r="D85" s="385"/>
      <c r="E85" s="385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6"/>
      <c r="U85" s="386"/>
      <c r="V85" s="387"/>
      <c r="W85" s="387"/>
      <c r="X85" s="387"/>
      <c r="Y85" s="376"/>
      <c r="Z85" s="376"/>
      <c r="AA85" s="376"/>
      <c r="AB85" s="376"/>
      <c r="AC85" s="376"/>
      <c r="AD85" s="377"/>
      <c r="AF85" s="53"/>
    </row>
    <row r="86" spans="1:32" ht="30.75" customHeight="1" thickBot="1">
      <c r="A86" s="378">
        <v>3</v>
      </c>
      <c r="B86" s="379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  <c r="X86" s="380"/>
      <c r="Y86" s="381"/>
      <c r="Z86" s="381"/>
      <c r="AA86" s="381"/>
      <c r="AB86" s="381"/>
      <c r="AC86" s="381"/>
      <c r="AD86" s="382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19E1-D180-4EB1-A59B-E20CB5B19765}">
  <sheetPr>
    <pageSetUpPr fitToPage="1"/>
  </sheetPr>
  <dimension ref="A1:AF86"/>
  <sheetViews>
    <sheetView zoomScale="72" zoomScaleNormal="72" zoomScaleSheetLayoutView="70" workbookViewId="0">
      <selection activeCell="A3" sqref="A3:G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455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98" t="s">
        <v>17</v>
      </c>
      <c r="L5" s="298" t="s">
        <v>18</v>
      </c>
      <c r="M5" s="298" t="s">
        <v>19</v>
      </c>
      <c r="N5" s="29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0.27777777777777779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0.27777777777777779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123</v>
      </c>
      <c r="D8" s="55" t="s">
        <v>349</v>
      </c>
      <c r="E8" s="57" t="s">
        <v>350</v>
      </c>
      <c r="F8" s="33" t="s">
        <v>140</v>
      </c>
      <c r="G8" s="36" t="s">
        <v>240</v>
      </c>
      <c r="H8" s="38">
        <v>25</v>
      </c>
      <c r="I8" s="7">
        <v>3000</v>
      </c>
      <c r="J8" s="5">
        <v>793</v>
      </c>
      <c r="K8" s="15">
        <f>L8+2611+793</f>
        <v>3404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0.27777777777777779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118</v>
      </c>
      <c r="D9" s="55" t="s">
        <v>120</v>
      </c>
      <c r="E9" s="57" t="s">
        <v>397</v>
      </c>
      <c r="F9" s="33" t="s">
        <v>187</v>
      </c>
      <c r="G9" s="36">
        <v>1</v>
      </c>
      <c r="H9" s="38">
        <v>24</v>
      </c>
      <c r="I9" s="7">
        <v>7000</v>
      </c>
      <c r="J9" s="14">
        <v>3005</v>
      </c>
      <c r="K9" s="15">
        <f>L9</f>
        <v>3005</v>
      </c>
      <c r="L9" s="15">
        <v>3005</v>
      </c>
      <c r="M9" s="16">
        <f t="shared" si="0"/>
        <v>3005</v>
      </c>
      <c r="N9" s="16">
        <v>0</v>
      </c>
      <c r="O9" s="62">
        <f t="shared" si="1"/>
        <v>0</v>
      </c>
      <c r="P9" s="42">
        <f t="shared" si="2"/>
        <v>14</v>
      </c>
      <c r="Q9" s="43">
        <f t="shared" si="3"/>
        <v>10</v>
      </c>
      <c r="R9" s="7"/>
      <c r="S9" s="6">
        <v>10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0.58333333333333337</v>
      </c>
      <c r="AD9" s="10">
        <f t="shared" si="6"/>
        <v>0.58333333333333337</v>
      </c>
      <c r="AE9" s="39">
        <f t="shared" si="7"/>
        <v>0.27777777777777779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123</v>
      </c>
      <c r="D10" s="55" t="s">
        <v>119</v>
      </c>
      <c r="E10" s="57" t="s">
        <v>147</v>
      </c>
      <c r="F10" s="12" t="s">
        <v>121</v>
      </c>
      <c r="G10" s="12">
        <v>4</v>
      </c>
      <c r="H10" s="13">
        <v>25</v>
      </c>
      <c r="I10" s="7">
        <v>400000</v>
      </c>
      <c r="J10" s="14">
        <v>8370</v>
      </c>
      <c r="K10" s="15">
        <f>L10+23776+26072+26756+24764+18432+17192+18752+24536+24336+16996+23988+25708+23312+23400+25624+22984+10488+22848+8370</f>
        <v>408334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0.27777777777777779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114</v>
      </c>
      <c r="D11" s="55" t="s">
        <v>134</v>
      </c>
      <c r="E11" s="57" t="s">
        <v>355</v>
      </c>
      <c r="F11" s="12" t="s">
        <v>361</v>
      </c>
      <c r="G11" s="12">
        <v>1</v>
      </c>
      <c r="H11" s="13">
        <v>25</v>
      </c>
      <c r="I11" s="7">
        <v>2000</v>
      </c>
      <c r="J11" s="14">
        <v>2201</v>
      </c>
      <c r="K11" s="15">
        <f>L11+1962+3055+2201</f>
        <v>7218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0.27777777777777779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114</v>
      </c>
      <c r="D12" s="55" t="s">
        <v>117</v>
      </c>
      <c r="E12" s="57" t="s">
        <v>435</v>
      </c>
      <c r="F12" s="33" t="s">
        <v>310</v>
      </c>
      <c r="G12" s="36">
        <v>1</v>
      </c>
      <c r="H12" s="38">
        <v>24</v>
      </c>
      <c r="I12" s="7">
        <v>2000</v>
      </c>
      <c r="J12" s="14">
        <v>2891</v>
      </c>
      <c r="K12" s="15">
        <f>L12</f>
        <v>2891</v>
      </c>
      <c r="L12" s="15">
        <v>2891</v>
      </c>
      <c r="M12" s="16">
        <f t="shared" si="0"/>
        <v>2891</v>
      </c>
      <c r="N12" s="16">
        <v>0</v>
      </c>
      <c r="O12" s="62">
        <f t="shared" si="1"/>
        <v>0</v>
      </c>
      <c r="P12" s="42">
        <f t="shared" si="2"/>
        <v>17</v>
      </c>
      <c r="Q12" s="43">
        <f t="shared" si="3"/>
        <v>7</v>
      </c>
      <c r="R12" s="7"/>
      <c r="S12" s="6"/>
      <c r="T12" s="17">
        <v>7</v>
      </c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0.70833333333333337</v>
      </c>
      <c r="AD12" s="10">
        <f t="shared" si="6"/>
        <v>0.70833333333333337</v>
      </c>
      <c r="AE12" s="39">
        <f t="shared" si="7"/>
        <v>0.27777777777777779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117</v>
      </c>
      <c r="E13" s="57" t="s">
        <v>312</v>
      </c>
      <c r="F13" s="33" t="s">
        <v>242</v>
      </c>
      <c r="G13" s="36">
        <v>1</v>
      </c>
      <c r="H13" s="38">
        <v>24</v>
      </c>
      <c r="I13" s="7">
        <v>7000</v>
      </c>
      <c r="J13" s="14">
        <v>3418</v>
      </c>
      <c r="K13" s="15">
        <f>L13+2961+3418</f>
        <v>6379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0.27777777777777779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114</v>
      </c>
      <c r="D14" s="55" t="s">
        <v>117</v>
      </c>
      <c r="E14" s="57" t="s">
        <v>284</v>
      </c>
      <c r="F14" s="33" t="s">
        <v>352</v>
      </c>
      <c r="G14" s="36">
        <v>1</v>
      </c>
      <c r="H14" s="38">
        <v>25</v>
      </c>
      <c r="I14" s="7">
        <v>300</v>
      </c>
      <c r="J14" s="5">
        <v>375</v>
      </c>
      <c r="K14" s="15">
        <f>L14+375</f>
        <v>375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0.27777777777777779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123</v>
      </c>
      <c r="D15" s="55" t="s">
        <v>362</v>
      </c>
      <c r="E15" s="57" t="s">
        <v>334</v>
      </c>
      <c r="F15" s="12" t="s">
        <v>131</v>
      </c>
      <c r="G15" s="12">
        <v>1</v>
      </c>
      <c r="H15" s="13">
        <v>24</v>
      </c>
      <c r="I15" s="34">
        <v>12000</v>
      </c>
      <c r="J15" s="14">
        <v>2381</v>
      </c>
      <c r="K15" s="15">
        <f>L15+3042+7558+2381</f>
        <v>12981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0.27777777777777779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11" t="s">
        <v>123</v>
      </c>
      <c r="D16" s="55" t="s">
        <v>227</v>
      </c>
      <c r="E16" s="57" t="s">
        <v>141</v>
      </c>
      <c r="F16" s="12" t="s">
        <v>121</v>
      </c>
      <c r="G16" s="12">
        <v>2</v>
      </c>
      <c r="H16" s="13">
        <v>25</v>
      </c>
      <c r="I16" s="7">
        <v>105000</v>
      </c>
      <c r="J16" s="14">
        <v>14610</v>
      </c>
      <c r="K16" s="15">
        <f>L16+9052+14066+13010+14610</f>
        <v>50738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0.27777777777777779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192</v>
      </c>
      <c r="D17" s="55" t="s">
        <v>436</v>
      </c>
      <c r="E17" s="57" t="s">
        <v>437</v>
      </c>
      <c r="F17" s="12" t="s">
        <v>438</v>
      </c>
      <c r="G17" s="12">
        <v>3</v>
      </c>
      <c r="H17" s="13">
        <v>24</v>
      </c>
      <c r="I17" s="34">
        <f>16000*2+12000</f>
        <v>44000</v>
      </c>
      <c r="J17" s="14">
        <v>20226</v>
      </c>
      <c r="K17" s="15">
        <f>L17</f>
        <v>20226</v>
      </c>
      <c r="L17" s="15">
        <f>2610*3+4132*3</f>
        <v>20226</v>
      </c>
      <c r="M17" s="16">
        <f t="shared" si="0"/>
        <v>20226</v>
      </c>
      <c r="N17" s="16">
        <v>0</v>
      </c>
      <c r="O17" s="62">
        <f t="shared" si="1"/>
        <v>0</v>
      </c>
      <c r="P17" s="42">
        <f t="shared" si="2"/>
        <v>22</v>
      </c>
      <c r="Q17" s="43">
        <f t="shared" si="3"/>
        <v>2</v>
      </c>
      <c r="R17" s="7"/>
      <c r="S17" s="6">
        <v>2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0.91666666666666663</v>
      </c>
      <c r="AD17" s="10">
        <f t="shared" si="6"/>
        <v>0.91666666666666663</v>
      </c>
      <c r="AE17" s="39">
        <f t="shared" si="7"/>
        <v>0.27777777777777779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114</v>
      </c>
      <c r="D18" s="55" t="s">
        <v>134</v>
      </c>
      <c r="E18" s="57" t="s">
        <v>439</v>
      </c>
      <c r="F18" s="12" t="s">
        <v>121</v>
      </c>
      <c r="G18" s="36">
        <v>1</v>
      </c>
      <c r="H18" s="38">
        <v>24</v>
      </c>
      <c r="I18" s="7">
        <v>2000</v>
      </c>
      <c r="J18" s="5">
        <v>2524</v>
      </c>
      <c r="K18" s="15">
        <f>L18</f>
        <v>2524</v>
      </c>
      <c r="L18" s="15">
        <f>2524</f>
        <v>2524</v>
      </c>
      <c r="M18" s="16">
        <f t="shared" si="0"/>
        <v>2524</v>
      </c>
      <c r="N18" s="16">
        <v>0</v>
      </c>
      <c r="O18" s="62">
        <f t="shared" si="1"/>
        <v>0</v>
      </c>
      <c r="P18" s="42">
        <f t="shared" si="2"/>
        <v>14</v>
      </c>
      <c r="Q18" s="43">
        <f t="shared" si="3"/>
        <v>10</v>
      </c>
      <c r="R18" s="7"/>
      <c r="S18" s="6"/>
      <c r="T18" s="17">
        <v>10</v>
      </c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0.58333333333333337</v>
      </c>
      <c r="AD18" s="10">
        <f>AC18*AB18*(1-O18)</f>
        <v>0.58333333333333337</v>
      </c>
      <c r="AE18" s="39">
        <f t="shared" si="7"/>
        <v>0.27777777777777779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37" t="s">
        <v>123</v>
      </c>
      <c r="D19" s="55" t="s">
        <v>117</v>
      </c>
      <c r="E19" s="57" t="s">
        <v>153</v>
      </c>
      <c r="F19" s="12" t="s">
        <v>129</v>
      </c>
      <c r="G19" s="36">
        <v>4</v>
      </c>
      <c r="H19" s="38">
        <v>24</v>
      </c>
      <c r="I19" s="7">
        <v>400000</v>
      </c>
      <c r="J19" s="5">
        <v>16660</v>
      </c>
      <c r="K19" s="15">
        <f>L19+12380+14384+22568+16460+13888+20848+20972+20888+19996+10224+14424+21632+20220+19704+9284+22304+15876+16404</f>
        <v>329116</v>
      </c>
      <c r="L19" s="15">
        <f>1381*4+2784*4</f>
        <v>16660</v>
      </c>
      <c r="M19" s="16">
        <f t="shared" ref="M19" si="9">L19-N19</f>
        <v>16660</v>
      </c>
      <c r="N19" s="16">
        <v>0</v>
      </c>
      <c r="O19" s="62">
        <f t="shared" ref="O19" si="10">IF(L19=0,"0",N19/L19)</f>
        <v>0</v>
      </c>
      <c r="P19" s="42">
        <f t="shared" ref="P19" si="11">IF(L19=0,"0",(24-Q19))</f>
        <v>21</v>
      </c>
      <c r="Q19" s="43">
        <f t="shared" ref="Q19" si="12">SUM(R19:AA19)</f>
        <v>3</v>
      </c>
      <c r="R19" s="7"/>
      <c r="S19" s="6">
        <v>3</v>
      </c>
      <c r="T19" s="17"/>
      <c r="U19" s="17"/>
      <c r="V19" s="18"/>
      <c r="W19" s="19"/>
      <c r="X19" s="17"/>
      <c r="Y19" s="20"/>
      <c r="Z19" s="20"/>
      <c r="AA19" s="21"/>
      <c r="AB19" s="8">
        <f t="shared" ref="AB19" si="13">IF(J19=0,"0",(L19/J19))</f>
        <v>1</v>
      </c>
      <c r="AC19" s="9">
        <f t="shared" ref="AC19" si="14">IF(P19=0,"0",(P19/24))</f>
        <v>0.875</v>
      </c>
      <c r="AD19" s="10">
        <f>AC19*AB19*(1-O19)</f>
        <v>0.875</v>
      </c>
      <c r="AE19" s="39">
        <f t="shared" si="7"/>
        <v>0.27777777777777779</v>
      </c>
      <c r="AF19" s="93">
        <f t="shared" ref="AF19" si="15">A19</f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423</v>
      </c>
      <c r="F20" s="12" t="s">
        <v>116</v>
      </c>
      <c r="G20" s="12">
        <v>4</v>
      </c>
      <c r="H20" s="38">
        <v>20</v>
      </c>
      <c r="I20" s="7">
        <v>100000</v>
      </c>
      <c r="J20" s="14">
        <v>37244</v>
      </c>
      <c r="K20" s="15">
        <f>L20+10712</f>
        <v>47956</v>
      </c>
      <c r="L20" s="15">
        <f>9311*4</f>
        <v>37244</v>
      </c>
      <c r="M20" s="16">
        <f t="shared" si="0"/>
        <v>37244</v>
      </c>
      <c r="N20" s="16">
        <v>0</v>
      </c>
      <c r="O20" s="62">
        <f t="shared" si="1"/>
        <v>0</v>
      </c>
      <c r="P20" s="42">
        <f t="shared" si="2"/>
        <v>12</v>
      </c>
      <c r="Q20" s="43">
        <f t="shared" si="3"/>
        <v>12</v>
      </c>
      <c r="R20" s="7"/>
      <c r="S20" s="6"/>
      <c r="T20" s="17"/>
      <c r="U20" s="17"/>
      <c r="V20" s="18">
        <v>12</v>
      </c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0.5</v>
      </c>
      <c r="AD20" s="10">
        <f t="shared" si="6"/>
        <v>0.5</v>
      </c>
      <c r="AE20" s="39">
        <f t="shared" si="7"/>
        <v>0.27777777777777779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16">SUM(I6:I20)</f>
        <v>1084300</v>
      </c>
      <c r="J21" s="22">
        <f t="shared" si="16"/>
        <v>114698</v>
      </c>
      <c r="K21" s="23">
        <f t="shared" si="16"/>
        <v>895147</v>
      </c>
      <c r="L21" s="24">
        <f t="shared" si="16"/>
        <v>82550</v>
      </c>
      <c r="M21" s="23">
        <f t="shared" si="16"/>
        <v>82550</v>
      </c>
      <c r="N21" s="24">
        <f t="shared" si="16"/>
        <v>0</v>
      </c>
      <c r="O21" s="44">
        <f t="shared" si="1"/>
        <v>0</v>
      </c>
      <c r="P21" s="45">
        <f t="shared" ref="P21:AA21" si="17">SUM(P6:P20)</f>
        <v>100</v>
      </c>
      <c r="Q21" s="46">
        <f t="shared" si="17"/>
        <v>260</v>
      </c>
      <c r="R21" s="26">
        <f t="shared" si="17"/>
        <v>24</v>
      </c>
      <c r="S21" s="27">
        <f t="shared" si="17"/>
        <v>15</v>
      </c>
      <c r="T21" s="27">
        <f t="shared" si="17"/>
        <v>17</v>
      </c>
      <c r="U21" s="27">
        <f t="shared" si="17"/>
        <v>0</v>
      </c>
      <c r="V21" s="28">
        <f t="shared" si="17"/>
        <v>12</v>
      </c>
      <c r="W21" s="29">
        <f t="shared" si="17"/>
        <v>192</v>
      </c>
      <c r="X21" s="30">
        <f t="shared" si="17"/>
        <v>0</v>
      </c>
      <c r="Y21" s="30">
        <f t="shared" si="17"/>
        <v>0</v>
      </c>
      <c r="Z21" s="30">
        <f t="shared" si="17"/>
        <v>0</v>
      </c>
      <c r="AA21" s="30">
        <f t="shared" si="17"/>
        <v>0</v>
      </c>
      <c r="AB21" s="31">
        <f>SUM(AB6:AB20)/15</f>
        <v>0.4</v>
      </c>
      <c r="AC21" s="4">
        <f>SUM(AC6:AC20)/15</f>
        <v>0.27777777777777779</v>
      </c>
      <c r="AD21" s="4">
        <f>SUM(AD6:AD20)/15</f>
        <v>0.27777777777777779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440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442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299" t="s">
        <v>46</v>
      </c>
      <c r="D50" s="299" t="s">
        <v>47</v>
      </c>
      <c r="E50" s="299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299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4" t="s">
        <v>123</v>
      </c>
      <c r="B51" s="435"/>
      <c r="C51" s="301" t="s">
        <v>219</v>
      </c>
      <c r="D51" s="301" t="s">
        <v>117</v>
      </c>
      <c r="E51" s="301" t="s">
        <v>366</v>
      </c>
      <c r="F51" s="445" t="s">
        <v>441</v>
      </c>
      <c r="G51" s="446"/>
      <c r="H51" s="446"/>
      <c r="I51" s="446"/>
      <c r="J51" s="446"/>
      <c r="K51" s="446"/>
      <c r="L51" s="446"/>
      <c r="M51" s="447"/>
      <c r="N51" s="300" t="s">
        <v>118</v>
      </c>
      <c r="O51" s="124" t="s">
        <v>178</v>
      </c>
      <c r="P51" s="443" t="s">
        <v>443</v>
      </c>
      <c r="Q51" s="444"/>
      <c r="R51" s="435" t="s">
        <v>444</v>
      </c>
      <c r="S51" s="435"/>
      <c r="T51" s="435"/>
      <c r="U51" s="435"/>
      <c r="V51" s="426" t="s">
        <v>171</v>
      </c>
      <c r="W51" s="426"/>
      <c r="X51" s="426"/>
      <c r="Y51" s="426"/>
      <c r="Z51" s="426"/>
      <c r="AA51" s="426"/>
      <c r="AB51" s="426"/>
      <c r="AC51" s="426"/>
      <c r="AD51" s="436"/>
    </row>
    <row r="52" spans="1:32" ht="27" customHeight="1">
      <c r="A52" s="434" t="s">
        <v>114</v>
      </c>
      <c r="B52" s="435"/>
      <c r="C52" s="301" t="s">
        <v>178</v>
      </c>
      <c r="D52" s="301" t="s">
        <v>117</v>
      </c>
      <c r="E52" s="301" t="s">
        <v>435</v>
      </c>
      <c r="F52" s="445" t="s">
        <v>171</v>
      </c>
      <c r="G52" s="446"/>
      <c r="H52" s="446"/>
      <c r="I52" s="446"/>
      <c r="J52" s="446"/>
      <c r="K52" s="446"/>
      <c r="L52" s="446"/>
      <c r="M52" s="447"/>
      <c r="N52" s="300" t="s">
        <v>123</v>
      </c>
      <c r="O52" s="124" t="s">
        <v>154</v>
      </c>
      <c r="P52" s="435" t="s">
        <v>202</v>
      </c>
      <c r="Q52" s="435"/>
      <c r="R52" s="435" t="s">
        <v>431</v>
      </c>
      <c r="S52" s="435"/>
      <c r="T52" s="435"/>
      <c r="U52" s="435"/>
      <c r="V52" s="426" t="s">
        <v>445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114</v>
      </c>
      <c r="B53" s="435"/>
      <c r="C53" s="301" t="s">
        <v>166</v>
      </c>
      <c r="D53" s="301" t="s">
        <v>134</v>
      </c>
      <c r="E53" s="301" t="s">
        <v>439</v>
      </c>
      <c r="F53" s="445" t="s">
        <v>171</v>
      </c>
      <c r="G53" s="446"/>
      <c r="H53" s="446"/>
      <c r="I53" s="446"/>
      <c r="J53" s="446"/>
      <c r="K53" s="446"/>
      <c r="L53" s="446"/>
      <c r="M53" s="447"/>
      <c r="N53" s="300" t="s">
        <v>123</v>
      </c>
      <c r="O53" s="124" t="s">
        <v>247</v>
      </c>
      <c r="P53" s="435" t="s">
        <v>446</v>
      </c>
      <c r="Q53" s="435"/>
      <c r="R53" s="435" t="s">
        <v>447</v>
      </c>
      <c r="S53" s="435"/>
      <c r="T53" s="435"/>
      <c r="U53" s="435"/>
      <c r="V53" s="426" t="s">
        <v>445</v>
      </c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 t="s">
        <v>118</v>
      </c>
      <c r="B54" s="435"/>
      <c r="C54" s="301" t="s">
        <v>173</v>
      </c>
      <c r="D54" s="301" t="s">
        <v>120</v>
      </c>
      <c r="E54" s="301" t="s">
        <v>397</v>
      </c>
      <c r="F54" s="445" t="s">
        <v>274</v>
      </c>
      <c r="G54" s="446"/>
      <c r="H54" s="446"/>
      <c r="I54" s="446"/>
      <c r="J54" s="446"/>
      <c r="K54" s="446"/>
      <c r="L54" s="446"/>
      <c r="M54" s="447"/>
      <c r="N54" s="300"/>
      <c r="O54" s="124"/>
      <c r="P54" s="443"/>
      <c r="Q54" s="444"/>
      <c r="R54" s="435"/>
      <c r="S54" s="435"/>
      <c r="T54" s="435"/>
      <c r="U54" s="435"/>
      <c r="V54" s="426"/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/>
      <c r="B55" s="435"/>
      <c r="C55" s="301"/>
      <c r="D55" s="301"/>
      <c r="E55" s="301"/>
      <c r="F55" s="445"/>
      <c r="G55" s="446"/>
      <c r="H55" s="446"/>
      <c r="I55" s="446"/>
      <c r="J55" s="446"/>
      <c r="K55" s="446"/>
      <c r="L55" s="446"/>
      <c r="M55" s="447"/>
      <c r="N55" s="300"/>
      <c r="O55" s="124"/>
      <c r="P55" s="435"/>
      <c r="Q55" s="435"/>
      <c r="R55" s="435"/>
      <c r="S55" s="435"/>
      <c r="T55" s="435"/>
      <c r="U55" s="435"/>
      <c r="V55" s="426"/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301"/>
      <c r="D56" s="301"/>
      <c r="E56" s="301"/>
      <c r="F56" s="445"/>
      <c r="G56" s="446"/>
      <c r="H56" s="446"/>
      <c r="I56" s="446"/>
      <c r="J56" s="446"/>
      <c r="K56" s="446"/>
      <c r="L56" s="446"/>
      <c r="M56" s="447"/>
      <c r="N56" s="300"/>
      <c r="O56" s="124"/>
      <c r="P56" s="443"/>
      <c r="Q56" s="444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301"/>
      <c r="D57" s="301"/>
      <c r="E57" s="301"/>
      <c r="F57" s="445"/>
      <c r="G57" s="446"/>
      <c r="H57" s="446"/>
      <c r="I57" s="446"/>
      <c r="J57" s="446"/>
      <c r="K57" s="446"/>
      <c r="L57" s="446"/>
      <c r="M57" s="447"/>
      <c r="N57" s="300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301"/>
      <c r="D58" s="301"/>
      <c r="E58" s="301"/>
      <c r="F58" s="426"/>
      <c r="G58" s="426"/>
      <c r="H58" s="426"/>
      <c r="I58" s="426"/>
      <c r="J58" s="426"/>
      <c r="K58" s="426"/>
      <c r="L58" s="426"/>
      <c r="M58" s="436"/>
      <c r="N58" s="300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301"/>
      <c r="D59" s="301"/>
      <c r="E59" s="301"/>
      <c r="F59" s="445"/>
      <c r="G59" s="446"/>
      <c r="H59" s="446"/>
      <c r="I59" s="446"/>
      <c r="J59" s="446"/>
      <c r="K59" s="446"/>
      <c r="L59" s="446"/>
      <c r="M59" s="447"/>
      <c r="N59" s="300"/>
      <c r="O59" s="124"/>
      <c r="P59" s="435"/>
      <c r="Q59" s="435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  <c r="AF59" s="93">
        <f>8*3000</f>
        <v>24000</v>
      </c>
    </row>
    <row r="60" spans="1:32" ht="27" customHeight="1" thickBot="1">
      <c r="A60" s="437"/>
      <c r="B60" s="438"/>
      <c r="C60" s="303"/>
      <c r="D60" s="303"/>
      <c r="E60" s="303"/>
      <c r="F60" s="439"/>
      <c r="G60" s="439"/>
      <c r="H60" s="439"/>
      <c r="I60" s="439"/>
      <c r="J60" s="439"/>
      <c r="K60" s="439"/>
      <c r="L60" s="439"/>
      <c r="M60" s="440"/>
      <c r="N60" s="302"/>
      <c r="O60" s="120"/>
      <c r="P60" s="438"/>
      <c r="Q60" s="438"/>
      <c r="R60" s="438"/>
      <c r="S60" s="438"/>
      <c r="T60" s="438"/>
      <c r="U60" s="438"/>
      <c r="V60" s="441"/>
      <c r="W60" s="441"/>
      <c r="X60" s="441"/>
      <c r="Y60" s="441"/>
      <c r="Z60" s="441"/>
      <c r="AA60" s="441"/>
      <c r="AB60" s="441"/>
      <c r="AC60" s="441"/>
      <c r="AD60" s="442"/>
      <c r="AF60" s="93">
        <f>16*3000</f>
        <v>48000</v>
      </c>
    </row>
    <row r="61" spans="1:32" ht="27.75" thickBot="1">
      <c r="A61" s="432" t="s">
        <v>448</v>
      </c>
      <c r="B61" s="432"/>
      <c r="C61" s="432"/>
      <c r="D61" s="432"/>
      <c r="E61" s="43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3" t="s">
        <v>113</v>
      </c>
      <c r="B62" s="430"/>
      <c r="C62" s="304" t="s">
        <v>2</v>
      </c>
      <c r="D62" s="304" t="s">
        <v>37</v>
      </c>
      <c r="E62" s="304" t="s">
        <v>3</v>
      </c>
      <c r="F62" s="430" t="s">
        <v>110</v>
      </c>
      <c r="G62" s="430"/>
      <c r="H62" s="430"/>
      <c r="I62" s="430"/>
      <c r="J62" s="430"/>
      <c r="K62" s="430" t="s">
        <v>39</v>
      </c>
      <c r="L62" s="430"/>
      <c r="M62" s="304" t="s">
        <v>40</v>
      </c>
      <c r="N62" s="430" t="s">
        <v>41</v>
      </c>
      <c r="O62" s="430"/>
      <c r="P62" s="427" t="s">
        <v>42</v>
      </c>
      <c r="Q62" s="429"/>
      <c r="R62" s="427" t="s">
        <v>43</v>
      </c>
      <c r="S62" s="428"/>
      <c r="T62" s="428"/>
      <c r="U62" s="428"/>
      <c r="V62" s="428"/>
      <c r="W62" s="428"/>
      <c r="X62" s="428"/>
      <c r="Y62" s="428"/>
      <c r="Z62" s="428"/>
      <c r="AA62" s="429"/>
      <c r="AB62" s="430" t="s">
        <v>44</v>
      </c>
      <c r="AC62" s="430"/>
      <c r="AD62" s="431"/>
      <c r="AF62" s="93">
        <f>SUM(AF59:AF61)</f>
        <v>96000</v>
      </c>
    </row>
    <row r="63" spans="1:32" ht="25.5" customHeight="1">
      <c r="A63" s="422">
        <v>1</v>
      </c>
      <c r="B63" s="423"/>
      <c r="C63" s="123" t="s">
        <v>118</v>
      </c>
      <c r="D63" s="307"/>
      <c r="E63" s="305" t="s">
        <v>120</v>
      </c>
      <c r="F63" s="424" t="s">
        <v>397</v>
      </c>
      <c r="G63" s="416"/>
      <c r="H63" s="416"/>
      <c r="I63" s="416"/>
      <c r="J63" s="416"/>
      <c r="K63" s="416" t="s">
        <v>187</v>
      </c>
      <c r="L63" s="416"/>
      <c r="M63" s="54" t="s">
        <v>197</v>
      </c>
      <c r="N63" s="416">
        <v>4</v>
      </c>
      <c r="O63" s="416"/>
      <c r="P63" s="425">
        <v>50</v>
      </c>
      <c r="Q63" s="425"/>
      <c r="R63" s="426"/>
      <c r="S63" s="426"/>
      <c r="T63" s="426"/>
      <c r="U63" s="426"/>
      <c r="V63" s="426"/>
      <c r="W63" s="426"/>
      <c r="X63" s="426"/>
      <c r="Y63" s="426"/>
      <c r="Z63" s="426"/>
      <c r="AA63" s="426"/>
      <c r="AB63" s="416"/>
      <c r="AC63" s="416"/>
      <c r="AD63" s="417"/>
      <c r="AF63" s="53"/>
    </row>
    <row r="64" spans="1:32" ht="25.5" customHeight="1">
      <c r="A64" s="422">
        <v>2</v>
      </c>
      <c r="B64" s="423"/>
      <c r="C64" s="123" t="s">
        <v>118</v>
      </c>
      <c r="D64" s="307"/>
      <c r="E64" s="305" t="s">
        <v>120</v>
      </c>
      <c r="F64" s="424" t="s">
        <v>449</v>
      </c>
      <c r="G64" s="416"/>
      <c r="H64" s="416"/>
      <c r="I64" s="416"/>
      <c r="J64" s="416"/>
      <c r="K64" s="416" t="s">
        <v>187</v>
      </c>
      <c r="L64" s="416"/>
      <c r="M64" s="54" t="s">
        <v>135</v>
      </c>
      <c r="N64" s="416">
        <v>4</v>
      </c>
      <c r="O64" s="416"/>
      <c r="P64" s="425"/>
      <c r="Q64" s="425"/>
      <c r="R64" s="426" t="s">
        <v>450</v>
      </c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3</v>
      </c>
      <c r="B65" s="423"/>
      <c r="C65" s="123" t="s">
        <v>114</v>
      </c>
      <c r="D65" s="307"/>
      <c r="E65" s="305" t="s">
        <v>117</v>
      </c>
      <c r="F65" s="424" t="s">
        <v>235</v>
      </c>
      <c r="G65" s="416"/>
      <c r="H65" s="416"/>
      <c r="I65" s="416"/>
      <c r="J65" s="416"/>
      <c r="K65" s="416" t="s">
        <v>181</v>
      </c>
      <c r="L65" s="416"/>
      <c r="M65" s="54" t="s">
        <v>197</v>
      </c>
      <c r="N65" s="416">
        <v>8</v>
      </c>
      <c r="O65" s="416"/>
      <c r="P65" s="425">
        <v>30</v>
      </c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4</v>
      </c>
      <c r="B66" s="423"/>
      <c r="C66" s="123" t="s">
        <v>114</v>
      </c>
      <c r="D66" s="307"/>
      <c r="E66" s="305" t="s">
        <v>127</v>
      </c>
      <c r="F66" s="424" t="s">
        <v>387</v>
      </c>
      <c r="G66" s="416"/>
      <c r="H66" s="416"/>
      <c r="I66" s="416"/>
      <c r="J66" s="416"/>
      <c r="K66" s="416" t="s">
        <v>266</v>
      </c>
      <c r="L66" s="416"/>
      <c r="M66" s="54" t="s">
        <v>197</v>
      </c>
      <c r="N66" s="416">
        <v>7</v>
      </c>
      <c r="O66" s="416"/>
      <c r="P66" s="425">
        <v>400</v>
      </c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5</v>
      </c>
      <c r="B67" s="423"/>
      <c r="C67" s="123" t="s">
        <v>114</v>
      </c>
      <c r="D67" s="307"/>
      <c r="E67" s="305" t="s">
        <v>124</v>
      </c>
      <c r="F67" s="424" t="s">
        <v>385</v>
      </c>
      <c r="G67" s="416"/>
      <c r="H67" s="416"/>
      <c r="I67" s="416"/>
      <c r="J67" s="416"/>
      <c r="K67" s="416" t="s">
        <v>252</v>
      </c>
      <c r="L67" s="416"/>
      <c r="M67" s="54" t="s">
        <v>197</v>
      </c>
      <c r="N67" s="416">
        <v>13</v>
      </c>
      <c r="O67" s="416"/>
      <c r="P67" s="425">
        <v>800</v>
      </c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6</v>
      </c>
      <c r="B68" s="423"/>
      <c r="C68" s="123" t="s">
        <v>114</v>
      </c>
      <c r="D68" s="307"/>
      <c r="E68" s="305" t="s">
        <v>341</v>
      </c>
      <c r="F68" s="424" t="s">
        <v>386</v>
      </c>
      <c r="G68" s="416"/>
      <c r="H68" s="416"/>
      <c r="I68" s="416"/>
      <c r="J68" s="416"/>
      <c r="K68" s="416" t="s">
        <v>342</v>
      </c>
      <c r="L68" s="416"/>
      <c r="M68" s="54" t="s">
        <v>197</v>
      </c>
      <c r="N68" s="416">
        <v>6</v>
      </c>
      <c r="O68" s="416"/>
      <c r="P68" s="425">
        <v>400</v>
      </c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7</v>
      </c>
      <c r="B69" s="423"/>
      <c r="C69" s="123" t="s">
        <v>114</v>
      </c>
      <c r="D69" s="307"/>
      <c r="E69" s="305" t="s">
        <v>119</v>
      </c>
      <c r="F69" s="424" t="s">
        <v>389</v>
      </c>
      <c r="G69" s="416"/>
      <c r="H69" s="416"/>
      <c r="I69" s="416"/>
      <c r="J69" s="416"/>
      <c r="K69" s="416" t="s">
        <v>390</v>
      </c>
      <c r="L69" s="416"/>
      <c r="M69" s="54" t="s">
        <v>197</v>
      </c>
      <c r="N69" s="416">
        <v>4</v>
      </c>
      <c r="O69" s="416"/>
      <c r="P69" s="425">
        <v>400</v>
      </c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8</v>
      </c>
      <c r="B70" s="423"/>
      <c r="C70" s="123" t="s">
        <v>123</v>
      </c>
      <c r="D70" s="307"/>
      <c r="E70" s="305" t="s">
        <v>117</v>
      </c>
      <c r="F70" s="424" t="s">
        <v>451</v>
      </c>
      <c r="G70" s="416"/>
      <c r="H70" s="416"/>
      <c r="I70" s="416"/>
      <c r="J70" s="416"/>
      <c r="K70" s="416" t="s">
        <v>266</v>
      </c>
      <c r="L70" s="416"/>
      <c r="M70" s="54" t="s">
        <v>253</v>
      </c>
      <c r="N70" s="416">
        <v>7</v>
      </c>
      <c r="O70" s="416"/>
      <c r="P70" s="425">
        <v>20</v>
      </c>
      <c r="Q70" s="425"/>
      <c r="R70" s="426" t="s">
        <v>452</v>
      </c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6.25" customHeight="1" thickBot="1">
      <c r="A71" s="396" t="s">
        <v>453</v>
      </c>
      <c r="B71" s="396"/>
      <c r="C71" s="396"/>
      <c r="D71" s="396"/>
      <c r="E71" s="396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7" t="s">
        <v>113</v>
      </c>
      <c r="B72" s="398"/>
      <c r="C72" s="306" t="s">
        <v>2</v>
      </c>
      <c r="D72" s="306" t="s">
        <v>37</v>
      </c>
      <c r="E72" s="306" t="s">
        <v>3</v>
      </c>
      <c r="F72" s="398" t="s">
        <v>38</v>
      </c>
      <c r="G72" s="398"/>
      <c r="H72" s="398"/>
      <c r="I72" s="398"/>
      <c r="J72" s="398"/>
      <c r="K72" s="418" t="s">
        <v>58</v>
      </c>
      <c r="L72" s="419"/>
      <c r="M72" s="419"/>
      <c r="N72" s="419"/>
      <c r="O72" s="419"/>
      <c r="P72" s="419"/>
      <c r="Q72" s="419"/>
      <c r="R72" s="419"/>
      <c r="S72" s="420"/>
      <c r="T72" s="398" t="s">
        <v>49</v>
      </c>
      <c r="U72" s="398"/>
      <c r="V72" s="418" t="s">
        <v>50</v>
      </c>
      <c r="W72" s="420"/>
      <c r="X72" s="419" t="s">
        <v>51</v>
      </c>
      <c r="Y72" s="419"/>
      <c r="Z72" s="419"/>
      <c r="AA72" s="419"/>
      <c r="AB72" s="419"/>
      <c r="AC72" s="419"/>
      <c r="AD72" s="421"/>
      <c r="AF72" s="53"/>
    </row>
    <row r="73" spans="1:32" ht="33.75" customHeight="1">
      <c r="A73" s="390">
        <v>1</v>
      </c>
      <c r="B73" s="391"/>
      <c r="C73" s="308" t="s">
        <v>114</v>
      </c>
      <c r="D73" s="308"/>
      <c r="E73" s="71" t="s">
        <v>127</v>
      </c>
      <c r="F73" s="405" t="s">
        <v>126</v>
      </c>
      <c r="G73" s="406"/>
      <c r="H73" s="406"/>
      <c r="I73" s="406"/>
      <c r="J73" s="407"/>
      <c r="K73" s="408" t="s">
        <v>128</v>
      </c>
      <c r="L73" s="409"/>
      <c r="M73" s="409"/>
      <c r="N73" s="409"/>
      <c r="O73" s="409"/>
      <c r="P73" s="409"/>
      <c r="Q73" s="409"/>
      <c r="R73" s="409"/>
      <c r="S73" s="410"/>
      <c r="T73" s="411">
        <v>43384</v>
      </c>
      <c r="U73" s="412"/>
      <c r="V73" s="413"/>
      <c r="W73" s="413"/>
      <c r="X73" s="414"/>
      <c r="Y73" s="414"/>
      <c r="Z73" s="414"/>
      <c r="AA73" s="414"/>
      <c r="AB73" s="414"/>
      <c r="AC73" s="414"/>
      <c r="AD73" s="415"/>
      <c r="AF73" s="53"/>
    </row>
    <row r="74" spans="1:32" ht="30" customHeight="1">
      <c r="A74" s="383">
        <f>A73+1</f>
        <v>2</v>
      </c>
      <c r="B74" s="384"/>
      <c r="C74" s="307"/>
      <c r="D74" s="307"/>
      <c r="E74" s="35"/>
      <c r="F74" s="384"/>
      <c r="G74" s="384"/>
      <c r="H74" s="384"/>
      <c r="I74" s="384"/>
      <c r="J74" s="384"/>
      <c r="K74" s="399"/>
      <c r="L74" s="400"/>
      <c r="M74" s="400"/>
      <c r="N74" s="400"/>
      <c r="O74" s="400"/>
      <c r="P74" s="400"/>
      <c r="Q74" s="400"/>
      <c r="R74" s="400"/>
      <c r="S74" s="401"/>
      <c r="T74" s="402"/>
      <c r="U74" s="402"/>
      <c r="V74" s="402"/>
      <c r="W74" s="402"/>
      <c r="X74" s="403"/>
      <c r="Y74" s="403"/>
      <c r="Z74" s="403"/>
      <c r="AA74" s="403"/>
      <c r="AB74" s="403"/>
      <c r="AC74" s="403"/>
      <c r="AD74" s="404"/>
      <c r="AF74" s="53"/>
    </row>
    <row r="75" spans="1:32" ht="30" customHeight="1">
      <c r="A75" s="383">
        <f t="shared" ref="A75:A81" si="18">A74+1</f>
        <v>3</v>
      </c>
      <c r="B75" s="384"/>
      <c r="C75" s="307"/>
      <c r="D75" s="307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si="18"/>
        <v>4</v>
      </c>
      <c r="B76" s="384"/>
      <c r="C76" s="307"/>
      <c r="D76" s="307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8"/>
        <v>5</v>
      </c>
      <c r="B77" s="384"/>
      <c r="C77" s="307"/>
      <c r="D77" s="307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8"/>
        <v>6</v>
      </c>
      <c r="B78" s="384"/>
      <c r="C78" s="307"/>
      <c r="D78" s="307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8"/>
        <v>7</v>
      </c>
      <c r="B79" s="384"/>
      <c r="C79" s="307"/>
      <c r="D79" s="307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8"/>
        <v>8</v>
      </c>
      <c r="B80" s="384"/>
      <c r="C80" s="307"/>
      <c r="D80" s="307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8"/>
        <v>9</v>
      </c>
      <c r="B81" s="384"/>
      <c r="C81" s="307"/>
      <c r="D81" s="307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6" thickBot="1">
      <c r="A82" s="396" t="s">
        <v>454</v>
      </c>
      <c r="B82" s="396"/>
      <c r="C82" s="396"/>
      <c r="D82" s="396"/>
      <c r="E82" s="396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7" t="s">
        <v>113</v>
      </c>
      <c r="B83" s="398"/>
      <c r="C83" s="388" t="s">
        <v>52</v>
      </c>
      <c r="D83" s="388"/>
      <c r="E83" s="388" t="s">
        <v>53</v>
      </c>
      <c r="F83" s="388"/>
      <c r="G83" s="388"/>
      <c r="H83" s="388"/>
      <c r="I83" s="388"/>
      <c r="J83" s="388"/>
      <c r="K83" s="388" t="s">
        <v>54</v>
      </c>
      <c r="L83" s="388"/>
      <c r="M83" s="388"/>
      <c r="N83" s="388"/>
      <c r="O83" s="388"/>
      <c r="P83" s="388"/>
      <c r="Q83" s="388"/>
      <c r="R83" s="388"/>
      <c r="S83" s="388"/>
      <c r="T83" s="388" t="s">
        <v>55</v>
      </c>
      <c r="U83" s="388"/>
      <c r="V83" s="388" t="s">
        <v>56</v>
      </c>
      <c r="W83" s="388"/>
      <c r="X83" s="388"/>
      <c r="Y83" s="388" t="s">
        <v>51</v>
      </c>
      <c r="Z83" s="388"/>
      <c r="AA83" s="388"/>
      <c r="AB83" s="388"/>
      <c r="AC83" s="388"/>
      <c r="AD83" s="389"/>
      <c r="AF83" s="53"/>
    </row>
    <row r="84" spans="1:32" ht="30.75" customHeight="1">
      <c r="A84" s="390">
        <v>1</v>
      </c>
      <c r="B84" s="391"/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3"/>
      <c r="W84" s="393"/>
      <c r="X84" s="393"/>
      <c r="Y84" s="394"/>
      <c r="Z84" s="394"/>
      <c r="AA84" s="394"/>
      <c r="AB84" s="394"/>
      <c r="AC84" s="394"/>
      <c r="AD84" s="395"/>
      <c r="AF84" s="53"/>
    </row>
    <row r="85" spans="1:32" ht="30.75" customHeight="1">
      <c r="A85" s="383">
        <v>2</v>
      </c>
      <c r="B85" s="384"/>
      <c r="C85" s="385"/>
      <c r="D85" s="385"/>
      <c r="E85" s="385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6"/>
      <c r="U85" s="386"/>
      <c r="V85" s="387"/>
      <c r="W85" s="387"/>
      <c r="X85" s="387"/>
      <c r="Y85" s="376"/>
      <c r="Z85" s="376"/>
      <c r="AA85" s="376"/>
      <c r="AB85" s="376"/>
      <c r="AC85" s="376"/>
      <c r="AD85" s="377"/>
      <c r="AF85" s="53"/>
    </row>
    <row r="86" spans="1:32" ht="30.75" customHeight="1" thickBot="1">
      <c r="A86" s="378">
        <v>3</v>
      </c>
      <c r="B86" s="379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  <c r="X86" s="380"/>
      <c r="Y86" s="381"/>
      <c r="Z86" s="381"/>
      <c r="AA86" s="381"/>
      <c r="AB86" s="381"/>
      <c r="AC86" s="381"/>
      <c r="AD86" s="382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4546-8A02-467C-B39F-2FF7240EC7A9}">
  <sheetPr>
    <pageSetUpPr fitToPage="1"/>
  </sheetPr>
  <dimension ref="A1:AF86"/>
  <sheetViews>
    <sheetView zoomScale="72" zoomScaleNormal="72" zoomScaleSheetLayoutView="70" workbookViewId="0">
      <selection activeCell="F77" sqref="F77:J7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456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309" t="s">
        <v>17</v>
      </c>
      <c r="L5" s="309" t="s">
        <v>18</v>
      </c>
      <c r="M5" s="309" t="s">
        <v>19</v>
      </c>
      <c r="N5" s="30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0.36666666666666664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0.36666666666666664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123</v>
      </c>
      <c r="D8" s="55" t="s">
        <v>349</v>
      </c>
      <c r="E8" s="57" t="s">
        <v>350</v>
      </c>
      <c r="F8" s="33" t="s">
        <v>140</v>
      </c>
      <c r="G8" s="36" t="s">
        <v>240</v>
      </c>
      <c r="H8" s="38">
        <v>25</v>
      </c>
      <c r="I8" s="7">
        <v>3000</v>
      </c>
      <c r="J8" s="5">
        <v>793</v>
      </c>
      <c r="K8" s="15">
        <f>L8+2611+793</f>
        <v>3404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0.36666666666666664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118</v>
      </c>
      <c r="D9" s="55" t="s">
        <v>120</v>
      </c>
      <c r="E9" s="57" t="s">
        <v>397</v>
      </c>
      <c r="F9" s="33" t="s">
        <v>187</v>
      </c>
      <c r="G9" s="36">
        <v>1</v>
      </c>
      <c r="H9" s="38">
        <v>24</v>
      </c>
      <c r="I9" s="7">
        <v>7000</v>
      </c>
      <c r="J9" s="14">
        <v>5082</v>
      </c>
      <c r="K9" s="15">
        <f>L9+3005</f>
        <v>8087</v>
      </c>
      <c r="L9" s="15">
        <f>2660+2422</f>
        <v>5082</v>
      </c>
      <c r="M9" s="16">
        <f t="shared" si="0"/>
        <v>5082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1</v>
      </c>
      <c r="AD9" s="10">
        <f t="shared" si="6"/>
        <v>1</v>
      </c>
      <c r="AE9" s="39">
        <f t="shared" si="7"/>
        <v>0.36666666666666664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123</v>
      </c>
      <c r="D10" s="55" t="s">
        <v>119</v>
      </c>
      <c r="E10" s="57" t="s">
        <v>147</v>
      </c>
      <c r="F10" s="12" t="s">
        <v>121</v>
      </c>
      <c r="G10" s="12">
        <v>4</v>
      </c>
      <c r="H10" s="13">
        <v>25</v>
      </c>
      <c r="I10" s="7">
        <v>400000</v>
      </c>
      <c r="J10" s="14">
        <v>8370</v>
      </c>
      <c r="K10" s="15">
        <f>L10+23776+26072+26756+24764+18432+17192+18752+24536+24336+16996+23988+25708+23312+23400+25624+22984+10488+22848+8370</f>
        <v>408334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0.36666666666666664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114</v>
      </c>
      <c r="D11" s="55" t="s">
        <v>341</v>
      </c>
      <c r="E11" s="57" t="s">
        <v>457</v>
      </c>
      <c r="F11" s="12" t="s">
        <v>342</v>
      </c>
      <c r="G11" s="12">
        <v>1</v>
      </c>
      <c r="H11" s="13">
        <v>25</v>
      </c>
      <c r="I11" s="7">
        <v>1200</v>
      </c>
      <c r="J11" s="14">
        <v>1583</v>
      </c>
      <c r="K11" s="15">
        <f>L11</f>
        <v>1583</v>
      </c>
      <c r="L11" s="15">
        <v>1583</v>
      </c>
      <c r="M11" s="16">
        <f t="shared" si="0"/>
        <v>1583</v>
      </c>
      <c r="N11" s="16">
        <v>0</v>
      </c>
      <c r="O11" s="62">
        <f t="shared" si="1"/>
        <v>0</v>
      </c>
      <c r="P11" s="42">
        <f t="shared" si="2"/>
        <v>9</v>
      </c>
      <c r="Q11" s="43">
        <f t="shared" si="3"/>
        <v>15</v>
      </c>
      <c r="R11" s="7"/>
      <c r="S11" s="6"/>
      <c r="T11" s="17"/>
      <c r="U11" s="17"/>
      <c r="V11" s="18"/>
      <c r="W11" s="19">
        <v>15</v>
      </c>
      <c r="X11" s="17"/>
      <c r="Y11" s="20"/>
      <c r="Z11" s="20"/>
      <c r="AA11" s="21"/>
      <c r="AB11" s="8">
        <f t="shared" si="4"/>
        <v>1</v>
      </c>
      <c r="AC11" s="9">
        <f t="shared" si="5"/>
        <v>0.375</v>
      </c>
      <c r="AD11" s="10">
        <f t="shared" si="6"/>
        <v>0.375</v>
      </c>
      <c r="AE11" s="39">
        <f t="shared" si="7"/>
        <v>0.36666666666666664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443</v>
      </c>
      <c r="E12" s="57" t="s">
        <v>444</v>
      </c>
      <c r="F12" s="33" t="s">
        <v>310</v>
      </c>
      <c r="G12" s="36">
        <v>32</v>
      </c>
      <c r="H12" s="38">
        <v>24</v>
      </c>
      <c r="I12" s="7">
        <v>200000</v>
      </c>
      <c r="J12" s="14">
        <v>162624</v>
      </c>
      <c r="K12" s="15">
        <f>L12</f>
        <v>162624</v>
      </c>
      <c r="L12" s="15">
        <f>1335*32+3747*32</f>
        <v>162624</v>
      </c>
      <c r="M12" s="16">
        <f t="shared" si="0"/>
        <v>162624</v>
      </c>
      <c r="N12" s="16">
        <v>0</v>
      </c>
      <c r="O12" s="62">
        <f t="shared" si="1"/>
        <v>0</v>
      </c>
      <c r="P12" s="42">
        <f t="shared" si="2"/>
        <v>21</v>
      </c>
      <c r="Q12" s="43">
        <f t="shared" si="3"/>
        <v>3</v>
      </c>
      <c r="R12" s="7"/>
      <c r="S12" s="6"/>
      <c r="T12" s="17">
        <v>3</v>
      </c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0.875</v>
      </c>
      <c r="AD12" s="10">
        <f t="shared" si="6"/>
        <v>0.875</v>
      </c>
      <c r="AE12" s="39">
        <f t="shared" si="7"/>
        <v>0.36666666666666664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117</v>
      </c>
      <c r="E13" s="57" t="s">
        <v>312</v>
      </c>
      <c r="F13" s="33" t="s">
        <v>242</v>
      </c>
      <c r="G13" s="36">
        <v>1</v>
      </c>
      <c r="H13" s="38">
        <v>24</v>
      </c>
      <c r="I13" s="7">
        <v>7000</v>
      </c>
      <c r="J13" s="14">
        <v>3418</v>
      </c>
      <c r="K13" s="15">
        <f>L13+2961+3418</f>
        <v>6379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0.36666666666666664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114</v>
      </c>
      <c r="D14" s="55" t="s">
        <v>117</v>
      </c>
      <c r="E14" s="57" t="s">
        <v>284</v>
      </c>
      <c r="F14" s="33" t="s">
        <v>352</v>
      </c>
      <c r="G14" s="36">
        <v>1</v>
      </c>
      <c r="H14" s="38">
        <v>25</v>
      </c>
      <c r="I14" s="7">
        <v>300</v>
      </c>
      <c r="J14" s="5">
        <v>375</v>
      </c>
      <c r="K14" s="15">
        <f>L14+375</f>
        <v>375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0.36666666666666664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123</v>
      </c>
      <c r="D15" s="55" t="s">
        <v>362</v>
      </c>
      <c r="E15" s="57" t="s">
        <v>334</v>
      </c>
      <c r="F15" s="12" t="s">
        <v>131</v>
      </c>
      <c r="G15" s="12">
        <v>1</v>
      </c>
      <c r="H15" s="13">
        <v>24</v>
      </c>
      <c r="I15" s="34">
        <v>12000</v>
      </c>
      <c r="J15" s="14">
        <v>2381</v>
      </c>
      <c r="K15" s="15">
        <f>L15+3042+7558+2381</f>
        <v>12981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0.36666666666666664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11" t="s">
        <v>123</v>
      </c>
      <c r="D16" s="55" t="s">
        <v>227</v>
      </c>
      <c r="E16" s="57" t="s">
        <v>141</v>
      </c>
      <c r="F16" s="12" t="s">
        <v>121</v>
      </c>
      <c r="G16" s="12">
        <v>2</v>
      </c>
      <c r="H16" s="13">
        <v>25</v>
      </c>
      <c r="I16" s="7">
        <v>105000</v>
      </c>
      <c r="J16" s="14">
        <v>14610</v>
      </c>
      <c r="K16" s="15">
        <f>L16+9052+14066+13010+14610</f>
        <v>50738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0.36666666666666664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192</v>
      </c>
      <c r="D17" s="55" t="s">
        <v>436</v>
      </c>
      <c r="E17" s="57" t="s">
        <v>437</v>
      </c>
      <c r="F17" s="12" t="s">
        <v>438</v>
      </c>
      <c r="G17" s="12">
        <v>3</v>
      </c>
      <c r="H17" s="13">
        <v>24</v>
      </c>
      <c r="I17" s="34">
        <f>16000*2+12000</f>
        <v>44000</v>
      </c>
      <c r="J17" s="14">
        <v>21507</v>
      </c>
      <c r="K17" s="15">
        <f>L17+20226</f>
        <v>41733</v>
      </c>
      <c r="L17" s="15">
        <f>3177*3+3992*3</f>
        <v>21507</v>
      </c>
      <c r="M17" s="16">
        <f t="shared" si="0"/>
        <v>21507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0.36666666666666664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114</v>
      </c>
      <c r="D18" s="55" t="s">
        <v>134</v>
      </c>
      <c r="E18" s="57" t="s">
        <v>439</v>
      </c>
      <c r="F18" s="12" t="s">
        <v>121</v>
      </c>
      <c r="G18" s="36">
        <v>1</v>
      </c>
      <c r="H18" s="38">
        <v>24</v>
      </c>
      <c r="I18" s="7">
        <v>2000</v>
      </c>
      <c r="J18" s="5">
        <v>1666</v>
      </c>
      <c r="K18" s="15">
        <f>L18+2524</f>
        <v>4190</v>
      </c>
      <c r="L18" s="15">
        <v>1666</v>
      </c>
      <c r="M18" s="16">
        <f t="shared" si="0"/>
        <v>1666</v>
      </c>
      <c r="N18" s="16">
        <v>0</v>
      </c>
      <c r="O18" s="62">
        <f t="shared" si="1"/>
        <v>0</v>
      </c>
      <c r="P18" s="42">
        <f t="shared" si="2"/>
        <v>6</v>
      </c>
      <c r="Q18" s="43">
        <f t="shared" si="3"/>
        <v>18</v>
      </c>
      <c r="R18" s="7"/>
      <c r="S18" s="6"/>
      <c r="T18" s="17"/>
      <c r="U18" s="17"/>
      <c r="V18" s="18"/>
      <c r="W18" s="19">
        <v>18</v>
      </c>
      <c r="X18" s="17"/>
      <c r="Y18" s="20"/>
      <c r="Z18" s="20"/>
      <c r="AA18" s="21"/>
      <c r="AB18" s="8">
        <f t="shared" si="4"/>
        <v>1</v>
      </c>
      <c r="AC18" s="9">
        <f t="shared" si="5"/>
        <v>0.25</v>
      </c>
      <c r="AD18" s="10">
        <f>AC18*AB18*(1-O18)</f>
        <v>0.25</v>
      </c>
      <c r="AE18" s="39">
        <f t="shared" si="7"/>
        <v>0.36666666666666664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37" t="s">
        <v>123</v>
      </c>
      <c r="D19" s="55" t="s">
        <v>117</v>
      </c>
      <c r="E19" s="57" t="s">
        <v>153</v>
      </c>
      <c r="F19" s="12" t="s">
        <v>129</v>
      </c>
      <c r="G19" s="36">
        <v>4</v>
      </c>
      <c r="H19" s="38">
        <v>24</v>
      </c>
      <c r="I19" s="7">
        <v>400000</v>
      </c>
      <c r="J19" s="5">
        <v>17141</v>
      </c>
      <c r="K19" s="15">
        <f>L19+12380+14384+22568+16460+13888+20848+20972+20888+19996+10224+14424+21632+20220+19704+9284+22304+15876+16404+16660</f>
        <v>346257</v>
      </c>
      <c r="L19" s="15">
        <f>2096*4+2919*3</f>
        <v>17141</v>
      </c>
      <c r="M19" s="16">
        <f t="shared" si="0"/>
        <v>17141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>AC19*AB19*(1-O19)</f>
        <v>1</v>
      </c>
      <c r="AE19" s="39">
        <f t="shared" si="7"/>
        <v>0.36666666666666664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423</v>
      </c>
      <c r="F20" s="12" t="s">
        <v>116</v>
      </c>
      <c r="G20" s="12">
        <v>4</v>
      </c>
      <c r="H20" s="38">
        <v>20</v>
      </c>
      <c r="I20" s="7">
        <v>100000</v>
      </c>
      <c r="J20" s="14">
        <v>84476</v>
      </c>
      <c r="K20" s="15">
        <f>L20+10712+37244</f>
        <v>132432</v>
      </c>
      <c r="L20" s="15">
        <f>9961*4+11158*4</f>
        <v>84476</v>
      </c>
      <c r="M20" s="16">
        <f t="shared" si="0"/>
        <v>84476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0.36666666666666664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1281500</v>
      </c>
      <c r="J21" s="22">
        <f t="shared" si="9"/>
        <v>324026</v>
      </c>
      <c r="K21" s="23">
        <f t="shared" si="9"/>
        <v>1179117</v>
      </c>
      <c r="L21" s="24">
        <f t="shared" si="9"/>
        <v>294079</v>
      </c>
      <c r="M21" s="23">
        <f t="shared" si="9"/>
        <v>294079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132</v>
      </c>
      <c r="Q21" s="46">
        <f t="shared" si="10"/>
        <v>228</v>
      </c>
      <c r="R21" s="26">
        <f t="shared" si="10"/>
        <v>24</v>
      </c>
      <c r="S21" s="27">
        <f t="shared" si="10"/>
        <v>0</v>
      </c>
      <c r="T21" s="27">
        <f t="shared" si="10"/>
        <v>3</v>
      </c>
      <c r="U21" s="27">
        <f t="shared" si="10"/>
        <v>0</v>
      </c>
      <c r="V21" s="28">
        <f t="shared" si="10"/>
        <v>0</v>
      </c>
      <c r="W21" s="29">
        <f t="shared" si="10"/>
        <v>201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0.46666666666666667</v>
      </c>
      <c r="AC21" s="4">
        <f>SUM(AC6:AC20)/15</f>
        <v>0.36666666666666664</v>
      </c>
      <c r="AD21" s="4">
        <f>SUM(AD6:AD20)/15</f>
        <v>0.36666666666666664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458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460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310" t="s">
        <v>46</v>
      </c>
      <c r="D50" s="310" t="s">
        <v>47</v>
      </c>
      <c r="E50" s="310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310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4" t="s">
        <v>123</v>
      </c>
      <c r="B51" s="435"/>
      <c r="C51" s="312" t="s">
        <v>219</v>
      </c>
      <c r="D51" s="312" t="s">
        <v>117</v>
      </c>
      <c r="E51" s="312" t="s">
        <v>366</v>
      </c>
      <c r="F51" s="445" t="s">
        <v>459</v>
      </c>
      <c r="G51" s="446"/>
      <c r="H51" s="446"/>
      <c r="I51" s="446"/>
      <c r="J51" s="446"/>
      <c r="K51" s="446"/>
      <c r="L51" s="446"/>
      <c r="M51" s="447"/>
      <c r="N51" s="311" t="s">
        <v>260</v>
      </c>
      <c r="O51" s="124" t="s">
        <v>193</v>
      </c>
      <c r="P51" s="443"/>
      <c r="Q51" s="444"/>
      <c r="R51" s="435" t="s">
        <v>461</v>
      </c>
      <c r="S51" s="435"/>
      <c r="T51" s="435"/>
      <c r="U51" s="435"/>
      <c r="V51" s="426" t="s">
        <v>171</v>
      </c>
      <c r="W51" s="426"/>
      <c r="X51" s="426"/>
      <c r="Y51" s="426"/>
      <c r="Z51" s="426"/>
      <c r="AA51" s="426"/>
      <c r="AB51" s="426"/>
      <c r="AC51" s="426"/>
      <c r="AD51" s="436"/>
    </row>
    <row r="52" spans="1:32" ht="27" customHeight="1">
      <c r="A52" s="434" t="s">
        <v>118</v>
      </c>
      <c r="B52" s="435"/>
      <c r="C52" s="312" t="s">
        <v>178</v>
      </c>
      <c r="D52" s="312" t="s">
        <v>443</v>
      </c>
      <c r="E52" s="312" t="s">
        <v>444</v>
      </c>
      <c r="F52" s="445" t="s">
        <v>171</v>
      </c>
      <c r="G52" s="446"/>
      <c r="H52" s="446"/>
      <c r="I52" s="446"/>
      <c r="J52" s="446"/>
      <c r="K52" s="446"/>
      <c r="L52" s="446"/>
      <c r="M52" s="447"/>
      <c r="N52" s="311" t="s">
        <v>123</v>
      </c>
      <c r="O52" s="124" t="s">
        <v>154</v>
      </c>
      <c r="P52" s="435" t="s">
        <v>202</v>
      </c>
      <c r="Q52" s="435"/>
      <c r="R52" s="435" t="s">
        <v>431</v>
      </c>
      <c r="S52" s="435"/>
      <c r="T52" s="435"/>
      <c r="U52" s="435"/>
      <c r="V52" s="426" t="s">
        <v>445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114</v>
      </c>
      <c r="B53" s="435"/>
      <c r="C53" s="312" t="s">
        <v>144</v>
      </c>
      <c r="D53" s="312" t="s">
        <v>341</v>
      </c>
      <c r="E53" s="312" t="s">
        <v>457</v>
      </c>
      <c r="F53" s="445" t="s">
        <v>171</v>
      </c>
      <c r="G53" s="446"/>
      <c r="H53" s="446"/>
      <c r="I53" s="446"/>
      <c r="J53" s="446"/>
      <c r="K53" s="446"/>
      <c r="L53" s="446"/>
      <c r="M53" s="447"/>
      <c r="N53" s="311" t="s">
        <v>123</v>
      </c>
      <c r="O53" s="124" t="s">
        <v>247</v>
      </c>
      <c r="P53" s="435" t="s">
        <v>446</v>
      </c>
      <c r="Q53" s="435"/>
      <c r="R53" s="435" t="s">
        <v>447</v>
      </c>
      <c r="S53" s="435"/>
      <c r="T53" s="435"/>
      <c r="U53" s="435"/>
      <c r="V53" s="426" t="s">
        <v>445</v>
      </c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/>
      <c r="B54" s="435"/>
      <c r="C54" s="312"/>
      <c r="D54" s="312"/>
      <c r="E54" s="312"/>
      <c r="F54" s="445"/>
      <c r="G54" s="446"/>
      <c r="H54" s="446"/>
      <c r="I54" s="446"/>
      <c r="J54" s="446"/>
      <c r="K54" s="446"/>
      <c r="L54" s="446"/>
      <c r="M54" s="447"/>
      <c r="N54" s="311" t="s">
        <v>123</v>
      </c>
      <c r="O54" s="124" t="s">
        <v>219</v>
      </c>
      <c r="P54" s="443" t="s">
        <v>117</v>
      </c>
      <c r="Q54" s="444"/>
      <c r="R54" s="435" t="s">
        <v>366</v>
      </c>
      <c r="S54" s="435"/>
      <c r="T54" s="435"/>
      <c r="U54" s="435"/>
      <c r="V54" s="426" t="s">
        <v>207</v>
      </c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/>
      <c r="B55" s="435"/>
      <c r="C55" s="312"/>
      <c r="D55" s="312"/>
      <c r="E55" s="312"/>
      <c r="F55" s="445"/>
      <c r="G55" s="446"/>
      <c r="H55" s="446"/>
      <c r="I55" s="446"/>
      <c r="J55" s="446"/>
      <c r="K55" s="446"/>
      <c r="L55" s="446"/>
      <c r="M55" s="447"/>
      <c r="N55" s="311"/>
      <c r="O55" s="124"/>
      <c r="P55" s="435"/>
      <c r="Q55" s="435"/>
      <c r="R55" s="435"/>
      <c r="S55" s="435"/>
      <c r="T55" s="435"/>
      <c r="U55" s="435"/>
      <c r="V55" s="426"/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312"/>
      <c r="D56" s="312"/>
      <c r="E56" s="312"/>
      <c r="F56" s="445"/>
      <c r="G56" s="446"/>
      <c r="H56" s="446"/>
      <c r="I56" s="446"/>
      <c r="J56" s="446"/>
      <c r="K56" s="446"/>
      <c r="L56" s="446"/>
      <c r="M56" s="447"/>
      <c r="N56" s="311"/>
      <c r="O56" s="124"/>
      <c r="P56" s="443"/>
      <c r="Q56" s="444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312"/>
      <c r="D57" s="312"/>
      <c r="E57" s="312"/>
      <c r="F57" s="445"/>
      <c r="G57" s="446"/>
      <c r="H57" s="446"/>
      <c r="I57" s="446"/>
      <c r="J57" s="446"/>
      <c r="K57" s="446"/>
      <c r="L57" s="446"/>
      <c r="M57" s="447"/>
      <c r="N57" s="311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312"/>
      <c r="D58" s="312"/>
      <c r="E58" s="312"/>
      <c r="F58" s="426"/>
      <c r="G58" s="426"/>
      <c r="H58" s="426"/>
      <c r="I58" s="426"/>
      <c r="J58" s="426"/>
      <c r="K58" s="426"/>
      <c r="L58" s="426"/>
      <c r="M58" s="436"/>
      <c r="N58" s="311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312"/>
      <c r="D59" s="312"/>
      <c r="E59" s="312"/>
      <c r="F59" s="445"/>
      <c r="G59" s="446"/>
      <c r="H59" s="446"/>
      <c r="I59" s="446"/>
      <c r="J59" s="446"/>
      <c r="K59" s="446"/>
      <c r="L59" s="446"/>
      <c r="M59" s="447"/>
      <c r="N59" s="311"/>
      <c r="O59" s="124"/>
      <c r="P59" s="435"/>
      <c r="Q59" s="435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  <c r="AF59" s="93">
        <f>8*3000</f>
        <v>24000</v>
      </c>
    </row>
    <row r="60" spans="1:32" ht="27" customHeight="1" thickBot="1">
      <c r="A60" s="437"/>
      <c r="B60" s="438"/>
      <c r="C60" s="314"/>
      <c r="D60" s="314"/>
      <c r="E60" s="314"/>
      <c r="F60" s="439"/>
      <c r="G60" s="439"/>
      <c r="H60" s="439"/>
      <c r="I60" s="439"/>
      <c r="J60" s="439"/>
      <c r="K60" s="439"/>
      <c r="L60" s="439"/>
      <c r="M60" s="440"/>
      <c r="N60" s="313"/>
      <c r="O60" s="120"/>
      <c r="P60" s="438"/>
      <c r="Q60" s="438"/>
      <c r="R60" s="438"/>
      <c r="S60" s="438"/>
      <c r="T60" s="438"/>
      <c r="U60" s="438"/>
      <c r="V60" s="441"/>
      <c r="W60" s="441"/>
      <c r="X60" s="441"/>
      <c r="Y60" s="441"/>
      <c r="Z60" s="441"/>
      <c r="AA60" s="441"/>
      <c r="AB60" s="441"/>
      <c r="AC60" s="441"/>
      <c r="AD60" s="442"/>
      <c r="AF60" s="93">
        <f>16*3000</f>
        <v>48000</v>
      </c>
    </row>
    <row r="61" spans="1:32" ht="27.75" thickBot="1">
      <c r="A61" s="432" t="s">
        <v>462</v>
      </c>
      <c r="B61" s="432"/>
      <c r="C61" s="432"/>
      <c r="D61" s="432"/>
      <c r="E61" s="43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3" t="s">
        <v>113</v>
      </c>
      <c r="B62" s="430"/>
      <c r="C62" s="315" t="s">
        <v>2</v>
      </c>
      <c r="D62" s="315" t="s">
        <v>37</v>
      </c>
      <c r="E62" s="315" t="s">
        <v>3</v>
      </c>
      <c r="F62" s="430" t="s">
        <v>110</v>
      </c>
      <c r="G62" s="430"/>
      <c r="H62" s="430"/>
      <c r="I62" s="430"/>
      <c r="J62" s="430"/>
      <c r="K62" s="430" t="s">
        <v>39</v>
      </c>
      <c r="L62" s="430"/>
      <c r="M62" s="315" t="s">
        <v>40</v>
      </c>
      <c r="N62" s="430" t="s">
        <v>41</v>
      </c>
      <c r="O62" s="430"/>
      <c r="P62" s="427" t="s">
        <v>42</v>
      </c>
      <c r="Q62" s="429"/>
      <c r="R62" s="427" t="s">
        <v>43</v>
      </c>
      <c r="S62" s="428"/>
      <c r="T62" s="428"/>
      <c r="U62" s="428"/>
      <c r="V62" s="428"/>
      <c r="W62" s="428"/>
      <c r="X62" s="428"/>
      <c r="Y62" s="428"/>
      <c r="Z62" s="428"/>
      <c r="AA62" s="429"/>
      <c r="AB62" s="430" t="s">
        <v>44</v>
      </c>
      <c r="AC62" s="430"/>
      <c r="AD62" s="431"/>
      <c r="AF62" s="93">
        <f>SUM(AF59:AF61)</f>
        <v>96000</v>
      </c>
    </row>
    <row r="63" spans="1:32" ht="25.5" customHeight="1">
      <c r="A63" s="422">
        <v>1</v>
      </c>
      <c r="B63" s="423"/>
      <c r="C63" s="123" t="s">
        <v>118</v>
      </c>
      <c r="D63" s="318"/>
      <c r="E63" s="316" t="s">
        <v>120</v>
      </c>
      <c r="F63" s="424" t="s">
        <v>449</v>
      </c>
      <c r="G63" s="416"/>
      <c r="H63" s="416"/>
      <c r="I63" s="416"/>
      <c r="J63" s="416"/>
      <c r="K63" s="416" t="s">
        <v>187</v>
      </c>
      <c r="L63" s="416"/>
      <c r="M63" s="54" t="s">
        <v>135</v>
      </c>
      <c r="N63" s="416">
        <v>5</v>
      </c>
      <c r="O63" s="416"/>
      <c r="P63" s="425">
        <v>50</v>
      </c>
      <c r="Q63" s="425"/>
      <c r="R63" s="426"/>
      <c r="S63" s="426"/>
      <c r="T63" s="426"/>
      <c r="U63" s="426"/>
      <c r="V63" s="426"/>
      <c r="W63" s="426"/>
      <c r="X63" s="426"/>
      <c r="Y63" s="426"/>
      <c r="Z63" s="426"/>
      <c r="AA63" s="426"/>
      <c r="AB63" s="416"/>
      <c r="AC63" s="416"/>
      <c r="AD63" s="417"/>
      <c r="AF63" s="53"/>
    </row>
    <row r="64" spans="1:32" ht="25.5" customHeight="1">
      <c r="A64" s="422">
        <v>2</v>
      </c>
      <c r="B64" s="423"/>
      <c r="C64" s="123" t="s">
        <v>114</v>
      </c>
      <c r="D64" s="318"/>
      <c r="E64" s="316" t="s">
        <v>117</v>
      </c>
      <c r="F64" s="424" t="s">
        <v>180</v>
      </c>
      <c r="G64" s="416"/>
      <c r="H64" s="416"/>
      <c r="I64" s="416"/>
      <c r="J64" s="416"/>
      <c r="K64" s="416" t="s">
        <v>181</v>
      </c>
      <c r="L64" s="416"/>
      <c r="M64" s="54" t="s">
        <v>197</v>
      </c>
      <c r="N64" s="416">
        <v>8</v>
      </c>
      <c r="O64" s="416"/>
      <c r="P64" s="425">
        <v>30</v>
      </c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3</v>
      </c>
      <c r="B65" s="423"/>
      <c r="C65" s="123"/>
      <c r="D65" s="318"/>
      <c r="E65" s="316"/>
      <c r="F65" s="424"/>
      <c r="G65" s="416"/>
      <c r="H65" s="416"/>
      <c r="I65" s="416"/>
      <c r="J65" s="416"/>
      <c r="K65" s="416"/>
      <c r="L65" s="416"/>
      <c r="M65" s="54"/>
      <c r="N65" s="416"/>
      <c r="O65" s="416"/>
      <c r="P65" s="425"/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4</v>
      </c>
      <c r="B66" s="423"/>
      <c r="C66" s="123"/>
      <c r="D66" s="318"/>
      <c r="E66" s="316"/>
      <c r="F66" s="424"/>
      <c r="G66" s="416"/>
      <c r="H66" s="416"/>
      <c r="I66" s="416"/>
      <c r="J66" s="416"/>
      <c r="K66" s="416"/>
      <c r="L66" s="416"/>
      <c r="M66" s="54"/>
      <c r="N66" s="416"/>
      <c r="O66" s="416"/>
      <c r="P66" s="425"/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5</v>
      </c>
      <c r="B67" s="423"/>
      <c r="C67" s="123"/>
      <c r="D67" s="318"/>
      <c r="E67" s="316"/>
      <c r="F67" s="424"/>
      <c r="G67" s="416"/>
      <c r="H67" s="416"/>
      <c r="I67" s="416"/>
      <c r="J67" s="416"/>
      <c r="K67" s="416"/>
      <c r="L67" s="416"/>
      <c r="M67" s="54"/>
      <c r="N67" s="416"/>
      <c r="O67" s="416"/>
      <c r="P67" s="425"/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6</v>
      </c>
      <c r="B68" s="423"/>
      <c r="C68" s="123"/>
      <c r="D68" s="318"/>
      <c r="E68" s="316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7</v>
      </c>
      <c r="B69" s="423"/>
      <c r="C69" s="123"/>
      <c r="D69" s="318"/>
      <c r="E69" s="316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8</v>
      </c>
      <c r="B70" s="423"/>
      <c r="C70" s="123"/>
      <c r="D70" s="318"/>
      <c r="E70" s="316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6.25" customHeight="1" thickBot="1">
      <c r="A71" s="396" t="s">
        <v>463</v>
      </c>
      <c r="B71" s="396"/>
      <c r="C71" s="396"/>
      <c r="D71" s="396"/>
      <c r="E71" s="396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7" t="s">
        <v>113</v>
      </c>
      <c r="B72" s="398"/>
      <c r="C72" s="317" t="s">
        <v>2</v>
      </c>
      <c r="D72" s="317" t="s">
        <v>37</v>
      </c>
      <c r="E72" s="317" t="s">
        <v>3</v>
      </c>
      <c r="F72" s="398" t="s">
        <v>38</v>
      </c>
      <c r="G72" s="398"/>
      <c r="H72" s="398"/>
      <c r="I72" s="398"/>
      <c r="J72" s="398"/>
      <c r="K72" s="418" t="s">
        <v>58</v>
      </c>
      <c r="L72" s="419"/>
      <c r="M72" s="419"/>
      <c r="N72" s="419"/>
      <c r="O72" s="419"/>
      <c r="P72" s="419"/>
      <c r="Q72" s="419"/>
      <c r="R72" s="419"/>
      <c r="S72" s="420"/>
      <c r="T72" s="398" t="s">
        <v>49</v>
      </c>
      <c r="U72" s="398"/>
      <c r="V72" s="418" t="s">
        <v>50</v>
      </c>
      <c r="W72" s="420"/>
      <c r="X72" s="419" t="s">
        <v>51</v>
      </c>
      <c r="Y72" s="419"/>
      <c r="Z72" s="419"/>
      <c r="AA72" s="419"/>
      <c r="AB72" s="419"/>
      <c r="AC72" s="419"/>
      <c r="AD72" s="421"/>
      <c r="AF72" s="53"/>
    </row>
    <row r="73" spans="1:32" ht="33.75" customHeight="1">
      <c r="A73" s="390">
        <v>1</v>
      </c>
      <c r="B73" s="391"/>
      <c r="C73" s="319" t="s">
        <v>114</v>
      </c>
      <c r="D73" s="319"/>
      <c r="E73" s="71" t="s">
        <v>127</v>
      </c>
      <c r="F73" s="405" t="s">
        <v>126</v>
      </c>
      <c r="G73" s="406"/>
      <c r="H73" s="406"/>
      <c r="I73" s="406"/>
      <c r="J73" s="407"/>
      <c r="K73" s="408" t="s">
        <v>128</v>
      </c>
      <c r="L73" s="409"/>
      <c r="M73" s="409"/>
      <c r="N73" s="409"/>
      <c r="O73" s="409"/>
      <c r="P73" s="409"/>
      <c r="Q73" s="409"/>
      <c r="R73" s="409"/>
      <c r="S73" s="410"/>
      <c r="T73" s="411">
        <v>43384</v>
      </c>
      <c r="U73" s="412"/>
      <c r="V73" s="413"/>
      <c r="W73" s="413"/>
      <c r="X73" s="414"/>
      <c r="Y73" s="414"/>
      <c r="Z73" s="414"/>
      <c r="AA73" s="414"/>
      <c r="AB73" s="414"/>
      <c r="AC73" s="414"/>
      <c r="AD73" s="415"/>
      <c r="AF73" s="53"/>
    </row>
    <row r="74" spans="1:32" ht="30" customHeight="1">
      <c r="A74" s="383">
        <f>A73+1</f>
        <v>2</v>
      </c>
      <c r="B74" s="384"/>
      <c r="C74" s="318"/>
      <c r="D74" s="318"/>
      <c r="E74" s="35"/>
      <c r="F74" s="384"/>
      <c r="G74" s="384"/>
      <c r="H74" s="384"/>
      <c r="I74" s="384"/>
      <c r="J74" s="384"/>
      <c r="K74" s="399"/>
      <c r="L74" s="400"/>
      <c r="M74" s="400"/>
      <c r="N74" s="400"/>
      <c r="O74" s="400"/>
      <c r="P74" s="400"/>
      <c r="Q74" s="400"/>
      <c r="R74" s="400"/>
      <c r="S74" s="401"/>
      <c r="T74" s="402"/>
      <c r="U74" s="402"/>
      <c r="V74" s="402"/>
      <c r="W74" s="402"/>
      <c r="X74" s="403"/>
      <c r="Y74" s="403"/>
      <c r="Z74" s="403"/>
      <c r="AA74" s="403"/>
      <c r="AB74" s="403"/>
      <c r="AC74" s="403"/>
      <c r="AD74" s="404"/>
      <c r="AF74" s="53"/>
    </row>
    <row r="75" spans="1:32" ht="30" customHeight="1">
      <c r="A75" s="383">
        <f t="shared" ref="A75:A81" si="11">A74+1</f>
        <v>3</v>
      </c>
      <c r="B75" s="384"/>
      <c r="C75" s="318"/>
      <c r="D75" s="318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si="11"/>
        <v>4</v>
      </c>
      <c r="B76" s="384"/>
      <c r="C76" s="318"/>
      <c r="D76" s="318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1"/>
        <v>5</v>
      </c>
      <c r="B77" s="384"/>
      <c r="C77" s="318"/>
      <c r="D77" s="318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1"/>
        <v>6</v>
      </c>
      <c r="B78" s="384"/>
      <c r="C78" s="318"/>
      <c r="D78" s="318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1"/>
        <v>7</v>
      </c>
      <c r="B79" s="384"/>
      <c r="C79" s="318"/>
      <c r="D79" s="318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1"/>
        <v>8</v>
      </c>
      <c r="B80" s="384"/>
      <c r="C80" s="318"/>
      <c r="D80" s="318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1"/>
        <v>9</v>
      </c>
      <c r="B81" s="384"/>
      <c r="C81" s="318"/>
      <c r="D81" s="318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6" thickBot="1">
      <c r="A82" s="396" t="s">
        <v>464</v>
      </c>
      <c r="B82" s="396"/>
      <c r="C82" s="396"/>
      <c r="D82" s="396"/>
      <c r="E82" s="396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7" t="s">
        <v>113</v>
      </c>
      <c r="B83" s="398"/>
      <c r="C83" s="388" t="s">
        <v>52</v>
      </c>
      <c r="D83" s="388"/>
      <c r="E83" s="388" t="s">
        <v>53</v>
      </c>
      <c r="F83" s="388"/>
      <c r="G83" s="388"/>
      <c r="H83" s="388"/>
      <c r="I83" s="388"/>
      <c r="J83" s="388"/>
      <c r="K83" s="388" t="s">
        <v>54</v>
      </c>
      <c r="L83" s="388"/>
      <c r="M83" s="388"/>
      <c r="N83" s="388"/>
      <c r="O83" s="388"/>
      <c r="P83" s="388"/>
      <c r="Q83" s="388"/>
      <c r="R83" s="388"/>
      <c r="S83" s="388"/>
      <c r="T83" s="388" t="s">
        <v>55</v>
      </c>
      <c r="U83" s="388"/>
      <c r="V83" s="388" t="s">
        <v>56</v>
      </c>
      <c r="W83" s="388"/>
      <c r="X83" s="388"/>
      <c r="Y83" s="388" t="s">
        <v>51</v>
      </c>
      <c r="Z83" s="388"/>
      <c r="AA83" s="388"/>
      <c r="AB83" s="388"/>
      <c r="AC83" s="388"/>
      <c r="AD83" s="389"/>
      <c r="AF83" s="53"/>
    </row>
    <row r="84" spans="1:32" ht="30.75" customHeight="1">
      <c r="A84" s="390">
        <v>1</v>
      </c>
      <c r="B84" s="391"/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3"/>
      <c r="W84" s="393"/>
      <c r="X84" s="393"/>
      <c r="Y84" s="394"/>
      <c r="Z84" s="394"/>
      <c r="AA84" s="394"/>
      <c r="AB84" s="394"/>
      <c r="AC84" s="394"/>
      <c r="AD84" s="395"/>
      <c r="AF84" s="53"/>
    </row>
    <row r="85" spans="1:32" ht="30.75" customHeight="1">
      <c r="A85" s="383">
        <v>2</v>
      </c>
      <c r="B85" s="384"/>
      <c r="C85" s="385"/>
      <c r="D85" s="385"/>
      <c r="E85" s="385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6"/>
      <c r="U85" s="386"/>
      <c r="V85" s="387"/>
      <c r="W85" s="387"/>
      <c r="X85" s="387"/>
      <c r="Y85" s="376"/>
      <c r="Z85" s="376"/>
      <c r="AA85" s="376"/>
      <c r="AB85" s="376"/>
      <c r="AC85" s="376"/>
      <c r="AD85" s="377"/>
      <c r="AF85" s="53"/>
    </row>
    <row r="86" spans="1:32" ht="30.75" customHeight="1" thickBot="1">
      <c r="A86" s="378">
        <v>3</v>
      </c>
      <c r="B86" s="379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  <c r="X86" s="380"/>
      <c r="Y86" s="381"/>
      <c r="Z86" s="381"/>
      <c r="AA86" s="381"/>
      <c r="AB86" s="381"/>
      <c r="AC86" s="381"/>
      <c r="AD86" s="382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E653-35E6-4817-9E3D-AEB12F1F1181}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465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330" t="s">
        <v>17</v>
      </c>
      <c r="L5" s="330" t="s">
        <v>18</v>
      </c>
      <c r="M5" s="330" t="s">
        <v>19</v>
      </c>
      <c r="N5" s="33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0.31666666666666665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0.31666666666666665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123</v>
      </c>
      <c r="D8" s="55" t="s">
        <v>202</v>
      </c>
      <c r="E8" s="57" t="s">
        <v>431</v>
      </c>
      <c r="F8" s="33" t="s">
        <v>252</v>
      </c>
      <c r="G8" s="36">
        <v>2</v>
      </c>
      <c r="H8" s="38">
        <v>25</v>
      </c>
      <c r="I8" s="7">
        <v>1000</v>
      </c>
      <c r="J8" s="5">
        <v>954</v>
      </c>
      <c r="K8" s="15">
        <f>L8</f>
        <v>954</v>
      </c>
      <c r="L8" s="15">
        <f>477*2</f>
        <v>954</v>
      </c>
      <c r="M8" s="16">
        <f t="shared" si="0"/>
        <v>954</v>
      </c>
      <c r="N8" s="16">
        <v>0</v>
      </c>
      <c r="O8" s="62">
        <f t="shared" si="1"/>
        <v>0</v>
      </c>
      <c r="P8" s="42">
        <f t="shared" si="2"/>
        <v>4</v>
      </c>
      <c r="Q8" s="43">
        <f t="shared" si="3"/>
        <v>20</v>
      </c>
      <c r="R8" s="7"/>
      <c r="S8" s="6"/>
      <c r="T8" s="17"/>
      <c r="U8" s="17"/>
      <c r="V8" s="18"/>
      <c r="W8" s="19">
        <v>20</v>
      </c>
      <c r="X8" s="17"/>
      <c r="Y8" s="20"/>
      <c r="Z8" s="20"/>
      <c r="AA8" s="21"/>
      <c r="AB8" s="8">
        <f t="shared" si="4"/>
        <v>1</v>
      </c>
      <c r="AC8" s="9">
        <f t="shared" si="5"/>
        <v>0.16666666666666666</v>
      </c>
      <c r="AD8" s="10">
        <f t="shared" si="6"/>
        <v>0.16666666666666666</v>
      </c>
      <c r="AE8" s="39">
        <f t="shared" si="7"/>
        <v>0.31666666666666665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118</v>
      </c>
      <c r="D9" s="55" t="s">
        <v>120</v>
      </c>
      <c r="E9" s="57" t="s">
        <v>397</v>
      </c>
      <c r="F9" s="33" t="s">
        <v>187</v>
      </c>
      <c r="G9" s="36">
        <v>1</v>
      </c>
      <c r="H9" s="38">
        <v>24</v>
      </c>
      <c r="I9" s="7">
        <v>7000</v>
      </c>
      <c r="J9" s="14">
        <v>5082</v>
      </c>
      <c r="K9" s="15">
        <f>L9+3005+5082</f>
        <v>8087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0.31666666666666665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123</v>
      </c>
      <c r="D10" s="55" t="s">
        <v>119</v>
      </c>
      <c r="E10" s="57" t="s">
        <v>147</v>
      </c>
      <c r="F10" s="12" t="s">
        <v>121</v>
      </c>
      <c r="G10" s="12">
        <v>4</v>
      </c>
      <c r="H10" s="13">
        <v>25</v>
      </c>
      <c r="I10" s="7">
        <v>400000</v>
      </c>
      <c r="J10" s="14">
        <v>8370</v>
      </c>
      <c r="K10" s="15">
        <f>L10+23776+26072+26756+24764+18432+17192+18752+24536+24336+16996+23988+25708+23312+23400+25624+22984+10488+22848+8370</f>
        <v>408334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0.31666666666666665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114</v>
      </c>
      <c r="D11" s="55" t="s">
        <v>341</v>
      </c>
      <c r="E11" s="57" t="s">
        <v>457</v>
      </c>
      <c r="F11" s="12" t="s">
        <v>342</v>
      </c>
      <c r="G11" s="12">
        <v>1</v>
      </c>
      <c r="H11" s="13">
        <v>25</v>
      </c>
      <c r="I11" s="7">
        <v>1200</v>
      </c>
      <c r="J11" s="14">
        <v>1583</v>
      </c>
      <c r="K11" s="15">
        <f>L11+1583</f>
        <v>1583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0.31666666666666665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443</v>
      </c>
      <c r="E12" s="57" t="s">
        <v>444</v>
      </c>
      <c r="F12" s="33" t="s">
        <v>310</v>
      </c>
      <c r="G12" s="36">
        <v>32</v>
      </c>
      <c r="H12" s="38">
        <v>24</v>
      </c>
      <c r="I12" s="7">
        <v>200000</v>
      </c>
      <c r="J12" s="14">
        <v>212320</v>
      </c>
      <c r="K12" s="15">
        <f>L12+162624</f>
        <v>374944</v>
      </c>
      <c r="L12" s="15">
        <f>3390*32+3245*32</f>
        <v>212320</v>
      </c>
      <c r="M12" s="16">
        <f t="shared" si="0"/>
        <v>212320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0.31666666666666665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117</v>
      </c>
      <c r="E13" s="57" t="s">
        <v>312</v>
      </c>
      <c r="F13" s="33" t="s">
        <v>242</v>
      </c>
      <c r="G13" s="36">
        <v>1</v>
      </c>
      <c r="H13" s="38">
        <v>24</v>
      </c>
      <c r="I13" s="7">
        <v>7000</v>
      </c>
      <c r="J13" s="14">
        <v>3418</v>
      </c>
      <c r="K13" s="15">
        <f>L13+2961+3418</f>
        <v>6379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0.31666666666666665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114</v>
      </c>
      <c r="D14" s="55" t="s">
        <v>117</v>
      </c>
      <c r="E14" s="57" t="s">
        <v>284</v>
      </c>
      <c r="F14" s="33" t="s">
        <v>352</v>
      </c>
      <c r="G14" s="36">
        <v>1</v>
      </c>
      <c r="H14" s="38">
        <v>25</v>
      </c>
      <c r="I14" s="7">
        <v>300</v>
      </c>
      <c r="J14" s="5">
        <v>375</v>
      </c>
      <c r="K14" s="15">
        <f>L14+375</f>
        <v>375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0.31666666666666665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260</v>
      </c>
      <c r="D15" s="55"/>
      <c r="E15" s="57" t="s">
        <v>461</v>
      </c>
      <c r="F15" s="12" t="s">
        <v>466</v>
      </c>
      <c r="G15" s="12">
        <v>1</v>
      </c>
      <c r="H15" s="13">
        <v>24</v>
      </c>
      <c r="I15" s="34">
        <v>1000</v>
      </c>
      <c r="J15" s="14">
        <v>3061</v>
      </c>
      <c r="K15" s="15">
        <f>L15</f>
        <v>3061</v>
      </c>
      <c r="L15" s="15">
        <f>2110+951</f>
        <v>3061</v>
      </c>
      <c r="M15" s="16">
        <f t="shared" si="0"/>
        <v>3061</v>
      </c>
      <c r="N15" s="16">
        <v>0</v>
      </c>
      <c r="O15" s="62">
        <f t="shared" si="1"/>
        <v>0</v>
      </c>
      <c r="P15" s="42">
        <f t="shared" si="2"/>
        <v>16</v>
      </c>
      <c r="Q15" s="43">
        <f t="shared" si="3"/>
        <v>8</v>
      </c>
      <c r="R15" s="7"/>
      <c r="S15" s="6"/>
      <c r="T15" s="17">
        <v>2</v>
      </c>
      <c r="U15" s="17"/>
      <c r="V15" s="18"/>
      <c r="W15" s="19">
        <v>6</v>
      </c>
      <c r="X15" s="17"/>
      <c r="Y15" s="20"/>
      <c r="Z15" s="20"/>
      <c r="AA15" s="21"/>
      <c r="AB15" s="8">
        <f t="shared" si="4"/>
        <v>1</v>
      </c>
      <c r="AC15" s="9">
        <f t="shared" si="5"/>
        <v>0.66666666666666663</v>
      </c>
      <c r="AD15" s="10">
        <f t="shared" si="6"/>
        <v>0.66666666666666663</v>
      </c>
      <c r="AE15" s="39">
        <f t="shared" si="7"/>
        <v>0.31666666666666665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11" t="s">
        <v>123</v>
      </c>
      <c r="D16" s="55" t="s">
        <v>446</v>
      </c>
      <c r="E16" s="57" t="s">
        <v>467</v>
      </c>
      <c r="F16" s="12" t="s">
        <v>252</v>
      </c>
      <c r="G16" s="12" t="s">
        <v>240</v>
      </c>
      <c r="H16" s="13">
        <v>25</v>
      </c>
      <c r="I16" s="7">
        <v>1000</v>
      </c>
      <c r="J16" s="14">
        <v>1022</v>
      </c>
      <c r="K16" s="15">
        <f>L16</f>
        <v>1022</v>
      </c>
      <c r="L16" s="15">
        <f>767+255</f>
        <v>1022</v>
      </c>
      <c r="M16" s="16">
        <f t="shared" si="0"/>
        <v>1022</v>
      </c>
      <c r="N16" s="16">
        <v>0</v>
      </c>
      <c r="O16" s="62">
        <f t="shared" si="1"/>
        <v>0</v>
      </c>
      <c r="P16" s="42">
        <f t="shared" si="2"/>
        <v>10</v>
      </c>
      <c r="Q16" s="43">
        <f t="shared" si="3"/>
        <v>14</v>
      </c>
      <c r="R16" s="7"/>
      <c r="S16" s="6"/>
      <c r="T16" s="17"/>
      <c r="U16" s="17"/>
      <c r="V16" s="18"/>
      <c r="W16" s="19">
        <v>14</v>
      </c>
      <c r="X16" s="17"/>
      <c r="Y16" s="20"/>
      <c r="Z16" s="20"/>
      <c r="AA16" s="21"/>
      <c r="AB16" s="8">
        <f t="shared" si="4"/>
        <v>1</v>
      </c>
      <c r="AC16" s="9">
        <f t="shared" si="5"/>
        <v>0.41666666666666669</v>
      </c>
      <c r="AD16" s="10">
        <f t="shared" si="6"/>
        <v>0.41666666666666669</v>
      </c>
      <c r="AE16" s="39">
        <f t="shared" si="7"/>
        <v>0.31666666666666665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192</v>
      </c>
      <c r="D17" s="55" t="s">
        <v>436</v>
      </c>
      <c r="E17" s="57" t="s">
        <v>437</v>
      </c>
      <c r="F17" s="12" t="s">
        <v>438</v>
      </c>
      <c r="G17" s="12">
        <v>3</v>
      </c>
      <c r="H17" s="13">
        <v>24</v>
      </c>
      <c r="I17" s="34">
        <f>16000*2+12000</f>
        <v>44000</v>
      </c>
      <c r="J17" s="14">
        <v>22836</v>
      </c>
      <c r="K17" s="15">
        <f>L17+20226+21507</f>
        <v>64569</v>
      </c>
      <c r="L17" s="15">
        <f>3465*3+4147*3</f>
        <v>22836</v>
      </c>
      <c r="M17" s="16">
        <f t="shared" si="0"/>
        <v>22836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0.31666666666666665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114</v>
      </c>
      <c r="D18" s="55" t="s">
        <v>134</v>
      </c>
      <c r="E18" s="57" t="s">
        <v>439</v>
      </c>
      <c r="F18" s="12" t="s">
        <v>121</v>
      </c>
      <c r="G18" s="36">
        <v>1</v>
      </c>
      <c r="H18" s="38">
        <v>24</v>
      </c>
      <c r="I18" s="7">
        <v>2000</v>
      </c>
      <c r="J18" s="5">
        <v>1666</v>
      </c>
      <c r="K18" s="15">
        <f>L18+2524+1666</f>
        <v>4190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>AC18*AB18*(1-O18)</f>
        <v>0</v>
      </c>
      <c r="AE18" s="39">
        <f t="shared" si="7"/>
        <v>0.31666666666666665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37" t="s">
        <v>123</v>
      </c>
      <c r="D19" s="55" t="s">
        <v>117</v>
      </c>
      <c r="E19" s="57" t="s">
        <v>153</v>
      </c>
      <c r="F19" s="12" t="s">
        <v>129</v>
      </c>
      <c r="G19" s="36">
        <v>4</v>
      </c>
      <c r="H19" s="38">
        <v>24</v>
      </c>
      <c r="I19" s="7">
        <v>400000</v>
      </c>
      <c r="J19" s="5">
        <v>13660</v>
      </c>
      <c r="K19" s="15">
        <f>L19+12380+14384+22568+16460+13888+20848+20972+20888+19996+10224+14424+21632+20220+19704+9284+22304+15876+16404+16660+17141</f>
        <v>359917</v>
      </c>
      <c r="L19" s="15">
        <f>910*4+2505*4</f>
        <v>13660</v>
      </c>
      <c r="M19" s="16">
        <f t="shared" si="0"/>
        <v>13660</v>
      </c>
      <c r="N19" s="16">
        <v>0</v>
      </c>
      <c r="O19" s="62">
        <f t="shared" si="1"/>
        <v>0</v>
      </c>
      <c r="P19" s="42">
        <f t="shared" si="2"/>
        <v>19</v>
      </c>
      <c r="Q19" s="43">
        <f t="shared" si="3"/>
        <v>5</v>
      </c>
      <c r="R19" s="7"/>
      <c r="S19" s="6">
        <v>5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0.79166666666666663</v>
      </c>
      <c r="AD19" s="10">
        <f>AC19*AB19*(1-O19)</f>
        <v>0.79166666666666663</v>
      </c>
      <c r="AE19" s="39">
        <f t="shared" si="7"/>
        <v>0.31666666666666665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423</v>
      </c>
      <c r="F20" s="12" t="s">
        <v>116</v>
      </c>
      <c r="G20" s="12">
        <v>4</v>
      </c>
      <c r="H20" s="38">
        <v>20</v>
      </c>
      <c r="I20" s="7">
        <v>100000</v>
      </c>
      <c r="J20" s="14">
        <v>45096</v>
      </c>
      <c r="K20" s="15">
        <f>L20+10712+37244+84476</f>
        <v>177528</v>
      </c>
      <c r="L20" s="15">
        <f>11274*4</f>
        <v>45096</v>
      </c>
      <c r="M20" s="16">
        <f t="shared" si="0"/>
        <v>45096</v>
      </c>
      <c r="N20" s="16">
        <v>0</v>
      </c>
      <c r="O20" s="62">
        <f t="shared" si="1"/>
        <v>0</v>
      </c>
      <c r="P20" s="42">
        <f t="shared" si="2"/>
        <v>17</v>
      </c>
      <c r="Q20" s="43">
        <f t="shared" si="3"/>
        <v>7</v>
      </c>
      <c r="R20" s="7"/>
      <c r="S20" s="6"/>
      <c r="T20" s="17"/>
      <c r="U20" s="17"/>
      <c r="V20" s="18"/>
      <c r="W20" s="19">
        <v>7</v>
      </c>
      <c r="X20" s="17"/>
      <c r="Y20" s="20"/>
      <c r="Z20" s="20"/>
      <c r="AA20" s="21"/>
      <c r="AB20" s="8">
        <f t="shared" si="4"/>
        <v>1</v>
      </c>
      <c r="AC20" s="9">
        <f t="shared" si="5"/>
        <v>0.70833333333333337</v>
      </c>
      <c r="AD20" s="10">
        <f t="shared" si="6"/>
        <v>0.70833333333333337</v>
      </c>
      <c r="AE20" s="39">
        <f t="shared" si="7"/>
        <v>0.31666666666666665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1164500</v>
      </c>
      <c r="J21" s="22">
        <f t="shared" si="9"/>
        <v>319443</v>
      </c>
      <c r="K21" s="23">
        <f t="shared" si="9"/>
        <v>1410943</v>
      </c>
      <c r="L21" s="24">
        <f t="shared" si="9"/>
        <v>298949</v>
      </c>
      <c r="M21" s="23">
        <f t="shared" si="9"/>
        <v>298949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114</v>
      </c>
      <c r="Q21" s="46">
        <f t="shared" si="10"/>
        <v>246</v>
      </c>
      <c r="R21" s="26">
        <f t="shared" si="10"/>
        <v>24</v>
      </c>
      <c r="S21" s="27">
        <f t="shared" si="10"/>
        <v>5</v>
      </c>
      <c r="T21" s="27">
        <f t="shared" si="10"/>
        <v>2</v>
      </c>
      <c r="U21" s="27">
        <f t="shared" si="10"/>
        <v>0</v>
      </c>
      <c r="V21" s="28">
        <f t="shared" si="10"/>
        <v>0</v>
      </c>
      <c r="W21" s="29">
        <f t="shared" si="10"/>
        <v>215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0.46666666666666667</v>
      </c>
      <c r="AC21" s="4">
        <f>SUM(AC6:AC20)/15</f>
        <v>0.31666666666666665</v>
      </c>
      <c r="AD21" s="4">
        <f>SUM(AD6:AD20)/15</f>
        <v>0.31666666666666665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468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469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329" t="s">
        <v>46</v>
      </c>
      <c r="D50" s="329" t="s">
        <v>47</v>
      </c>
      <c r="E50" s="329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329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4" t="s">
        <v>123</v>
      </c>
      <c r="B51" s="435"/>
      <c r="C51" s="326" t="s">
        <v>154</v>
      </c>
      <c r="D51" s="326" t="s">
        <v>202</v>
      </c>
      <c r="E51" s="326" t="s">
        <v>431</v>
      </c>
      <c r="F51" s="445" t="s">
        <v>445</v>
      </c>
      <c r="G51" s="446"/>
      <c r="H51" s="446"/>
      <c r="I51" s="446"/>
      <c r="J51" s="446"/>
      <c r="K51" s="446"/>
      <c r="L51" s="446"/>
      <c r="M51" s="447"/>
      <c r="N51" s="325" t="s">
        <v>114</v>
      </c>
      <c r="O51" s="124" t="s">
        <v>144</v>
      </c>
      <c r="P51" s="443" t="s">
        <v>318</v>
      </c>
      <c r="Q51" s="444"/>
      <c r="R51" s="435" t="s">
        <v>470</v>
      </c>
      <c r="S51" s="435"/>
      <c r="T51" s="435"/>
      <c r="U51" s="435"/>
      <c r="V51" s="426" t="s">
        <v>171</v>
      </c>
      <c r="W51" s="426"/>
      <c r="X51" s="426"/>
      <c r="Y51" s="426"/>
      <c r="Z51" s="426"/>
      <c r="AA51" s="426"/>
      <c r="AB51" s="426"/>
      <c r="AC51" s="426"/>
      <c r="AD51" s="436"/>
    </row>
    <row r="52" spans="1:32" ht="27" customHeight="1">
      <c r="A52" s="434" t="s">
        <v>123</v>
      </c>
      <c r="B52" s="435"/>
      <c r="C52" s="326" t="s">
        <v>247</v>
      </c>
      <c r="D52" s="326" t="s">
        <v>446</v>
      </c>
      <c r="E52" s="326" t="s">
        <v>447</v>
      </c>
      <c r="F52" s="445" t="s">
        <v>445</v>
      </c>
      <c r="G52" s="446"/>
      <c r="H52" s="446"/>
      <c r="I52" s="446"/>
      <c r="J52" s="446"/>
      <c r="K52" s="446"/>
      <c r="L52" s="446"/>
      <c r="M52" s="447"/>
      <c r="N52" s="325" t="s">
        <v>114</v>
      </c>
      <c r="O52" s="124" t="s">
        <v>225</v>
      </c>
      <c r="P52" s="435" t="s">
        <v>117</v>
      </c>
      <c r="Q52" s="435"/>
      <c r="R52" s="435" t="s">
        <v>471</v>
      </c>
      <c r="S52" s="435"/>
      <c r="T52" s="435"/>
      <c r="U52" s="435"/>
      <c r="V52" s="426" t="s">
        <v>171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260</v>
      </c>
      <c r="B53" s="435"/>
      <c r="C53" s="326" t="s">
        <v>193</v>
      </c>
      <c r="D53" s="326" t="s">
        <v>341</v>
      </c>
      <c r="E53" s="326" t="s">
        <v>461</v>
      </c>
      <c r="F53" s="445" t="s">
        <v>171</v>
      </c>
      <c r="G53" s="446"/>
      <c r="H53" s="446"/>
      <c r="I53" s="446"/>
      <c r="J53" s="446"/>
      <c r="K53" s="446"/>
      <c r="L53" s="446"/>
      <c r="M53" s="447"/>
      <c r="N53" s="325" t="s">
        <v>115</v>
      </c>
      <c r="O53" s="124" t="s">
        <v>414</v>
      </c>
      <c r="P53" s="435"/>
      <c r="Q53" s="435"/>
      <c r="R53" s="435" t="s">
        <v>133</v>
      </c>
      <c r="S53" s="435"/>
      <c r="T53" s="435"/>
      <c r="U53" s="435"/>
      <c r="V53" s="426" t="s">
        <v>171</v>
      </c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 t="s">
        <v>123</v>
      </c>
      <c r="B54" s="435"/>
      <c r="C54" s="326" t="s">
        <v>219</v>
      </c>
      <c r="D54" s="326" t="s">
        <v>117</v>
      </c>
      <c r="E54" s="326" t="s">
        <v>366</v>
      </c>
      <c r="F54" s="445" t="s">
        <v>207</v>
      </c>
      <c r="G54" s="446"/>
      <c r="H54" s="446"/>
      <c r="I54" s="446"/>
      <c r="J54" s="446"/>
      <c r="K54" s="446"/>
      <c r="L54" s="446"/>
      <c r="M54" s="447"/>
      <c r="N54" s="325"/>
      <c r="O54" s="124"/>
      <c r="P54" s="443"/>
      <c r="Q54" s="444"/>
      <c r="R54" s="435"/>
      <c r="S54" s="435"/>
      <c r="T54" s="435"/>
      <c r="U54" s="435"/>
      <c r="V54" s="426"/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/>
      <c r="B55" s="435"/>
      <c r="C55" s="326"/>
      <c r="D55" s="326"/>
      <c r="E55" s="326"/>
      <c r="F55" s="445"/>
      <c r="G55" s="446"/>
      <c r="H55" s="446"/>
      <c r="I55" s="446"/>
      <c r="J55" s="446"/>
      <c r="K55" s="446"/>
      <c r="L55" s="446"/>
      <c r="M55" s="447"/>
      <c r="N55" s="325"/>
      <c r="O55" s="124"/>
      <c r="P55" s="435"/>
      <c r="Q55" s="435"/>
      <c r="R55" s="435"/>
      <c r="S55" s="435"/>
      <c r="T55" s="435"/>
      <c r="U55" s="435"/>
      <c r="V55" s="426"/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326"/>
      <c r="D56" s="326"/>
      <c r="E56" s="326"/>
      <c r="F56" s="445"/>
      <c r="G56" s="446"/>
      <c r="H56" s="446"/>
      <c r="I56" s="446"/>
      <c r="J56" s="446"/>
      <c r="K56" s="446"/>
      <c r="L56" s="446"/>
      <c r="M56" s="447"/>
      <c r="N56" s="325"/>
      <c r="O56" s="124"/>
      <c r="P56" s="443"/>
      <c r="Q56" s="444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326"/>
      <c r="D57" s="326"/>
      <c r="E57" s="326"/>
      <c r="F57" s="445"/>
      <c r="G57" s="446"/>
      <c r="H57" s="446"/>
      <c r="I57" s="446"/>
      <c r="J57" s="446"/>
      <c r="K57" s="446"/>
      <c r="L57" s="446"/>
      <c r="M57" s="447"/>
      <c r="N57" s="325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326"/>
      <c r="D58" s="326"/>
      <c r="E58" s="326"/>
      <c r="F58" s="426"/>
      <c r="G58" s="426"/>
      <c r="H58" s="426"/>
      <c r="I58" s="426"/>
      <c r="J58" s="426"/>
      <c r="K58" s="426"/>
      <c r="L58" s="426"/>
      <c r="M58" s="436"/>
      <c r="N58" s="325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326"/>
      <c r="D59" s="326"/>
      <c r="E59" s="326"/>
      <c r="F59" s="445"/>
      <c r="G59" s="446"/>
      <c r="H59" s="446"/>
      <c r="I59" s="446"/>
      <c r="J59" s="446"/>
      <c r="K59" s="446"/>
      <c r="L59" s="446"/>
      <c r="M59" s="447"/>
      <c r="N59" s="325"/>
      <c r="O59" s="124"/>
      <c r="P59" s="435"/>
      <c r="Q59" s="435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  <c r="AF59" s="93">
        <f>8*3000</f>
        <v>24000</v>
      </c>
    </row>
    <row r="60" spans="1:32" ht="27" customHeight="1" thickBot="1">
      <c r="A60" s="437"/>
      <c r="B60" s="438"/>
      <c r="C60" s="328"/>
      <c r="D60" s="328"/>
      <c r="E60" s="328"/>
      <c r="F60" s="439"/>
      <c r="G60" s="439"/>
      <c r="H60" s="439"/>
      <c r="I60" s="439"/>
      <c r="J60" s="439"/>
      <c r="K60" s="439"/>
      <c r="L60" s="439"/>
      <c r="M60" s="440"/>
      <c r="N60" s="327"/>
      <c r="O60" s="120"/>
      <c r="P60" s="438"/>
      <c r="Q60" s="438"/>
      <c r="R60" s="438"/>
      <c r="S60" s="438"/>
      <c r="T60" s="438"/>
      <c r="U60" s="438"/>
      <c r="V60" s="441"/>
      <c r="W60" s="441"/>
      <c r="X60" s="441"/>
      <c r="Y60" s="441"/>
      <c r="Z60" s="441"/>
      <c r="AA60" s="441"/>
      <c r="AB60" s="441"/>
      <c r="AC60" s="441"/>
      <c r="AD60" s="442"/>
      <c r="AF60" s="93">
        <f>16*3000</f>
        <v>48000</v>
      </c>
    </row>
    <row r="61" spans="1:32" ht="27.75" thickBot="1">
      <c r="A61" s="432" t="s">
        <v>472</v>
      </c>
      <c r="B61" s="432"/>
      <c r="C61" s="432"/>
      <c r="D61" s="432"/>
      <c r="E61" s="43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3" t="s">
        <v>113</v>
      </c>
      <c r="B62" s="430"/>
      <c r="C62" s="324" t="s">
        <v>2</v>
      </c>
      <c r="D62" s="324" t="s">
        <v>37</v>
      </c>
      <c r="E62" s="324" t="s">
        <v>3</v>
      </c>
      <c r="F62" s="430" t="s">
        <v>110</v>
      </c>
      <c r="G62" s="430"/>
      <c r="H62" s="430"/>
      <c r="I62" s="430"/>
      <c r="J62" s="430"/>
      <c r="K62" s="430" t="s">
        <v>39</v>
      </c>
      <c r="L62" s="430"/>
      <c r="M62" s="324" t="s">
        <v>40</v>
      </c>
      <c r="N62" s="430" t="s">
        <v>41</v>
      </c>
      <c r="O62" s="430"/>
      <c r="P62" s="427" t="s">
        <v>42</v>
      </c>
      <c r="Q62" s="429"/>
      <c r="R62" s="427" t="s">
        <v>43</v>
      </c>
      <c r="S62" s="428"/>
      <c r="T62" s="428"/>
      <c r="U62" s="428"/>
      <c r="V62" s="428"/>
      <c r="W62" s="428"/>
      <c r="X62" s="428"/>
      <c r="Y62" s="428"/>
      <c r="Z62" s="428"/>
      <c r="AA62" s="429"/>
      <c r="AB62" s="430" t="s">
        <v>44</v>
      </c>
      <c r="AC62" s="430"/>
      <c r="AD62" s="431"/>
      <c r="AF62" s="93">
        <f>SUM(AF59:AF61)</f>
        <v>96000</v>
      </c>
    </row>
    <row r="63" spans="1:32" ht="25.5" customHeight="1">
      <c r="A63" s="422">
        <v>1</v>
      </c>
      <c r="B63" s="423"/>
      <c r="C63" s="123" t="s">
        <v>123</v>
      </c>
      <c r="D63" s="320"/>
      <c r="E63" s="323" t="s">
        <v>117</v>
      </c>
      <c r="F63" s="424" t="s">
        <v>474</v>
      </c>
      <c r="G63" s="416"/>
      <c r="H63" s="416"/>
      <c r="I63" s="416"/>
      <c r="J63" s="416"/>
      <c r="K63" s="416" t="s">
        <v>129</v>
      </c>
      <c r="L63" s="416"/>
      <c r="M63" s="54" t="s">
        <v>135</v>
      </c>
      <c r="N63" s="416">
        <v>13</v>
      </c>
      <c r="O63" s="416"/>
      <c r="P63" s="425">
        <v>50</v>
      </c>
      <c r="Q63" s="425"/>
      <c r="R63" s="426"/>
      <c r="S63" s="426"/>
      <c r="T63" s="426"/>
      <c r="U63" s="426"/>
      <c r="V63" s="426"/>
      <c r="W63" s="426"/>
      <c r="X63" s="426"/>
      <c r="Y63" s="426"/>
      <c r="Z63" s="426"/>
      <c r="AA63" s="426"/>
      <c r="AB63" s="416"/>
      <c r="AC63" s="416"/>
      <c r="AD63" s="417"/>
      <c r="AF63" s="53"/>
    </row>
    <row r="64" spans="1:32" ht="25.5" customHeight="1">
      <c r="A64" s="422">
        <v>2</v>
      </c>
      <c r="B64" s="423"/>
      <c r="C64" s="123" t="s">
        <v>123</v>
      </c>
      <c r="D64" s="320"/>
      <c r="E64" s="323" t="s">
        <v>335</v>
      </c>
      <c r="F64" s="424" t="s">
        <v>476</v>
      </c>
      <c r="G64" s="416"/>
      <c r="H64" s="416"/>
      <c r="I64" s="416"/>
      <c r="J64" s="416"/>
      <c r="K64" s="416" t="s">
        <v>129</v>
      </c>
      <c r="L64" s="416"/>
      <c r="M64" s="54" t="s">
        <v>135</v>
      </c>
      <c r="N64" s="416">
        <v>13</v>
      </c>
      <c r="O64" s="416"/>
      <c r="P64" s="425">
        <v>50</v>
      </c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3</v>
      </c>
      <c r="B65" s="423"/>
      <c r="C65" s="123" t="s">
        <v>123</v>
      </c>
      <c r="D65" s="320"/>
      <c r="E65" s="323" t="s">
        <v>473</v>
      </c>
      <c r="F65" s="424" t="s">
        <v>475</v>
      </c>
      <c r="G65" s="416"/>
      <c r="H65" s="416"/>
      <c r="I65" s="416"/>
      <c r="J65" s="416"/>
      <c r="K65" s="416" t="s">
        <v>131</v>
      </c>
      <c r="L65" s="416"/>
      <c r="M65" s="54" t="s">
        <v>135</v>
      </c>
      <c r="N65" s="416">
        <v>6</v>
      </c>
      <c r="O65" s="416"/>
      <c r="P65" s="425">
        <v>50</v>
      </c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4</v>
      </c>
      <c r="B66" s="423"/>
      <c r="C66" s="123"/>
      <c r="D66" s="320"/>
      <c r="E66" s="323"/>
      <c r="F66" s="424"/>
      <c r="G66" s="416"/>
      <c r="H66" s="416"/>
      <c r="I66" s="416"/>
      <c r="J66" s="416"/>
      <c r="K66" s="416"/>
      <c r="L66" s="416"/>
      <c r="M66" s="54"/>
      <c r="N66" s="416"/>
      <c r="O66" s="416"/>
      <c r="P66" s="425"/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5</v>
      </c>
      <c r="B67" s="423"/>
      <c r="C67" s="123"/>
      <c r="D67" s="320"/>
      <c r="E67" s="323"/>
      <c r="F67" s="424"/>
      <c r="G67" s="416"/>
      <c r="H67" s="416"/>
      <c r="I67" s="416"/>
      <c r="J67" s="416"/>
      <c r="K67" s="416"/>
      <c r="L67" s="416"/>
      <c r="M67" s="54"/>
      <c r="N67" s="416"/>
      <c r="O67" s="416"/>
      <c r="P67" s="425"/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6</v>
      </c>
      <c r="B68" s="423"/>
      <c r="C68" s="123"/>
      <c r="D68" s="320"/>
      <c r="E68" s="323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7</v>
      </c>
      <c r="B69" s="423"/>
      <c r="C69" s="123"/>
      <c r="D69" s="320"/>
      <c r="E69" s="323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8</v>
      </c>
      <c r="B70" s="423"/>
      <c r="C70" s="123"/>
      <c r="D70" s="320"/>
      <c r="E70" s="323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6.25" customHeight="1" thickBot="1">
      <c r="A71" s="396" t="s">
        <v>477</v>
      </c>
      <c r="B71" s="396"/>
      <c r="C71" s="396"/>
      <c r="D71" s="396"/>
      <c r="E71" s="396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7" t="s">
        <v>113</v>
      </c>
      <c r="B72" s="398"/>
      <c r="C72" s="322" t="s">
        <v>2</v>
      </c>
      <c r="D72" s="322" t="s">
        <v>37</v>
      </c>
      <c r="E72" s="322" t="s">
        <v>3</v>
      </c>
      <c r="F72" s="398" t="s">
        <v>38</v>
      </c>
      <c r="G72" s="398"/>
      <c r="H72" s="398"/>
      <c r="I72" s="398"/>
      <c r="J72" s="398"/>
      <c r="K72" s="418" t="s">
        <v>58</v>
      </c>
      <c r="L72" s="419"/>
      <c r="M72" s="419"/>
      <c r="N72" s="419"/>
      <c r="O72" s="419"/>
      <c r="P72" s="419"/>
      <c r="Q72" s="419"/>
      <c r="R72" s="419"/>
      <c r="S72" s="420"/>
      <c r="T72" s="398" t="s">
        <v>49</v>
      </c>
      <c r="U72" s="398"/>
      <c r="V72" s="418" t="s">
        <v>50</v>
      </c>
      <c r="W72" s="420"/>
      <c r="X72" s="419" t="s">
        <v>51</v>
      </c>
      <c r="Y72" s="419"/>
      <c r="Z72" s="419"/>
      <c r="AA72" s="419"/>
      <c r="AB72" s="419"/>
      <c r="AC72" s="419"/>
      <c r="AD72" s="421"/>
      <c r="AF72" s="53"/>
    </row>
    <row r="73" spans="1:32" ht="33.75" customHeight="1">
      <c r="A73" s="390">
        <v>1</v>
      </c>
      <c r="B73" s="391"/>
      <c r="C73" s="321" t="s">
        <v>114</v>
      </c>
      <c r="D73" s="321"/>
      <c r="E73" s="71" t="s">
        <v>127</v>
      </c>
      <c r="F73" s="405" t="s">
        <v>126</v>
      </c>
      <c r="G73" s="406"/>
      <c r="H73" s="406"/>
      <c r="I73" s="406"/>
      <c r="J73" s="407"/>
      <c r="K73" s="408" t="s">
        <v>128</v>
      </c>
      <c r="L73" s="409"/>
      <c r="M73" s="409"/>
      <c r="N73" s="409"/>
      <c r="O73" s="409"/>
      <c r="P73" s="409"/>
      <c r="Q73" s="409"/>
      <c r="R73" s="409"/>
      <c r="S73" s="410"/>
      <c r="T73" s="411">
        <v>43384</v>
      </c>
      <c r="U73" s="412"/>
      <c r="V73" s="413"/>
      <c r="W73" s="413"/>
      <c r="X73" s="414"/>
      <c r="Y73" s="414"/>
      <c r="Z73" s="414"/>
      <c r="AA73" s="414"/>
      <c r="AB73" s="414"/>
      <c r="AC73" s="414"/>
      <c r="AD73" s="415"/>
      <c r="AF73" s="53"/>
    </row>
    <row r="74" spans="1:32" ht="30" customHeight="1">
      <c r="A74" s="383">
        <f>A73+1</f>
        <v>2</v>
      </c>
      <c r="B74" s="384"/>
      <c r="C74" s="320"/>
      <c r="D74" s="320"/>
      <c r="E74" s="35"/>
      <c r="F74" s="384"/>
      <c r="G74" s="384"/>
      <c r="H74" s="384"/>
      <c r="I74" s="384"/>
      <c r="J74" s="384"/>
      <c r="K74" s="399"/>
      <c r="L74" s="400"/>
      <c r="M74" s="400"/>
      <c r="N74" s="400"/>
      <c r="O74" s="400"/>
      <c r="P74" s="400"/>
      <c r="Q74" s="400"/>
      <c r="R74" s="400"/>
      <c r="S74" s="401"/>
      <c r="T74" s="402"/>
      <c r="U74" s="402"/>
      <c r="V74" s="402"/>
      <c r="W74" s="402"/>
      <c r="X74" s="403"/>
      <c r="Y74" s="403"/>
      <c r="Z74" s="403"/>
      <c r="AA74" s="403"/>
      <c r="AB74" s="403"/>
      <c r="AC74" s="403"/>
      <c r="AD74" s="404"/>
      <c r="AF74" s="53"/>
    </row>
    <row r="75" spans="1:32" ht="30" customHeight="1">
      <c r="A75" s="383">
        <f t="shared" ref="A75:A81" si="11">A74+1</f>
        <v>3</v>
      </c>
      <c r="B75" s="384"/>
      <c r="C75" s="320"/>
      <c r="D75" s="320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si="11"/>
        <v>4</v>
      </c>
      <c r="B76" s="384"/>
      <c r="C76" s="320"/>
      <c r="D76" s="320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1"/>
        <v>5</v>
      </c>
      <c r="B77" s="384"/>
      <c r="C77" s="320"/>
      <c r="D77" s="320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1"/>
        <v>6</v>
      </c>
      <c r="B78" s="384"/>
      <c r="C78" s="320"/>
      <c r="D78" s="320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1"/>
        <v>7</v>
      </c>
      <c r="B79" s="384"/>
      <c r="C79" s="320"/>
      <c r="D79" s="320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1"/>
        <v>8</v>
      </c>
      <c r="B80" s="384"/>
      <c r="C80" s="320"/>
      <c r="D80" s="320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1"/>
        <v>9</v>
      </c>
      <c r="B81" s="384"/>
      <c r="C81" s="320"/>
      <c r="D81" s="320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6" thickBot="1">
      <c r="A82" s="396" t="s">
        <v>478</v>
      </c>
      <c r="B82" s="396"/>
      <c r="C82" s="396"/>
      <c r="D82" s="396"/>
      <c r="E82" s="396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7" t="s">
        <v>113</v>
      </c>
      <c r="B83" s="398"/>
      <c r="C83" s="388" t="s">
        <v>52</v>
      </c>
      <c r="D83" s="388"/>
      <c r="E83" s="388" t="s">
        <v>53</v>
      </c>
      <c r="F83" s="388"/>
      <c r="G83" s="388"/>
      <c r="H83" s="388"/>
      <c r="I83" s="388"/>
      <c r="J83" s="388"/>
      <c r="K83" s="388" t="s">
        <v>54</v>
      </c>
      <c r="L83" s="388"/>
      <c r="M83" s="388"/>
      <c r="N83" s="388"/>
      <c r="O83" s="388"/>
      <c r="P83" s="388"/>
      <c r="Q83" s="388"/>
      <c r="R83" s="388"/>
      <c r="S83" s="388"/>
      <c r="T83" s="388" t="s">
        <v>55</v>
      </c>
      <c r="U83" s="388"/>
      <c r="V83" s="388" t="s">
        <v>56</v>
      </c>
      <c r="W83" s="388"/>
      <c r="X83" s="388"/>
      <c r="Y83" s="388" t="s">
        <v>51</v>
      </c>
      <c r="Z83" s="388"/>
      <c r="AA83" s="388"/>
      <c r="AB83" s="388"/>
      <c r="AC83" s="388"/>
      <c r="AD83" s="389"/>
      <c r="AF83" s="53"/>
    </row>
    <row r="84" spans="1:32" ht="30.75" customHeight="1">
      <c r="A84" s="390">
        <v>1</v>
      </c>
      <c r="B84" s="391"/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3"/>
      <c r="W84" s="393"/>
      <c r="X84" s="393"/>
      <c r="Y84" s="394"/>
      <c r="Z84" s="394"/>
      <c r="AA84" s="394"/>
      <c r="AB84" s="394"/>
      <c r="AC84" s="394"/>
      <c r="AD84" s="395"/>
      <c r="AF84" s="53"/>
    </row>
    <row r="85" spans="1:32" ht="30.75" customHeight="1">
      <c r="A85" s="383">
        <v>2</v>
      </c>
      <c r="B85" s="384"/>
      <c r="C85" s="385"/>
      <c r="D85" s="385"/>
      <c r="E85" s="385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6"/>
      <c r="U85" s="386"/>
      <c r="V85" s="387"/>
      <c r="W85" s="387"/>
      <c r="X85" s="387"/>
      <c r="Y85" s="376"/>
      <c r="Z85" s="376"/>
      <c r="AA85" s="376"/>
      <c r="AB85" s="376"/>
      <c r="AC85" s="376"/>
      <c r="AD85" s="377"/>
      <c r="AF85" s="53"/>
    </row>
    <row r="86" spans="1:32" ht="30.75" customHeight="1" thickBot="1">
      <c r="A86" s="378">
        <v>3</v>
      </c>
      <c r="B86" s="379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  <c r="X86" s="380"/>
      <c r="Y86" s="381"/>
      <c r="Z86" s="381"/>
      <c r="AA86" s="381"/>
      <c r="AB86" s="381"/>
      <c r="AC86" s="381"/>
      <c r="AD86" s="382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A401-9F26-4CCE-8265-7A0157C84C44}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479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331" t="s">
        <v>17</v>
      </c>
      <c r="L5" s="331" t="s">
        <v>18</v>
      </c>
      <c r="M5" s="331" t="s">
        <v>19</v>
      </c>
      <c r="N5" s="33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 t="shared" ref="K6:K16" si="0">L6</f>
        <v>0</v>
      </c>
      <c r="L6" s="15"/>
      <c r="M6" s="16">
        <f t="shared" ref="M6:M20" si="1">L6-N6</f>
        <v>0</v>
      </c>
      <c r="N6" s="16">
        <v>0</v>
      </c>
      <c r="O6" s="62" t="str">
        <f t="shared" ref="O6:O21" si="2">IF(L6=0,"0",N6/L6)</f>
        <v>0</v>
      </c>
      <c r="P6" s="42" t="str">
        <f t="shared" ref="P6:P20" si="3">IF(L6=0,"0",(24-Q6))</f>
        <v>0</v>
      </c>
      <c r="Q6" s="43">
        <f t="shared" ref="Q6:Q20" si="4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9">
        <f t="shared" ref="AE6:AE20" si="8">$AD$21</f>
        <v>0.25555555555555559</v>
      </c>
      <c r="AF6" s="93">
        <f t="shared" ref="AF6:AF20" si="9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 t="shared" si="0"/>
        <v>0</v>
      </c>
      <c r="L7" s="15"/>
      <c r="M7" s="16">
        <f t="shared" si="1"/>
        <v>0</v>
      </c>
      <c r="N7" s="16">
        <v>0</v>
      </c>
      <c r="O7" s="62" t="str">
        <f t="shared" si="2"/>
        <v>0</v>
      </c>
      <c r="P7" s="42" t="str">
        <f t="shared" si="3"/>
        <v>0</v>
      </c>
      <c r="Q7" s="43">
        <f t="shared" si="4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9">
        <f t="shared" si="8"/>
        <v>0.25555555555555559</v>
      </c>
      <c r="AF7" s="93">
        <f t="shared" si="9"/>
        <v>2</v>
      </c>
    </row>
    <row r="8" spans="1:32" ht="27" customHeight="1">
      <c r="A8" s="108">
        <v>3</v>
      </c>
      <c r="B8" s="11"/>
      <c r="C8" s="37"/>
      <c r="D8" s="55"/>
      <c r="E8" s="57"/>
      <c r="F8" s="33"/>
      <c r="G8" s="36"/>
      <c r="H8" s="38"/>
      <c r="I8" s="7"/>
      <c r="J8" s="5">
        <v>0</v>
      </c>
      <c r="K8" s="15">
        <f t="shared" si="0"/>
        <v>0</v>
      </c>
      <c r="L8" s="15"/>
      <c r="M8" s="16">
        <f t="shared" si="1"/>
        <v>0</v>
      </c>
      <c r="N8" s="16">
        <v>0</v>
      </c>
      <c r="O8" s="62" t="str">
        <f t="shared" si="2"/>
        <v>0</v>
      </c>
      <c r="P8" s="42" t="str">
        <f t="shared" si="3"/>
        <v>0</v>
      </c>
      <c r="Q8" s="43">
        <f t="shared" si="4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 t="str">
        <f t="shared" si="5"/>
        <v>0</v>
      </c>
      <c r="AC8" s="9">
        <f t="shared" si="6"/>
        <v>0</v>
      </c>
      <c r="AD8" s="10">
        <f t="shared" si="7"/>
        <v>0</v>
      </c>
      <c r="AE8" s="39">
        <f t="shared" si="8"/>
        <v>0.25555555555555559</v>
      </c>
      <c r="AF8" s="93">
        <f t="shared" si="9"/>
        <v>3</v>
      </c>
    </row>
    <row r="9" spans="1:32" ht="27" customHeight="1">
      <c r="A9" s="109">
        <v>4</v>
      </c>
      <c r="B9" s="11"/>
      <c r="C9" s="11"/>
      <c r="D9" s="55"/>
      <c r="E9" s="57"/>
      <c r="F9" s="33"/>
      <c r="G9" s="36"/>
      <c r="H9" s="38"/>
      <c r="I9" s="7"/>
      <c r="J9" s="14">
        <v>0</v>
      </c>
      <c r="K9" s="15">
        <f t="shared" si="0"/>
        <v>0</v>
      </c>
      <c r="L9" s="15"/>
      <c r="M9" s="16">
        <f t="shared" si="1"/>
        <v>0</v>
      </c>
      <c r="N9" s="16">
        <v>0</v>
      </c>
      <c r="O9" s="62" t="str">
        <f t="shared" si="2"/>
        <v>0</v>
      </c>
      <c r="P9" s="42" t="str">
        <f t="shared" si="3"/>
        <v>0</v>
      </c>
      <c r="Q9" s="43">
        <f t="shared" si="4"/>
        <v>24</v>
      </c>
      <c r="R9" s="7"/>
      <c r="S9" s="6"/>
      <c r="T9" s="17"/>
      <c r="U9" s="17"/>
      <c r="V9" s="18"/>
      <c r="W9" s="19"/>
      <c r="X9" s="17"/>
      <c r="Y9" s="20"/>
      <c r="Z9" s="20"/>
      <c r="AA9" s="21">
        <v>24</v>
      </c>
      <c r="AB9" s="8" t="str">
        <f t="shared" si="5"/>
        <v>0</v>
      </c>
      <c r="AC9" s="9">
        <f t="shared" si="6"/>
        <v>0</v>
      </c>
      <c r="AD9" s="10">
        <f t="shared" si="7"/>
        <v>0</v>
      </c>
      <c r="AE9" s="39">
        <f t="shared" si="8"/>
        <v>0.25555555555555559</v>
      </c>
      <c r="AF9" s="93">
        <f t="shared" si="9"/>
        <v>4</v>
      </c>
    </row>
    <row r="10" spans="1:32" ht="27" customHeight="1">
      <c r="A10" s="109">
        <v>5</v>
      </c>
      <c r="B10" s="11"/>
      <c r="C10" s="11"/>
      <c r="D10" s="55"/>
      <c r="E10" s="57"/>
      <c r="F10" s="12"/>
      <c r="G10" s="12"/>
      <c r="H10" s="13"/>
      <c r="I10" s="7"/>
      <c r="J10" s="14">
        <v>0</v>
      </c>
      <c r="K10" s="15">
        <f t="shared" si="0"/>
        <v>0</v>
      </c>
      <c r="L10" s="15"/>
      <c r="M10" s="16">
        <f t="shared" si="1"/>
        <v>0</v>
      </c>
      <c r="N10" s="16">
        <v>0</v>
      </c>
      <c r="O10" s="62" t="str">
        <f t="shared" si="2"/>
        <v>0</v>
      </c>
      <c r="P10" s="42" t="str">
        <f t="shared" si="3"/>
        <v>0</v>
      </c>
      <c r="Q10" s="43">
        <f t="shared" si="4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 t="str">
        <f t="shared" si="5"/>
        <v>0</v>
      </c>
      <c r="AC10" s="9">
        <f t="shared" si="6"/>
        <v>0</v>
      </c>
      <c r="AD10" s="10">
        <f t="shared" si="7"/>
        <v>0</v>
      </c>
      <c r="AE10" s="39">
        <f t="shared" si="8"/>
        <v>0.25555555555555559</v>
      </c>
      <c r="AF10" s="93">
        <f t="shared" si="9"/>
        <v>5</v>
      </c>
    </row>
    <row r="11" spans="1:32" ht="27" customHeight="1">
      <c r="A11" s="109">
        <v>6</v>
      </c>
      <c r="B11" s="11" t="s">
        <v>57</v>
      </c>
      <c r="C11" s="11" t="s">
        <v>114</v>
      </c>
      <c r="D11" s="55" t="s">
        <v>318</v>
      </c>
      <c r="E11" s="57" t="s">
        <v>470</v>
      </c>
      <c r="F11" s="12">
        <v>8301</v>
      </c>
      <c r="G11" s="12">
        <v>1</v>
      </c>
      <c r="H11" s="13">
        <v>25</v>
      </c>
      <c r="I11" s="7">
        <v>1000</v>
      </c>
      <c r="J11" s="14">
        <v>2321</v>
      </c>
      <c r="K11" s="15">
        <f t="shared" si="0"/>
        <v>2321</v>
      </c>
      <c r="L11" s="15">
        <f>1553+768</f>
        <v>2321</v>
      </c>
      <c r="M11" s="16">
        <f t="shared" si="1"/>
        <v>2321</v>
      </c>
      <c r="N11" s="16">
        <v>0</v>
      </c>
      <c r="O11" s="62">
        <f t="shared" si="2"/>
        <v>0</v>
      </c>
      <c r="P11" s="42">
        <f t="shared" si="3"/>
        <v>14</v>
      </c>
      <c r="Q11" s="43">
        <f t="shared" si="4"/>
        <v>10</v>
      </c>
      <c r="R11" s="7"/>
      <c r="S11" s="6"/>
      <c r="T11" s="17">
        <v>2</v>
      </c>
      <c r="U11" s="17"/>
      <c r="V11" s="18"/>
      <c r="W11" s="19">
        <v>8</v>
      </c>
      <c r="X11" s="17"/>
      <c r="Y11" s="20"/>
      <c r="Z11" s="20"/>
      <c r="AA11" s="21"/>
      <c r="AB11" s="8">
        <f t="shared" si="5"/>
        <v>1</v>
      </c>
      <c r="AC11" s="9">
        <f t="shared" si="6"/>
        <v>0.58333333333333337</v>
      </c>
      <c r="AD11" s="10">
        <f t="shared" si="7"/>
        <v>0.58333333333333337</v>
      </c>
      <c r="AE11" s="39">
        <f t="shared" si="8"/>
        <v>0.25555555555555559</v>
      </c>
      <c r="AF11" s="93">
        <f t="shared" si="9"/>
        <v>6</v>
      </c>
    </row>
    <row r="12" spans="1:32" ht="27" customHeight="1">
      <c r="A12" s="109">
        <v>7</v>
      </c>
      <c r="B12" s="11"/>
      <c r="C12" s="11"/>
      <c r="D12" s="55"/>
      <c r="E12" s="57"/>
      <c r="F12" s="33"/>
      <c r="G12" s="36"/>
      <c r="H12" s="38"/>
      <c r="I12" s="7"/>
      <c r="J12" s="14">
        <v>0</v>
      </c>
      <c r="K12" s="15">
        <f t="shared" si="0"/>
        <v>0</v>
      </c>
      <c r="L12" s="15"/>
      <c r="M12" s="16">
        <f t="shared" si="1"/>
        <v>0</v>
      </c>
      <c r="N12" s="16">
        <v>0</v>
      </c>
      <c r="O12" s="62" t="str">
        <f t="shared" si="2"/>
        <v>0</v>
      </c>
      <c r="P12" s="42" t="str">
        <f t="shared" si="3"/>
        <v>0</v>
      </c>
      <c r="Q12" s="43">
        <f t="shared" si="4"/>
        <v>24</v>
      </c>
      <c r="R12" s="7"/>
      <c r="S12" s="6"/>
      <c r="T12" s="17"/>
      <c r="U12" s="17"/>
      <c r="V12" s="18"/>
      <c r="W12" s="19"/>
      <c r="X12" s="17"/>
      <c r="Y12" s="20"/>
      <c r="Z12" s="20"/>
      <c r="AA12" s="21">
        <v>24</v>
      </c>
      <c r="AB12" s="8" t="str">
        <f t="shared" si="5"/>
        <v>0</v>
      </c>
      <c r="AC12" s="9">
        <f t="shared" si="6"/>
        <v>0</v>
      </c>
      <c r="AD12" s="10">
        <f t="shared" si="7"/>
        <v>0</v>
      </c>
      <c r="AE12" s="39">
        <f t="shared" si="8"/>
        <v>0.25555555555555559</v>
      </c>
      <c r="AF12" s="93">
        <f t="shared" si="9"/>
        <v>7</v>
      </c>
    </row>
    <row r="13" spans="1:32" ht="27" customHeight="1">
      <c r="A13" s="109">
        <v>8</v>
      </c>
      <c r="B13" s="11"/>
      <c r="C13" s="11"/>
      <c r="D13" s="55"/>
      <c r="E13" s="57"/>
      <c r="F13" s="33"/>
      <c r="G13" s="36"/>
      <c r="H13" s="38"/>
      <c r="I13" s="7"/>
      <c r="J13" s="14">
        <v>0</v>
      </c>
      <c r="K13" s="15">
        <f t="shared" si="0"/>
        <v>0</v>
      </c>
      <c r="L13" s="15"/>
      <c r="M13" s="16">
        <f t="shared" si="1"/>
        <v>0</v>
      </c>
      <c r="N13" s="16">
        <v>0</v>
      </c>
      <c r="O13" s="62" t="str">
        <f t="shared" si="2"/>
        <v>0</v>
      </c>
      <c r="P13" s="42" t="str">
        <f t="shared" si="3"/>
        <v>0</v>
      </c>
      <c r="Q13" s="43">
        <f t="shared" si="4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 t="str">
        <f t="shared" si="5"/>
        <v>0</v>
      </c>
      <c r="AC13" s="9">
        <f t="shared" si="6"/>
        <v>0</v>
      </c>
      <c r="AD13" s="10">
        <f t="shared" si="7"/>
        <v>0</v>
      </c>
      <c r="AE13" s="39">
        <f t="shared" si="8"/>
        <v>0.25555555555555559</v>
      </c>
      <c r="AF13" s="93">
        <f t="shared" si="9"/>
        <v>8</v>
      </c>
    </row>
    <row r="14" spans="1:32" ht="27" customHeight="1">
      <c r="A14" s="125">
        <v>9</v>
      </c>
      <c r="B14" s="11"/>
      <c r="C14" s="37"/>
      <c r="D14" s="55"/>
      <c r="E14" s="57"/>
      <c r="F14" s="33"/>
      <c r="G14" s="36"/>
      <c r="H14" s="38"/>
      <c r="I14" s="7"/>
      <c r="J14" s="5">
        <v>0</v>
      </c>
      <c r="K14" s="15">
        <f t="shared" si="0"/>
        <v>0</v>
      </c>
      <c r="L14" s="15"/>
      <c r="M14" s="16">
        <f t="shared" si="1"/>
        <v>0</v>
      </c>
      <c r="N14" s="16">
        <v>0</v>
      </c>
      <c r="O14" s="62" t="str">
        <f t="shared" si="2"/>
        <v>0</v>
      </c>
      <c r="P14" s="42" t="str">
        <f t="shared" si="3"/>
        <v>0</v>
      </c>
      <c r="Q14" s="43">
        <f t="shared" si="4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 t="str">
        <f t="shared" si="5"/>
        <v>0</v>
      </c>
      <c r="AC14" s="9">
        <f t="shared" si="6"/>
        <v>0</v>
      </c>
      <c r="AD14" s="10">
        <f t="shared" si="7"/>
        <v>0</v>
      </c>
      <c r="AE14" s="39">
        <f t="shared" si="8"/>
        <v>0.25555555555555559</v>
      </c>
      <c r="AF14" s="93">
        <f t="shared" si="9"/>
        <v>9</v>
      </c>
    </row>
    <row r="15" spans="1:32" ht="27" customHeight="1">
      <c r="A15" s="108">
        <v>10</v>
      </c>
      <c r="B15" s="11"/>
      <c r="C15" s="37"/>
      <c r="D15" s="55"/>
      <c r="E15" s="57"/>
      <c r="F15" s="12"/>
      <c r="G15" s="12"/>
      <c r="H15" s="13"/>
      <c r="I15" s="34"/>
      <c r="J15" s="14">
        <v>0</v>
      </c>
      <c r="K15" s="15">
        <f t="shared" si="0"/>
        <v>0</v>
      </c>
      <c r="L15" s="15"/>
      <c r="M15" s="16">
        <f t="shared" si="1"/>
        <v>0</v>
      </c>
      <c r="N15" s="16">
        <v>0</v>
      </c>
      <c r="O15" s="62" t="str">
        <f t="shared" si="2"/>
        <v>0</v>
      </c>
      <c r="P15" s="42" t="str">
        <f t="shared" si="3"/>
        <v>0</v>
      </c>
      <c r="Q15" s="43">
        <f t="shared" si="4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 t="str">
        <f t="shared" si="5"/>
        <v>0</v>
      </c>
      <c r="AC15" s="9">
        <f t="shared" si="6"/>
        <v>0</v>
      </c>
      <c r="AD15" s="10">
        <f t="shared" si="7"/>
        <v>0</v>
      </c>
      <c r="AE15" s="39">
        <f t="shared" si="8"/>
        <v>0.25555555555555559</v>
      </c>
      <c r="AF15" s="93">
        <f t="shared" si="9"/>
        <v>10</v>
      </c>
    </row>
    <row r="16" spans="1:32" ht="27" customHeight="1">
      <c r="A16" s="108">
        <v>11</v>
      </c>
      <c r="B16" s="11"/>
      <c r="C16" s="11"/>
      <c r="D16" s="55"/>
      <c r="E16" s="57"/>
      <c r="F16" s="12"/>
      <c r="G16" s="12"/>
      <c r="H16" s="13"/>
      <c r="I16" s="7"/>
      <c r="J16" s="14">
        <v>0</v>
      </c>
      <c r="K16" s="15">
        <f t="shared" si="0"/>
        <v>0</v>
      </c>
      <c r="L16" s="15"/>
      <c r="M16" s="16">
        <f t="shared" si="1"/>
        <v>0</v>
      </c>
      <c r="N16" s="16">
        <v>0</v>
      </c>
      <c r="O16" s="62" t="str">
        <f t="shared" si="2"/>
        <v>0</v>
      </c>
      <c r="P16" s="42" t="str">
        <f t="shared" si="3"/>
        <v>0</v>
      </c>
      <c r="Q16" s="43">
        <f t="shared" si="4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 t="str">
        <f t="shared" si="5"/>
        <v>0</v>
      </c>
      <c r="AC16" s="9">
        <f t="shared" si="6"/>
        <v>0</v>
      </c>
      <c r="AD16" s="10">
        <f t="shared" si="7"/>
        <v>0</v>
      </c>
      <c r="AE16" s="39">
        <f t="shared" si="8"/>
        <v>0.25555555555555559</v>
      </c>
      <c r="AF16" s="93">
        <f t="shared" si="9"/>
        <v>11</v>
      </c>
    </row>
    <row r="17" spans="1:32" ht="27" customHeight="1">
      <c r="A17" s="108">
        <v>12</v>
      </c>
      <c r="B17" s="11" t="s">
        <v>57</v>
      </c>
      <c r="C17" s="37" t="s">
        <v>192</v>
      </c>
      <c r="D17" s="55" t="s">
        <v>436</v>
      </c>
      <c r="E17" s="57" t="s">
        <v>437</v>
      </c>
      <c r="F17" s="12" t="s">
        <v>438</v>
      </c>
      <c r="G17" s="12">
        <v>3</v>
      </c>
      <c r="H17" s="13">
        <v>24</v>
      </c>
      <c r="I17" s="34">
        <f>16000*2+12000</f>
        <v>44000</v>
      </c>
      <c r="J17" s="14">
        <v>14754</v>
      </c>
      <c r="K17" s="15">
        <f>L17+20226+21507+22836</f>
        <v>79323</v>
      </c>
      <c r="L17" s="15">
        <f>2859*3+2059*3</f>
        <v>14754</v>
      </c>
      <c r="M17" s="16">
        <f t="shared" si="1"/>
        <v>14754</v>
      </c>
      <c r="N17" s="16">
        <v>0</v>
      </c>
      <c r="O17" s="62">
        <f t="shared" si="2"/>
        <v>0</v>
      </c>
      <c r="P17" s="42">
        <f t="shared" si="3"/>
        <v>24</v>
      </c>
      <c r="Q17" s="43">
        <f t="shared" si="4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5"/>
        <v>1</v>
      </c>
      <c r="AC17" s="9">
        <f t="shared" si="6"/>
        <v>1</v>
      </c>
      <c r="AD17" s="10">
        <f t="shared" si="7"/>
        <v>1</v>
      </c>
      <c r="AE17" s="39">
        <f t="shared" si="8"/>
        <v>0.25555555555555559</v>
      </c>
      <c r="AF17" s="93">
        <f t="shared" si="9"/>
        <v>12</v>
      </c>
    </row>
    <row r="18" spans="1:32" ht="27" customHeight="1">
      <c r="A18" s="109">
        <v>13</v>
      </c>
      <c r="B18" s="11" t="s">
        <v>57</v>
      </c>
      <c r="C18" s="37" t="s">
        <v>114</v>
      </c>
      <c r="D18" s="55" t="s">
        <v>117</v>
      </c>
      <c r="E18" s="57" t="s">
        <v>471</v>
      </c>
      <c r="F18" s="12" t="s">
        <v>480</v>
      </c>
      <c r="G18" s="36">
        <v>1</v>
      </c>
      <c r="H18" s="38">
        <v>24</v>
      </c>
      <c r="I18" s="7">
        <v>800</v>
      </c>
      <c r="J18" s="5">
        <v>880</v>
      </c>
      <c r="K18" s="15">
        <f>L18</f>
        <v>880</v>
      </c>
      <c r="L18" s="15">
        <f>412+468</f>
        <v>880</v>
      </c>
      <c r="M18" s="16">
        <f t="shared" si="1"/>
        <v>880</v>
      </c>
      <c r="N18" s="16">
        <v>0</v>
      </c>
      <c r="O18" s="62">
        <f t="shared" si="2"/>
        <v>0</v>
      </c>
      <c r="P18" s="42">
        <f t="shared" si="3"/>
        <v>16</v>
      </c>
      <c r="Q18" s="43">
        <f t="shared" si="4"/>
        <v>8</v>
      </c>
      <c r="R18" s="7"/>
      <c r="S18" s="6"/>
      <c r="T18" s="17">
        <v>3</v>
      </c>
      <c r="U18" s="17"/>
      <c r="V18" s="18"/>
      <c r="W18" s="19">
        <v>5</v>
      </c>
      <c r="X18" s="17"/>
      <c r="Y18" s="20"/>
      <c r="Z18" s="20"/>
      <c r="AA18" s="21"/>
      <c r="AB18" s="8">
        <f t="shared" si="5"/>
        <v>1</v>
      </c>
      <c r="AC18" s="9">
        <f t="shared" si="6"/>
        <v>0.66666666666666663</v>
      </c>
      <c r="AD18" s="10">
        <f>AC18*AB18*(1-O18)</f>
        <v>0.66666666666666663</v>
      </c>
      <c r="AE18" s="39">
        <f t="shared" si="8"/>
        <v>0.25555555555555559</v>
      </c>
      <c r="AF18" s="93">
        <f t="shared" si="9"/>
        <v>13</v>
      </c>
    </row>
    <row r="19" spans="1:32" ht="27" customHeight="1">
      <c r="A19" s="109">
        <v>14</v>
      </c>
      <c r="B19" s="11" t="s">
        <v>57</v>
      </c>
      <c r="C19" s="37" t="s">
        <v>123</v>
      </c>
      <c r="D19" s="55" t="s">
        <v>117</v>
      </c>
      <c r="E19" s="57" t="s">
        <v>153</v>
      </c>
      <c r="F19" s="12" t="s">
        <v>129</v>
      </c>
      <c r="G19" s="36">
        <v>4</v>
      </c>
      <c r="H19" s="38">
        <v>24</v>
      </c>
      <c r="I19" s="7">
        <v>400000</v>
      </c>
      <c r="J19" s="5">
        <v>19120</v>
      </c>
      <c r="K19" s="15">
        <f>L19+12380+14384+22568+16460+13888+20848+20972+20888+19996+10224+14424+21632+20220+19704+9284+22304+15876+16404+16660+17141+13660</f>
        <v>379037</v>
      </c>
      <c r="L19" s="15">
        <f>2097*4+2683*4</f>
        <v>19120</v>
      </c>
      <c r="M19" s="16">
        <f t="shared" si="1"/>
        <v>19120</v>
      </c>
      <c r="N19" s="16">
        <v>0</v>
      </c>
      <c r="O19" s="62">
        <f t="shared" si="2"/>
        <v>0</v>
      </c>
      <c r="P19" s="42">
        <f t="shared" si="3"/>
        <v>24</v>
      </c>
      <c r="Q19" s="43">
        <f t="shared" si="4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9">
        <f t="shared" si="8"/>
        <v>0.25555555555555559</v>
      </c>
      <c r="AF19" s="93">
        <f t="shared" si="9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133</v>
      </c>
      <c r="F20" s="12" t="s">
        <v>116</v>
      </c>
      <c r="G20" s="12">
        <v>4</v>
      </c>
      <c r="H20" s="38">
        <v>20</v>
      </c>
      <c r="I20" s="7">
        <v>200000</v>
      </c>
      <c r="J20" s="14">
        <v>32180</v>
      </c>
      <c r="K20" s="15">
        <f>L20</f>
        <v>32180</v>
      </c>
      <c r="L20" s="15">
        <f>8045*4</f>
        <v>32180</v>
      </c>
      <c r="M20" s="16">
        <f t="shared" si="1"/>
        <v>32180</v>
      </c>
      <c r="N20" s="16">
        <v>0</v>
      </c>
      <c r="O20" s="62">
        <f t="shared" si="2"/>
        <v>0</v>
      </c>
      <c r="P20" s="42">
        <f t="shared" si="3"/>
        <v>14</v>
      </c>
      <c r="Q20" s="43">
        <f t="shared" si="4"/>
        <v>10</v>
      </c>
      <c r="R20" s="7"/>
      <c r="S20" s="6"/>
      <c r="T20" s="17">
        <v>2</v>
      </c>
      <c r="U20" s="17"/>
      <c r="V20" s="18">
        <v>8</v>
      </c>
      <c r="W20" s="19"/>
      <c r="X20" s="17"/>
      <c r="Y20" s="20"/>
      <c r="Z20" s="20"/>
      <c r="AA20" s="21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9">
        <f t="shared" si="8"/>
        <v>0.25555555555555559</v>
      </c>
      <c r="AF20" s="93">
        <f t="shared" si="9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10">SUM(I6:I20)</f>
        <v>645800</v>
      </c>
      <c r="J21" s="22">
        <f t="shared" si="10"/>
        <v>69255</v>
      </c>
      <c r="K21" s="23">
        <f t="shared" si="10"/>
        <v>493741</v>
      </c>
      <c r="L21" s="24">
        <f t="shared" si="10"/>
        <v>69255</v>
      </c>
      <c r="M21" s="23">
        <f t="shared" si="10"/>
        <v>69255</v>
      </c>
      <c r="N21" s="24">
        <f t="shared" si="10"/>
        <v>0</v>
      </c>
      <c r="O21" s="44">
        <f t="shared" si="2"/>
        <v>0</v>
      </c>
      <c r="P21" s="45">
        <f t="shared" ref="P21:AA21" si="11">SUM(P6:P20)</f>
        <v>92</v>
      </c>
      <c r="Q21" s="46">
        <f t="shared" si="11"/>
        <v>268</v>
      </c>
      <c r="R21" s="26">
        <f t="shared" si="11"/>
        <v>24</v>
      </c>
      <c r="S21" s="27">
        <f t="shared" si="11"/>
        <v>0</v>
      </c>
      <c r="T21" s="27">
        <f t="shared" si="11"/>
        <v>7</v>
      </c>
      <c r="U21" s="27">
        <f t="shared" si="11"/>
        <v>0</v>
      </c>
      <c r="V21" s="28">
        <f t="shared" si="11"/>
        <v>8</v>
      </c>
      <c r="W21" s="29">
        <f t="shared" si="11"/>
        <v>181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48</v>
      </c>
      <c r="AB21" s="31">
        <f>SUM(AB6:AB20)/15</f>
        <v>0.33333333333333331</v>
      </c>
      <c r="AC21" s="4">
        <f>SUM(AC6:AC20)/15</f>
        <v>0.25555555555555559</v>
      </c>
      <c r="AD21" s="4">
        <f>SUM(AD6:AD20)/15</f>
        <v>0.25555555555555559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481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482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332" t="s">
        <v>46</v>
      </c>
      <c r="D50" s="332" t="s">
        <v>47</v>
      </c>
      <c r="E50" s="332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332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4" t="s">
        <v>114</v>
      </c>
      <c r="B51" s="435"/>
      <c r="C51" s="334" t="s">
        <v>166</v>
      </c>
      <c r="D51" s="334" t="s">
        <v>117</v>
      </c>
      <c r="E51" s="334" t="s">
        <v>471</v>
      </c>
      <c r="F51" s="445" t="s">
        <v>171</v>
      </c>
      <c r="G51" s="446"/>
      <c r="H51" s="446"/>
      <c r="I51" s="446"/>
      <c r="J51" s="446"/>
      <c r="K51" s="446"/>
      <c r="L51" s="446"/>
      <c r="M51" s="447"/>
      <c r="N51" s="333" t="s">
        <v>114</v>
      </c>
      <c r="O51" s="124" t="s">
        <v>275</v>
      </c>
      <c r="P51" s="443" t="s">
        <v>117</v>
      </c>
      <c r="Q51" s="444"/>
      <c r="R51" s="435" t="s">
        <v>351</v>
      </c>
      <c r="S51" s="435"/>
      <c r="T51" s="435"/>
      <c r="U51" s="435"/>
      <c r="V51" s="426" t="s">
        <v>171</v>
      </c>
      <c r="W51" s="426"/>
      <c r="X51" s="426"/>
      <c r="Y51" s="426"/>
      <c r="Z51" s="426"/>
      <c r="AA51" s="426"/>
      <c r="AB51" s="426"/>
      <c r="AC51" s="426"/>
      <c r="AD51" s="436"/>
    </row>
    <row r="52" spans="1:32" ht="27" customHeight="1">
      <c r="A52" s="434" t="s">
        <v>114</v>
      </c>
      <c r="B52" s="435"/>
      <c r="C52" s="334" t="s">
        <v>144</v>
      </c>
      <c r="D52" s="334" t="s">
        <v>318</v>
      </c>
      <c r="E52" s="334" t="s">
        <v>470</v>
      </c>
      <c r="F52" s="445" t="s">
        <v>171</v>
      </c>
      <c r="G52" s="446"/>
      <c r="H52" s="446"/>
      <c r="I52" s="446"/>
      <c r="J52" s="446"/>
      <c r="K52" s="446"/>
      <c r="L52" s="446"/>
      <c r="M52" s="447"/>
      <c r="N52" s="333"/>
      <c r="O52" s="124"/>
      <c r="P52" s="435"/>
      <c r="Q52" s="435"/>
      <c r="R52" s="435"/>
      <c r="S52" s="435"/>
      <c r="T52" s="435"/>
      <c r="U52" s="435"/>
      <c r="V52" s="426"/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115</v>
      </c>
      <c r="B53" s="435"/>
      <c r="C53" s="334" t="s">
        <v>414</v>
      </c>
      <c r="D53" s="334"/>
      <c r="E53" s="334" t="s">
        <v>133</v>
      </c>
      <c r="F53" s="445" t="s">
        <v>171</v>
      </c>
      <c r="G53" s="446"/>
      <c r="H53" s="446"/>
      <c r="I53" s="446"/>
      <c r="J53" s="446"/>
      <c r="K53" s="446"/>
      <c r="L53" s="446"/>
      <c r="M53" s="447"/>
      <c r="N53" s="333"/>
      <c r="O53" s="124"/>
      <c r="P53" s="435"/>
      <c r="Q53" s="435"/>
      <c r="R53" s="435"/>
      <c r="S53" s="435"/>
      <c r="T53" s="435"/>
      <c r="U53" s="435"/>
      <c r="V53" s="426"/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/>
      <c r="B54" s="435"/>
      <c r="C54" s="334"/>
      <c r="D54" s="334"/>
      <c r="E54" s="334"/>
      <c r="F54" s="445"/>
      <c r="G54" s="446"/>
      <c r="H54" s="446"/>
      <c r="I54" s="446"/>
      <c r="J54" s="446"/>
      <c r="K54" s="446"/>
      <c r="L54" s="446"/>
      <c r="M54" s="447"/>
      <c r="N54" s="333"/>
      <c r="O54" s="124"/>
      <c r="P54" s="443"/>
      <c r="Q54" s="444"/>
      <c r="R54" s="435"/>
      <c r="S54" s="435"/>
      <c r="T54" s="435"/>
      <c r="U54" s="435"/>
      <c r="V54" s="426"/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/>
      <c r="B55" s="435"/>
      <c r="C55" s="334"/>
      <c r="D55" s="334"/>
      <c r="E55" s="334"/>
      <c r="F55" s="445"/>
      <c r="G55" s="446"/>
      <c r="H55" s="446"/>
      <c r="I55" s="446"/>
      <c r="J55" s="446"/>
      <c r="K55" s="446"/>
      <c r="L55" s="446"/>
      <c r="M55" s="447"/>
      <c r="N55" s="333"/>
      <c r="O55" s="124"/>
      <c r="P55" s="435"/>
      <c r="Q55" s="435"/>
      <c r="R55" s="435"/>
      <c r="S55" s="435"/>
      <c r="T55" s="435"/>
      <c r="U55" s="435"/>
      <c r="V55" s="426"/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334"/>
      <c r="D56" s="334"/>
      <c r="E56" s="334"/>
      <c r="F56" s="445"/>
      <c r="G56" s="446"/>
      <c r="H56" s="446"/>
      <c r="I56" s="446"/>
      <c r="J56" s="446"/>
      <c r="K56" s="446"/>
      <c r="L56" s="446"/>
      <c r="M56" s="447"/>
      <c r="N56" s="333"/>
      <c r="O56" s="124"/>
      <c r="P56" s="443"/>
      <c r="Q56" s="444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334"/>
      <c r="D57" s="334"/>
      <c r="E57" s="334"/>
      <c r="F57" s="445"/>
      <c r="G57" s="446"/>
      <c r="H57" s="446"/>
      <c r="I57" s="446"/>
      <c r="J57" s="446"/>
      <c r="K57" s="446"/>
      <c r="L57" s="446"/>
      <c r="M57" s="447"/>
      <c r="N57" s="333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334"/>
      <c r="D58" s="334"/>
      <c r="E58" s="334"/>
      <c r="F58" s="426"/>
      <c r="G58" s="426"/>
      <c r="H58" s="426"/>
      <c r="I58" s="426"/>
      <c r="J58" s="426"/>
      <c r="K58" s="426"/>
      <c r="L58" s="426"/>
      <c r="M58" s="436"/>
      <c r="N58" s="333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334"/>
      <c r="D59" s="334"/>
      <c r="E59" s="334"/>
      <c r="F59" s="445"/>
      <c r="G59" s="446"/>
      <c r="H59" s="446"/>
      <c r="I59" s="446"/>
      <c r="J59" s="446"/>
      <c r="K59" s="446"/>
      <c r="L59" s="446"/>
      <c r="M59" s="447"/>
      <c r="N59" s="333"/>
      <c r="O59" s="124"/>
      <c r="P59" s="435"/>
      <c r="Q59" s="435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  <c r="AF59" s="93">
        <f>8*3000</f>
        <v>24000</v>
      </c>
    </row>
    <row r="60" spans="1:32" ht="27" customHeight="1" thickBot="1">
      <c r="A60" s="437"/>
      <c r="B60" s="438"/>
      <c r="C60" s="336"/>
      <c r="D60" s="336"/>
      <c r="E60" s="336"/>
      <c r="F60" s="439"/>
      <c r="G60" s="439"/>
      <c r="H60" s="439"/>
      <c r="I60" s="439"/>
      <c r="J60" s="439"/>
      <c r="K60" s="439"/>
      <c r="L60" s="439"/>
      <c r="M60" s="440"/>
      <c r="N60" s="335"/>
      <c r="O60" s="120"/>
      <c r="P60" s="438"/>
      <c r="Q60" s="438"/>
      <c r="R60" s="438"/>
      <c r="S60" s="438"/>
      <c r="T60" s="438"/>
      <c r="U60" s="438"/>
      <c r="V60" s="441"/>
      <c r="W60" s="441"/>
      <c r="X60" s="441"/>
      <c r="Y60" s="441"/>
      <c r="Z60" s="441"/>
      <c r="AA60" s="441"/>
      <c r="AB60" s="441"/>
      <c r="AC60" s="441"/>
      <c r="AD60" s="442"/>
      <c r="AF60" s="93">
        <f>16*3000</f>
        <v>48000</v>
      </c>
    </row>
    <row r="61" spans="1:32" ht="27.75" thickBot="1">
      <c r="A61" s="432" t="s">
        <v>483</v>
      </c>
      <c r="B61" s="432"/>
      <c r="C61" s="432"/>
      <c r="D61" s="432"/>
      <c r="E61" s="43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3" t="s">
        <v>113</v>
      </c>
      <c r="B62" s="430"/>
      <c r="C62" s="337" t="s">
        <v>2</v>
      </c>
      <c r="D62" s="337" t="s">
        <v>37</v>
      </c>
      <c r="E62" s="337" t="s">
        <v>3</v>
      </c>
      <c r="F62" s="430" t="s">
        <v>110</v>
      </c>
      <c r="G62" s="430"/>
      <c r="H62" s="430"/>
      <c r="I62" s="430"/>
      <c r="J62" s="430"/>
      <c r="K62" s="430" t="s">
        <v>39</v>
      </c>
      <c r="L62" s="430"/>
      <c r="M62" s="337" t="s">
        <v>40</v>
      </c>
      <c r="N62" s="430" t="s">
        <v>41</v>
      </c>
      <c r="O62" s="430"/>
      <c r="P62" s="427" t="s">
        <v>42</v>
      </c>
      <c r="Q62" s="429"/>
      <c r="R62" s="427" t="s">
        <v>43</v>
      </c>
      <c r="S62" s="428"/>
      <c r="T62" s="428"/>
      <c r="U62" s="428"/>
      <c r="V62" s="428"/>
      <c r="W62" s="428"/>
      <c r="X62" s="428"/>
      <c r="Y62" s="428"/>
      <c r="Z62" s="428"/>
      <c r="AA62" s="429"/>
      <c r="AB62" s="430" t="s">
        <v>44</v>
      </c>
      <c r="AC62" s="430"/>
      <c r="AD62" s="431"/>
      <c r="AF62" s="93">
        <f>SUM(AF59:AF61)</f>
        <v>96000</v>
      </c>
    </row>
    <row r="63" spans="1:32" ht="25.5" customHeight="1">
      <c r="A63" s="422">
        <v>1</v>
      </c>
      <c r="B63" s="423"/>
      <c r="C63" s="123" t="s">
        <v>114</v>
      </c>
      <c r="D63" s="340"/>
      <c r="E63" s="338" t="s">
        <v>134</v>
      </c>
      <c r="F63" s="424" t="s">
        <v>196</v>
      </c>
      <c r="G63" s="416"/>
      <c r="H63" s="416"/>
      <c r="I63" s="416"/>
      <c r="J63" s="416"/>
      <c r="K63" s="416" t="s">
        <v>187</v>
      </c>
      <c r="L63" s="416"/>
      <c r="M63" s="54" t="s">
        <v>405</v>
      </c>
      <c r="N63" s="416">
        <v>4</v>
      </c>
      <c r="O63" s="416"/>
      <c r="P63" s="425">
        <v>250</v>
      </c>
      <c r="Q63" s="425"/>
      <c r="R63" s="426"/>
      <c r="S63" s="426"/>
      <c r="T63" s="426"/>
      <c r="U63" s="426"/>
      <c r="V63" s="426"/>
      <c r="W63" s="426"/>
      <c r="X63" s="426"/>
      <c r="Y63" s="426"/>
      <c r="Z63" s="426"/>
      <c r="AA63" s="426"/>
      <c r="AB63" s="416"/>
      <c r="AC63" s="416"/>
      <c r="AD63" s="417"/>
      <c r="AF63" s="53"/>
    </row>
    <row r="64" spans="1:32" ht="25.5" customHeight="1">
      <c r="A64" s="422">
        <v>2</v>
      </c>
      <c r="B64" s="423"/>
      <c r="C64" s="123" t="s">
        <v>114</v>
      </c>
      <c r="D64" s="340"/>
      <c r="E64" s="338" t="s">
        <v>117</v>
      </c>
      <c r="F64" s="424" t="s">
        <v>484</v>
      </c>
      <c r="G64" s="416"/>
      <c r="H64" s="416"/>
      <c r="I64" s="416"/>
      <c r="J64" s="416"/>
      <c r="K64" s="416" t="s">
        <v>266</v>
      </c>
      <c r="L64" s="416"/>
      <c r="M64" s="54" t="s">
        <v>405</v>
      </c>
      <c r="N64" s="416">
        <v>7</v>
      </c>
      <c r="O64" s="416"/>
      <c r="P64" s="425">
        <v>250</v>
      </c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3</v>
      </c>
      <c r="B65" s="423"/>
      <c r="C65" s="123" t="s">
        <v>118</v>
      </c>
      <c r="D65" s="340"/>
      <c r="E65" s="338" t="s">
        <v>341</v>
      </c>
      <c r="F65" s="424" t="s">
        <v>485</v>
      </c>
      <c r="G65" s="416"/>
      <c r="H65" s="416"/>
      <c r="I65" s="416"/>
      <c r="J65" s="416"/>
      <c r="K65" s="416" t="s">
        <v>121</v>
      </c>
      <c r="L65" s="416"/>
      <c r="M65" s="54" t="s">
        <v>197</v>
      </c>
      <c r="N65" s="416">
        <v>8</v>
      </c>
      <c r="O65" s="416"/>
      <c r="P65" s="425">
        <v>50</v>
      </c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4</v>
      </c>
      <c r="B66" s="423"/>
      <c r="C66" s="123" t="s">
        <v>118</v>
      </c>
      <c r="D66" s="340"/>
      <c r="E66" s="338" t="s">
        <v>117</v>
      </c>
      <c r="F66" s="424" t="s">
        <v>429</v>
      </c>
      <c r="G66" s="416"/>
      <c r="H66" s="416"/>
      <c r="I66" s="416"/>
      <c r="J66" s="416"/>
      <c r="K66" s="416" t="s">
        <v>430</v>
      </c>
      <c r="L66" s="416"/>
      <c r="M66" s="54" t="s">
        <v>197</v>
      </c>
      <c r="N66" s="416">
        <v>8</v>
      </c>
      <c r="O66" s="416"/>
      <c r="P66" s="425">
        <v>50</v>
      </c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5</v>
      </c>
      <c r="B67" s="423"/>
      <c r="C67" s="123" t="s">
        <v>118</v>
      </c>
      <c r="D67" s="340"/>
      <c r="E67" s="338" t="s">
        <v>124</v>
      </c>
      <c r="F67" s="424" t="s">
        <v>486</v>
      </c>
      <c r="G67" s="416"/>
      <c r="H67" s="416"/>
      <c r="I67" s="416"/>
      <c r="J67" s="416"/>
      <c r="K67" s="416" t="s">
        <v>487</v>
      </c>
      <c r="L67" s="416"/>
      <c r="M67" s="54" t="s">
        <v>197</v>
      </c>
      <c r="N67" s="416">
        <v>11</v>
      </c>
      <c r="O67" s="416"/>
      <c r="P67" s="425">
        <v>50</v>
      </c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6</v>
      </c>
      <c r="B68" s="423"/>
      <c r="C68" s="123"/>
      <c r="D68" s="340"/>
      <c r="E68" s="338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7</v>
      </c>
      <c r="B69" s="423"/>
      <c r="C69" s="123"/>
      <c r="D69" s="340"/>
      <c r="E69" s="338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8</v>
      </c>
      <c r="B70" s="423"/>
      <c r="C70" s="123"/>
      <c r="D70" s="340"/>
      <c r="E70" s="338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6.25" customHeight="1" thickBot="1">
      <c r="A71" s="396" t="s">
        <v>488</v>
      </c>
      <c r="B71" s="396"/>
      <c r="C71" s="396"/>
      <c r="D71" s="396"/>
      <c r="E71" s="396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7" t="s">
        <v>113</v>
      </c>
      <c r="B72" s="398"/>
      <c r="C72" s="339" t="s">
        <v>2</v>
      </c>
      <c r="D72" s="339" t="s">
        <v>37</v>
      </c>
      <c r="E72" s="339" t="s">
        <v>3</v>
      </c>
      <c r="F72" s="398" t="s">
        <v>38</v>
      </c>
      <c r="G72" s="398"/>
      <c r="H72" s="398"/>
      <c r="I72" s="398"/>
      <c r="J72" s="398"/>
      <c r="K72" s="418" t="s">
        <v>58</v>
      </c>
      <c r="L72" s="419"/>
      <c r="M72" s="419"/>
      <c r="N72" s="419"/>
      <c r="O72" s="419"/>
      <c r="P72" s="419"/>
      <c r="Q72" s="419"/>
      <c r="R72" s="419"/>
      <c r="S72" s="420"/>
      <c r="T72" s="398" t="s">
        <v>49</v>
      </c>
      <c r="U72" s="398"/>
      <c r="V72" s="418" t="s">
        <v>50</v>
      </c>
      <c r="W72" s="420"/>
      <c r="X72" s="419" t="s">
        <v>51</v>
      </c>
      <c r="Y72" s="419"/>
      <c r="Z72" s="419"/>
      <c r="AA72" s="419"/>
      <c r="AB72" s="419"/>
      <c r="AC72" s="419"/>
      <c r="AD72" s="421"/>
      <c r="AF72" s="53"/>
    </row>
    <row r="73" spans="1:32" ht="33.75" customHeight="1">
      <c r="A73" s="390">
        <v>1</v>
      </c>
      <c r="B73" s="391"/>
      <c r="C73" s="341" t="s">
        <v>114</v>
      </c>
      <c r="D73" s="341"/>
      <c r="E73" s="71" t="s">
        <v>127</v>
      </c>
      <c r="F73" s="405" t="s">
        <v>126</v>
      </c>
      <c r="G73" s="406"/>
      <c r="H73" s="406"/>
      <c r="I73" s="406"/>
      <c r="J73" s="407"/>
      <c r="K73" s="408" t="s">
        <v>128</v>
      </c>
      <c r="L73" s="409"/>
      <c r="M73" s="409"/>
      <c r="N73" s="409"/>
      <c r="O73" s="409"/>
      <c r="P73" s="409"/>
      <c r="Q73" s="409"/>
      <c r="R73" s="409"/>
      <c r="S73" s="410"/>
      <c r="T73" s="411">
        <v>43384</v>
      </c>
      <c r="U73" s="412"/>
      <c r="V73" s="413"/>
      <c r="W73" s="413"/>
      <c r="X73" s="414"/>
      <c r="Y73" s="414"/>
      <c r="Z73" s="414"/>
      <c r="AA73" s="414"/>
      <c r="AB73" s="414"/>
      <c r="AC73" s="414"/>
      <c r="AD73" s="415"/>
      <c r="AF73" s="53"/>
    </row>
    <row r="74" spans="1:32" ht="30" customHeight="1">
      <c r="A74" s="383">
        <f>A73+1</f>
        <v>2</v>
      </c>
      <c r="B74" s="384"/>
      <c r="C74" s="340"/>
      <c r="D74" s="340"/>
      <c r="E74" s="35"/>
      <c r="F74" s="384"/>
      <c r="G74" s="384"/>
      <c r="H74" s="384"/>
      <c r="I74" s="384"/>
      <c r="J74" s="384"/>
      <c r="K74" s="399"/>
      <c r="L74" s="400"/>
      <c r="M74" s="400"/>
      <c r="N74" s="400"/>
      <c r="O74" s="400"/>
      <c r="P74" s="400"/>
      <c r="Q74" s="400"/>
      <c r="R74" s="400"/>
      <c r="S74" s="401"/>
      <c r="T74" s="402"/>
      <c r="U74" s="402"/>
      <c r="V74" s="402"/>
      <c r="W74" s="402"/>
      <c r="X74" s="403"/>
      <c r="Y74" s="403"/>
      <c r="Z74" s="403"/>
      <c r="AA74" s="403"/>
      <c r="AB74" s="403"/>
      <c r="AC74" s="403"/>
      <c r="AD74" s="404"/>
      <c r="AF74" s="53"/>
    </row>
    <row r="75" spans="1:32" ht="30" customHeight="1">
      <c r="A75" s="383">
        <f t="shared" ref="A75:A81" si="12">A74+1</f>
        <v>3</v>
      </c>
      <c r="B75" s="384"/>
      <c r="C75" s="340"/>
      <c r="D75" s="340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si="12"/>
        <v>4</v>
      </c>
      <c r="B76" s="384"/>
      <c r="C76" s="340"/>
      <c r="D76" s="340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2"/>
        <v>5</v>
      </c>
      <c r="B77" s="384"/>
      <c r="C77" s="340"/>
      <c r="D77" s="340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2"/>
        <v>6</v>
      </c>
      <c r="B78" s="384"/>
      <c r="C78" s="340"/>
      <c r="D78" s="340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2"/>
        <v>7</v>
      </c>
      <c r="B79" s="384"/>
      <c r="C79" s="340"/>
      <c r="D79" s="340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2"/>
        <v>8</v>
      </c>
      <c r="B80" s="384"/>
      <c r="C80" s="340"/>
      <c r="D80" s="340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2"/>
        <v>9</v>
      </c>
      <c r="B81" s="384"/>
      <c r="C81" s="340"/>
      <c r="D81" s="340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6" thickBot="1">
      <c r="A82" s="396" t="s">
        <v>489</v>
      </c>
      <c r="B82" s="396"/>
      <c r="C82" s="396"/>
      <c r="D82" s="396"/>
      <c r="E82" s="396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7" t="s">
        <v>113</v>
      </c>
      <c r="B83" s="398"/>
      <c r="C83" s="388" t="s">
        <v>52</v>
      </c>
      <c r="D83" s="388"/>
      <c r="E83" s="388" t="s">
        <v>53</v>
      </c>
      <c r="F83" s="388"/>
      <c r="G83" s="388"/>
      <c r="H83" s="388"/>
      <c r="I83" s="388"/>
      <c r="J83" s="388"/>
      <c r="K83" s="388" t="s">
        <v>54</v>
      </c>
      <c r="L83" s="388"/>
      <c r="M83" s="388"/>
      <c r="N83" s="388"/>
      <c r="O83" s="388"/>
      <c r="P83" s="388"/>
      <c r="Q83" s="388"/>
      <c r="R83" s="388"/>
      <c r="S83" s="388"/>
      <c r="T83" s="388" t="s">
        <v>55</v>
      </c>
      <c r="U83" s="388"/>
      <c r="V83" s="388" t="s">
        <v>56</v>
      </c>
      <c r="W83" s="388"/>
      <c r="X83" s="388"/>
      <c r="Y83" s="388" t="s">
        <v>51</v>
      </c>
      <c r="Z83" s="388"/>
      <c r="AA83" s="388"/>
      <c r="AB83" s="388"/>
      <c r="AC83" s="388"/>
      <c r="AD83" s="389"/>
      <c r="AF83" s="53"/>
    </row>
    <row r="84" spans="1:32" ht="30.75" customHeight="1">
      <c r="A84" s="390">
        <v>1</v>
      </c>
      <c r="B84" s="391"/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3"/>
      <c r="W84" s="393"/>
      <c r="X84" s="393"/>
      <c r="Y84" s="394"/>
      <c r="Z84" s="394"/>
      <c r="AA84" s="394"/>
      <c r="AB84" s="394"/>
      <c r="AC84" s="394"/>
      <c r="AD84" s="395"/>
      <c r="AF84" s="53"/>
    </row>
    <row r="85" spans="1:32" ht="30.75" customHeight="1">
      <c r="A85" s="383">
        <v>2</v>
      </c>
      <c r="B85" s="384"/>
      <c r="C85" s="385"/>
      <c r="D85" s="385"/>
      <c r="E85" s="385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6"/>
      <c r="U85" s="386"/>
      <c r="V85" s="387"/>
      <c r="W85" s="387"/>
      <c r="X85" s="387"/>
      <c r="Y85" s="376"/>
      <c r="Z85" s="376"/>
      <c r="AA85" s="376"/>
      <c r="AB85" s="376"/>
      <c r="AC85" s="376"/>
      <c r="AD85" s="377"/>
      <c r="AF85" s="53"/>
    </row>
    <row r="86" spans="1:32" ht="30.75" customHeight="1" thickBot="1">
      <c r="A86" s="378">
        <v>3</v>
      </c>
      <c r="B86" s="379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  <c r="X86" s="380"/>
      <c r="Y86" s="381"/>
      <c r="Z86" s="381"/>
      <c r="AA86" s="381"/>
      <c r="AB86" s="381"/>
      <c r="AC86" s="381"/>
      <c r="AD86" s="382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3543-AA18-4320-8040-880257EC5A92}">
  <sheetPr>
    <pageSetUpPr fitToPage="1"/>
  </sheetPr>
  <dimension ref="A1:AF86"/>
  <sheetViews>
    <sheetView zoomScale="72" zoomScaleNormal="72" zoomScaleSheetLayoutView="70" workbookViewId="0">
      <selection activeCell="F77" sqref="F77:J7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490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352" t="s">
        <v>17</v>
      </c>
      <c r="L5" s="352" t="s">
        <v>18</v>
      </c>
      <c r="M5" s="352" t="s">
        <v>19</v>
      </c>
      <c r="N5" s="35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 t="shared" ref="K6:K16" si="0">L6</f>
        <v>0</v>
      </c>
      <c r="L6" s="15"/>
      <c r="M6" s="16">
        <f t="shared" ref="M6:M20" si="1">L6-N6</f>
        <v>0</v>
      </c>
      <c r="N6" s="16">
        <v>0</v>
      </c>
      <c r="O6" s="62" t="str">
        <f t="shared" ref="O6:O21" si="2">IF(L6=0,"0",N6/L6)</f>
        <v>0</v>
      </c>
      <c r="P6" s="42" t="str">
        <f t="shared" ref="P6:P20" si="3">IF(L6=0,"0",(24-Q6))</f>
        <v>0</v>
      </c>
      <c r="Q6" s="43">
        <f t="shared" ref="Q6:Q20" si="4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9">
        <f t="shared" ref="AE6:AE20" si="8">$AD$21</f>
        <v>0.22769095860566449</v>
      </c>
      <c r="AF6" s="93">
        <f t="shared" ref="AF6:AF20" si="9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 t="shared" si="0"/>
        <v>0</v>
      </c>
      <c r="L7" s="15"/>
      <c r="M7" s="16">
        <f t="shared" si="1"/>
        <v>0</v>
      </c>
      <c r="N7" s="16">
        <v>0</v>
      </c>
      <c r="O7" s="62" t="str">
        <f t="shared" si="2"/>
        <v>0</v>
      </c>
      <c r="P7" s="42" t="str">
        <f t="shared" si="3"/>
        <v>0</v>
      </c>
      <c r="Q7" s="43">
        <f t="shared" si="4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9">
        <f t="shared" si="8"/>
        <v>0.22769095860566449</v>
      </c>
      <c r="AF7" s="93">
        <f t="shared" si="9"/>
        <v>2</v>
      </c>
    </row>
    <row r="8" spans="1:32" ht="27" customHeight="1">
      <c r="A8" s="108">
        <v>3</v>
      </c>
      <c r="B8" s="11"/>
      <c r="C8" s="37"/>
      <c r="D8" s="55"/>
      <c r="E8" s="57"/>
      <c r="F8" s="33"/>
      <c r="G8" s="36"/>
      <c r="H8" s="38"/>
      <c r="I8" s="7"/>
      <c r="J8" s="5">
        <v>0</v>
      </c>
      <c r="K8" s="15">
        <f t="shared" si="0"/>
        <v>0</v>
      </c>
      <c r="L8" s="15"/>
      <c r="M8" s="16">
        <f t="shared" si="1"/>
        <v>0</v>
      </c>
      <c r="N8" s="16">
        <v>0</v>
      </c>
      <c r="O8" s="62" t="str">
        <f t="shared" si="2"/>
        <v>0</v>
      </c>
      <c r="P8" s="42" t="str">
        <f t="shared" si="3"/>
        <v>0</v>
      </c>
      <c r="Q8" s="43">
        <f t="shared" si="4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 t="str">
        <f t="shared" si="5"/>
        <v>0</v>
      </c>
      <c r="AC8" s="9">
        <f t="shared" si="6"/>
        <v>0</v>
      </c>
      <c r="AD8" s="10">
        <f t="shared" si="7"/>
        <v>0</v>
      </c>
      <c r="AE8" s="39">
        <f t="shared" si="8"/>
        <v>0.22769095860566449</v>
      </c>
      <c r="AF8" s="93">
        <f t="shared" si="9"/>
        <v>3</v>
      </c>
    </row>
    <row r="9" spans="1:32" ht="27" customHeight="1">
      <c r="A9" s="109">
        <v>4</v>
      </c>
      <c r="B9" s="11"/>
      <c r="C9" s="11"/>
      <c r="D9" s="55"/>
      <c r="E9" s="57"/>
      <c r="F9" s="33"/>
      <c r="G9" s="36"/>
      <c r="H9" s="38"/>
      <c r="I9" s="7"/>
      <c r="J9" s="14">
        <v>0</v>
      </c>
      <c r="K9" s="15">
        <f t="shared" si="0"/>
        <v>0</v>
      </c>
      <c r="L9" s="15"/>
      <c r="M9" s="16">
        <f t="shared" si="1"/>
        <v>0</v>
      </c>
      <c r="N9" s="16">
        <v>0</v>
      </c>
      <c r="O9" s="62" t="str">
        <f t="shared" si="2"/>
        <v>0</v>
      </c>
      <c r="P9" s="42" t="str">
        <f t="shared" si="3"/>
        <v>0</v>
      </c>
      <c r="Q9" s="43">
        <f t="shared" si="4"/>
        <v>24</v>
      </c>
      <c r="R9" s="7"/>
      <c r="S9" s="6"/>
      <c r="T9" s="17"/>
      <c r="U9" s="17"/>
      <c r="V9" s="18"/>
      <c r="W9" s="19"/>
      <c r="X9" s="17"/>
      <c r="Y9" s="20"/>
      <c r="Z9" s="20"/>
      <c r="AA9" s="21">
        <v>24</v>
      </c>
      <c r="AB9" s="8" t="str">
        <f t="shared" si="5"/>
        <v>0</v>
      </c>
      <c r="AC9" s="9">
        <f t="shared" si="6"/>
        <v>0</v>
      </c>
      <c r="AD9" s="10">
        <f t="shared" si="7"/>
        <v>0</v>
      </c>
      <c r="AE9" s="39">
        <f t="shared" si="8"/>
        <v>0.22769095860566449</v>
      </c>
      <c r="AF9" s="93">
        <f t="shared" si="9"/>
        <v>4</v>
      </c>
    </row>
    <row r="10" spans="1:32" ht="27" customHeight="1">
      <c r="A10" s="109">
        <v>5</v>
      </c>
      <c r="B10" s="11" t="s">
        <v>57</v>
      </c>
      <c r="C10" s="11" t="s">
        <v>491</v>
      </c>
      <c r="D10" s="55"/>
      <c r="E10" s="57" t="s">
        <v>492</v>
      </c>
      <c r="F10" s="12">
        <v>7301</v>
      </c>
      <c r="G10" s="12">
        <v>1</v>
      </c>
      <c r="H10" s="13">
        <v>24</v>
      </c>
      <c r="I10" s="7">
        <v>2000</v>
      </c>
      <c r="J10" s="14">
        <v>3196</v>
      </c>
      <c r="K10" s="15">
        <f t="shared" si="0"/>
        <v>3196</v>
      </c>
      <c r="L10" s="15">
        <f>3196</f>
        <v>3196</v>
      </c>
      <c r="M10" s="16">
        <f t="shared" si="1"/>
        <v>3196</v>
      </c>
      <c r="N10" s="16">
        <v>0</v>
      </c>
      <c r="O10" s="62">
        <f t="shared" si="2"/>
        <v>0</v>
      </c>
      <c r="P10" s="42">
        <f t="shared" si="3"/>
        <v>19</v>
      </c>
      <c r="Q10" s="43">
        <f t="shared" si="4"/>
        <v>5</v>
      </c>
      <c r="R10" s="7"/>
      <c r="S10" s="6"/>
      <c r="T10" s="17">
        <v>5</v>
      </c>
      <c r="U10" s="17"/>
      <c r="V10" s="18"/>
      <c r="W10" s="19"/>
      <c r="X10" s="17"/>
      <c r="Y10" s="20"/>
      <c r="Z10" s="20"/>
      <c r="AA10" s="21"/>
      <c r="AB10" s="8">
        <f t="shared" si="5"/>
        <v>1</v>
      </c>
      <c r="AC10" s="9">
        <f t="shared" si="6"/>
        <v>0.79166666666666663</v>
      </c>
      <c r="AD10" s="10">
        <f t="shared" si="7"/>
        <v>0.79166666666666663</v>
      </c>
      <c r="AE10" s="39">
        <f t="shared" si="8"/>
        <v>0.22769095860566449</v>
      </c>
      <c r="AF10" s="93">
        <f t="shared" si="9"/>
        <v>5</v>
      </c>
    </row>
    <row r="11" spans="1:32" ht="27" customHeight="1">
      <c r="A11" s="109">
        <v>6</v>
      </c>
      <c r="B11" s="11" t="s">
        <v>57</v>
      </c>
      <c r="C11" s="11" t="s">
        <v>123</v>
      </c>
      <c r="D11" s="55" t="s">
        <v>493</v>
      </c>
      <c r="E11" s="57" t="s">
        <v>475</v>
      </c>
      <c r="F11" s="12" t="s">
        <v>131</v>
      </c>
      <c r="G11" s="12">
        <v>1</v>
      </c>
      <c r="H11" s="13">
        <v>25</v>
      </c>
      <c r="I11" s="7">
        <v>1000</v>
      </c>
      <c r="J11" s="14">
        <v>1440</v>
      </c>
      <c r="K11" s="15">
        <f>L11</f>
        <v>1440</v>
      </c>
      <c r="L11" s="15">
        <v>1440</v>
      </c>
      <c r="M11" s="16">
        <f t="shared" si="1"/>
        <v>1440</v>
      </c>
      <c r="N11" s="16">
        <v>0</v>
      </c>
      <c r="O11" s="62">
        <f t="shared" si="2"/>
        <v>0</v>
      </c>
      <c r="P11" s="42">
        <f t="shared" si="3"/>
        <v>12</v>
      </c>
      <c r="Q11" s="43">
        <f t="shared" si="4"/>
        <v>12</v>
      </c>
      <c r="R11" s="7"/>
      <c r="S11" s="6"/>
      <c r="T11" s="17">
        <v>4</v>
      </c>
      <c r="U11" s="17"/>
      <c r="V11" s="18"/>
      <c r="W11" s="19">
        <v>8</v>
      </c>
      <c r="X11" s="17"/>
      <c r="Y11" s="20"/>
      <c r="Z11" s="20"/>
      <c r="AA11" s="21"/>
      <c r="AB11" s="8">
        <f t="shared" si="5"/>
        <v>1</v>
      </c>
      <c r="AC11" s="9">
        <f t="shared" si="6"/>
        <v>0.5</v>
      </c>
      <c r="AD11" s="10">
        <f t="shared" si="7"/>
        <v>0.5</v>
      </c>
      <c r="AE11" s="39">
        <f t="shared" si="8"/>
        <v>0.22769095860566449</v>
      </c>
      <c r="AF11" s="93">
        <f t="shared" si="9"/>
        <v>6</v>
      </c>
    </row>
    <row r="12" spans="1:32" ht="27" customHeight="1">
      <c r="A12" s="109">
        <v>7</v>
      </c>
      <c r="B12" s="11" t="s">
        <v>57</v>
      </c>
      <c r="C12" s="11" t="s">
        <v>123</v>
      </c>
      <c r="D12" s="55" t="s">
        <v>117</v>
      </c>
      <c r="E12" s="57" t="s">
        <v>474</v>
      </c>
      <c r="F12" s="33" t="s">
        <v>129</v>
      </c>
      <c r="G12" s="36">
        <v>1</v>
      </c>
      <c r="H12" s="38">
        <v>25</v>
      </c>
      <c r="I12" s="7">
        <v>1000</v>
      </c>
      <c r="J12" s="14">
        <v>750</v>
      </c>
      <c r="K12" s="15">
        <f t="shared" si="0"/>
        <v>749</v>
      </c>
      <c r="L12" s="15">
        <v>749</v>
      </c>
      <c r="M12" s="16">
        <f t="shared" si="1"/>
        <v>749</v>
      </c>
      <c r="N12" s="16">
        <v>0</v>
      </c>
      <c r="O12" s="62">
        <f t="shared" si="2"/>
        <v>0</v>
      </c>
      <c r="P12" s="42">
        <f t="shared" si="3"/>
        <v>8</v>
      </c>
      <c r="Q12" s="43">
        <f t="shared" si="4"/>
        <v>16</v>
      </c>
      <c r="R12" s="7"/>
      <c r="S12" s="6">
        <v>4</v>
      </c>
      <c r="T12" s="17">
        <v>4</v>
      </c>
      <c r="U12" s="17"/>
      <c r="V12" s="18"/>
      <c r="W12" s="19">
        <v>8</v>
      </c>
      <c r="X12" s="17"/>
      <c r="Y12" s="20"/>
      <c r="Z12" s="20"/>
      <c r="AA12" s="21"/>
      <c r="AB12" s="8">
        <f t="shared" si="5"/>
        <v>0.9986666666666667</v>
      </c>
      <c r="AC12" s="9">
        <f t="shared" si="6"/>
        <v>0.33333333333333331</v>
      </c>
      <c r="AD12" s="10">
        <f t="shared" si="7"/>
        <v>0.3328888888888889</v>
      </c>
      <c r="AE12" s="39">
        <f t="shared" si="8"/>
        <v>0.22769095860566449</v>
      </c>
      <c r="AF12" s="93">
        <f t="shared" si="9"/>
        <v>7</v>
      </c>
    </row>
    <row r="13" spans="1:32" ht="27" customHeight="1">
      <c r="A13" s="109">
        <v>8</v>
      </c>
      <c r="B13" s="11" t="s">
        <v>57</v>
      </c>
      <c r="C13" s="11" t="s">
        <v>114</v>
      </c>
      <c r="D13" s="55" t="s">
        <v>117</v>
      </c>
      <c r="E13" s="57" t="s">
        <v>351</v>
      </c>
      <c r="F13" s="33" t="s">
        <v>160</v>
      </c>
      <c r="G13" s="36">
        <v>1</v>
      </c>
      <c r="H13" s="38">
        <v>40</v>
      </c>
      <c r="I13" s="7">
        <v>300</v>
      </c>
      <c r="J13" s="14">
        <v>340</v>
      </c>
      <c r="K13" s="15">
        <f>L13</f>
        <v>339</v>
      </c>
      <c r="L13" s="15">
        <v>339</v>
      </c>
      <c r="M13" s="16">
        <f t="shared" si="1"/>
        <v>339</v>
      </c>
      <c r="N13" s="16">
        <v>0</v>
      </c>
      <c r="O13" s="62">
        <f t="shared" si="2"/>
        <v>0</v>
      </c>
      <c r="P13" s="42">
        <f t="shared" si="3"/>
        <v>7</v>
      </c>
      <c r="Q13" s="43">
        <f t="shared" si="4"/>
        <v>17</v>
      </c>
      <c r="R13" s="7"/>
      <c r="S13" s="6"/>
      <c r="T13" s="17"/>
      <c r="U13" s="17"/>
      <c r="V13" s="18"/>
      <c r="W13" s="19">
        <v>17</v>
      </c>
      <c r="X13" s="17"/>
      <c r="Y13" s="20"/>
      <c r="Z13" s="20"/>
      <c r="AA13" s="21"/>
      <c r="AB13" s="8">
        <f t="shared" si="5"/>
        <v>0.99705882352941178</v>
      </c>
      <c r="AC13" s="9">
        <f t="shared" si="6"/>
        <v>0.29166666666666669</v>
      </c>
      <c r="AD13" s="10">
        <f t="shared" si="7"/>
        <v>0.29080882352941179</v>
      </c>
      <c r="AE13" s="39">
        <f t="shared" si="8"/>
        <v>0.22769095860566449</v>
      </c>
      <c r="AF13" s="93">
        <f t="shared" si="9"/>
        <v>8</v>
      </c>
    </row>
    <row r="14" spans="1:32" ht="27" customHeight="1">
      <c r="A14" s="125">
        <v>9</v>
      </c>
      <c r="B14" s="11"/>
      <c r="C14" s="37"/>
      <c r="D14" s="55"/>
      <c r="E14" s="57"/>
      <c r="F14" s="33"/>
      <c r="G14" s="36"/>
      <c r="H14" s="38"/>
      <c r="I14" s="7"/>
      <c r="J14" s="5">
        <v>0</v>
      </c>
      <c r="K14" s="15">
        <f t="shared" si="0"/>
        <v>0</v>
      </c>
      <c r="L14" s="15"/>
      <c r="M14" s="16">
        <f t="shared" si="1"/>
        <v>0</v>
      </c>
      <c r="N14" s="16">
        <v>0</v>
      </c>
      <c r="O14" s="62" t="str">
        <f t="shared" si="2"/>
        <v>0</v>
      </c>
      <c r="P14" s="42" t="str">
        <f t="shared" si="3"/>
        <v>0</v>
      </c>
      <c r="Q14" s="43">
        <f t="shared" si="4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 t="str">
        <f t="shared" si="5"/>
        <v>0</v>
      </c>
      <c r="AC14" s="9">
        <f t="shared" si="6"/>
        <v>0</v>
      </c>
      <c r="AD14" s="10">
        <f t="shared" si="7"/>
        <v>0</v>
      </c>
      <c r="AE14" s="39">
        <f t="shared" si="8"/>
        <v>0.22769095860566449</v>
      </c>
      <c r="AF14" s="93">
        <f t="shared" si="9"/>
        <v>9</v>
      </c>
    </row>
    <row r="15" spans="1:32" ht="27" customHeight="1">
      <c r="A15" s="108">
        <v>10</v>
      </c>
      <c r="B15" s="11"/>
      <c r="C15" s="37"/>
      <c r="D15" s="55"/>
      <c r="E15" s="57"/>
      <c r="F15" s="12"/>
      <c r="G15" s="12"/>
      <c r="H15" s="13"/>
      <c r="I15" s="34"/>
      <c r="J15" s="14">
        <v>0</v>
      </c>
      <c r="K15" s="15">
        <f t="shared" si="0"/>
        <v>0</v>
      </c>
      <c r="L15" s="15"/>
      <c r="M15" s="16">
        <f t="shared" si="1"/>
        <v>0</v>
      </c>
      <c r="N15" s="16">
        <v>0</v>
      </c>
      <c r="O15" s="62" t="str">
        <f t="shared" si="2"/>
        <v>0</v>
      </c>
      <c r="P15" s="42" t="str">
        <f t="shared" si="3"/>
        <v>0</v>
      </c>
      <c r="Q15" s="43">
        <f t="shared" si="4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 t="str">
        <f t="shared" si="5"/>
        <v>0</v>
      </c>
      <c r="AC15" s="9">
        <f t="shared" si="6"/>
        <v>0</v>
      </c>
      <c r="AD15" s="10">
        <f t="shared" si="7"/>
        <v>0</v>
      </c>
      <c r="AE15" s="39">
        <f t="shared" si="8"/>
        <v>0.22769095860566449</v>
      </c>
      <c r="AF15" s="93">
        <f t="shared" si="9"/>
        <v>10</v>
      </c>
    </row>
    <row r="16" spans="1:32" ht="27" customHeight="1">
      <c r="A16" s="108">
        <v>11</v>
      </c>
      <c r="B16" s="11"/>
      <c r="C16" s="11"/>
      <c r="D16" s="55"/>
      <c r="E16" s="57"/>
      <c r="F16" s="12"/>
      <c r="G16" s="12"/>
      <c r="H16" s="13"/>
      <c r="I16" s="7"/>
      <c r="J16" s="14">
        <v>0</v>
      </c>
      <c r="K16" s="15">
        <f t="shared" si="0"/>
        <v>0</v>
      </c>
      <c r="L16" s="15"/>
      <c r="M16" s="16">
        <f t="shared" si="1"/>
        <v>0</v>
      </c>
      <c r="N16" s="16">
        <v>0</v>
      </c>
      <c r="O16" s="62" t="str">
        <f t="shared" si="2"/>
        <v>0</v>
      </c>
      <c r="P16" s="42" t="str">
        <f t="shared" si="3"/>
        <v>0</v>
      </c>
      <c r="Q16" s="43">
        <f t="shared" si="4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 t="str">
        <f t="shared" si="5"/>
        <v>0</v>
      </c>
      <c r="AC16" s="9">
        <f t="shared" si="6"/>
        <v>0</v>
      </c>
      <c r="AD16" s="10">
        <f t="shared" si="7"/>
        <v>0</v>
      </c>
      <c r="AE16" s="39">
        <f t="shared" si="8"/>
        <v>0.22769095860566449</v>
      </c>
      <c r="AF16" s="93">
        <f t="shared" si="9"/>
        <v>11</v>
      </c>
    </row>
    <row r="17" spans="1:32" ht="27" customHeight="1">
      <c r="A17" s="108">
        <v>12</v>
      </c>
      <c r="B17" s="11"/>
      <c r="C17" s="37"/>
      <c r="D17" s="55"/>
      <c r="E17" s="57"/>
      <c r="F17" s="12"/>
      <c r="G17" s="12"/>
      <c r="H17" s="13"/>
      <c r="I17" s="34"/>
      <c r="J17" s="14"/>
      <c r="K17" s="15">
        <f>L17</f>
        <v>0</v>
      </c>
      <c r="L17" s="15"/>
      <c r="M17" s="16">
        <f t="shared" si="1"/>
        <v>0</v>
      </c>
      <c r="N17" s="16">
        <v>0</v>
      </c>
      <c r="O17" s="62" t="str">
        <f t="shared" si="2"/>
        <v>0</v>
      </c>
      <c r="P17" s="42" t="str">
        <f t="shared" si="3"/>
        <v>0</v>
      </c>
      <c r="Q17" s="43">
        <f t="shared" si="4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 t="str">
        <f t="shared" si="5"/>
        <v>0</v>
      </c>
      <c r="AC17" s="9">
        <f t="shared" si="6"/>
        <v>0</v>
      </c>
      <c r="AD17" s="10">
        <f t="shared" si="7"/>
        <v>0</v>
      </c>
      <c r="AE17" s="39">
        <f t="shared" si="8"/>
        <v>0.22769095860566449</v>
      </c>
      <c r="AF17" s="93">
        <f t="shared" si="9"/>
        <v>12</v>
      </c>
    </row>
    <row r="18" spans="1:32" ht="27" customHeight="1">
      <c r="A18" s="109">
        <v>13</v>
      </c>
      <c r="B18" s="11" t="s">
        <v>57</v>
      </c>
      <c r="C18" s="37" t="s">
        <v>123</v>
      </c>
      <c r="D18" s="55" t="s">
        <v>335</v>
      </c>
      <c r="E18" s="57" t="s">
        <v>476</v>
      </c>
      <c r="F18" s="33" t="s">
        <v>129</v>
      </c>
      <c r="G18" s="36">
        <v>1</v>
      </c>
      <c r="H18" s="38">
        <v>25</v>
      </c>
      <c r="I18" s="7">
        <v>1000</v>
      </c>
      <c r="J18" s="5">
        <v>1424</v>
      </c>
      <c r="K18" s="15">
        <f>L18</f>
        <v>1424</v>
      </c>
      <c r="L18" s="15">
        <v>1424</v>
      </c>
      <c r="M18" s="16">
        <f t="shared" si="1"/>
        <v>1424</v>
      </c>
      <c r="N18" s="16">
        <v>0</v>
      </c>
      <c r="O18" s="62">
        <f t="shared" si="2"/>
        <v>0</v>
      </c>
      <c r="P18" s="42">
        <f t="shared" si="3"/>
        <v>12</v>
      </c>
      <c r="Q18" s="43">
        <f t="shared" si="4"/>
        <v>12</v>
      </c>
      <c r="R18" s="7"/>
      <c r="S18" s="6"/>
      <c r="T18" s="17">
        <v>4</v>
      </c>
      <c r="U18" s="17"/>
      <c r="V18" s="18"/>
      <c r="W18" s="19">
        <v>8</v>
      </c>
      <c r="X18" s="17"/>
      <c r="Y18" s="20"/>
      <c r="Z18" s="20"/>
      <c r="AA18" s="21"/>
      <c r="AB18" s="8">
        <f t="shared" si="5"/>
        <v>1</v>
      </c>
      <c r="AC18" s="9">
        <f t="shared" si="6"/>
        <v>0.5</v>
      </c>
      <c r="AD18" s="10">
        <f>AC18*AB18*(1-O18)</f>
        <v>0.5</v>
      </c>
      <c r="AE18" s="39">
        <f t="shared" si="8"/>
        <v>0.22769095860566449</v>
      </c>
      <c r="AF18" s="93">
        <f t="shared" si="9"/>
        <v>13</v>
      </c>
    </row>
    <row r="19" spans="1:32" ht="27" customHeight="1">
      <c r="A19" s="109">
        <v>14</v>
      </c>
      <c r="B19" s="11" t="s">
        <v>57</v>
      </c>
      <c r="C19" s="37" t="s">
        <v>123</v>
      </c>
      <c r="D19" s="55" t="s">
        <v>117</v>
      </c>
      <c r="E19" s="57" t="s">
        <v>153</v>
      </c>
      <c r="F19" s="12" t="s">
        <v>129</v>
      </c>
      <c r="G19" s="36">
        <v>4</v>
      </c>
      <c r="H19" s="38">
        <v>24</v>
      </c>
      <c r="I19" s="7">
        <v>400000</v>
      </c>
      <c r="J19" s="5">
        <v>18700</v>
      </c>
      <c r="K19" s="15">
        <f>L19+12380+14384+22568+16460+13888+20848+20972+20888+19996+10224+14424+21632+20220+19704+9284+22304+15876+16404+16660+17141+13660+19120</f>
        <v>397737</v>
      </c>
      <c r="L19" s="15">
        <f>2100*4+2575*4</f>
        <v>18700</v>
      </c>
      <c r="M19" s="16">
        <f t="shared" si="1"/>
        <v>18700</v>
      </c>
      <c r="N19" s="16">
        <v>0</v>
      </c>
      <c r="O19" s="62">
        <f t="shared" si="2"/>
        <v>0</v>
      </c>
      <c r="P19" s="42">
        <f t="shared" si="3"/>
        <v>24</v>
      </c>
      <c r="Q19" s="43">
        <f t="shared" si="4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9">
        <f t="shared" si="8"/>
        <v>0.22769095860566449</v>
      </c>
      <c r="AF19" s="93">
        <f t="shared" si="9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133</v>
      </c>
      <c r="F20" s="12" t="s">
        <v>116</v>
      </c>
      <c r="G20" s="12">
        <v>4</v>
      </c>
      <c r="H20" s="38">
        <v>20</v>
      </c>
      <c r="I20" s="7">
        <v>200000</v>
      </c>
      <c r="J20" s="14">
        <v>32180</v>
      </c>
      <c r="K20" s="15">
        <f>L20+32180</f>
        <v>32180</v>
      </c>
      <c r="L20" s="15"/>
      <c r="M20" s="16">
        <f t="shared" si="1"/>
        <v>0</v>
      </c>
      <c r="N20" s="16">
        <v>0</v>
      </c>
      <c r="O20" s="62" t="str">
        <f t="shared" si="2"/>
        <v>0</v>
      </c>
      <c r="P20" s="42" t="str">
        <f t="shared" si="3"/>
        <v>0</v>
      </c>
      <c r="Q20" s="43">
        <f t="shared" si="4"/>
        <v>24</v>
      </c>
      <c r="R20" s="7"/>
      <c r="S20" s="6"/>
      <c r="T20" s="17"/>
      <c r="U20" s="17"/>
      <c r="V20" s="18">
        <v>24</v>
      </c>
      <c r="W20" s="19"/>
      <c r="X20" s="17"/>
      <c r="Y20" s="20"/>
      <c r="Z20" s="20"/>
      <c r="AA20" s="21"/>
      <c r="AB20" s="8">
        <f t="shared" si="5"/>
        <v>0</v>
      </c>
      <c r="AC20" s="9">
        <f t="shared" si="6"/>
        <v>0</v>
      </c>
      <c r="AD20" s="10">
        <f t="shared" si="7"/>
        <v>0</v>
      </c>
      <c r="AE20" s="39">
        <f t="shared" si="8"/>
        <v>0.22769095860566449</v>
      </c>
      <c r="AF20" s="93">
        <f t="shared" si="9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10">SUM(I6:I20)</f>
        <v>605300</v>
      </c>
      <c r="J21" s="22">
        <f t="shared" si="10"/>
        <v>58030</v>
      </c>
      <c r="K21" s="23">
        <f t="shared" si="10"/>
        <v>437065</v>
      </c>
      <c r="L21" s="24">
        <f t="shared" si="10"/>
        <v>25848</v>
      </c>
      <c r="M21" s="23">
        <f t="shared" si="10"/>
        <v>25848</v>
      </c>
      <c r="N21" s="24">
        <f t="shared" si="10"/>
        <v>0</v>
      </c>
      <c r="O21" s="44">
        <f t="shared" si="2"/>
        <v>0</v>
      </c>
      <c r="P21" s="45">
        <f t="shared" ref="P21:AA21" si="11">SUM(P6:P20)</f>
        <v>82</v>
      </c>
      <c r="Q21" s="46">
        <f t="shared" si="11"/>
        <v>278</v>
      </c>
      <c r="R21" s="26">
        <f t="shared" si="11"/>
        <v>24</v>
      </c>
      <c r="S21" s="27">
        <f t="shared" si="11"/>
        <v>4</v>
      </c>
      <c r="T21" s="27">
        <f t="shared" si="11"/>
        <v>17</v>
      </c>
      <c r="U21" s="27">
        <f t="shared" si="11"/>
        <v>0</v>
      </c>
      <c r="V21" s="28">
        <f t="shared" si="11"/>
        <v>24</v>
      </c>
      <c r="W21" s="29">
        <f t="shared" si="11"/>
        <v>185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24</v>
      </c>
      <c r="AB21" s="31">
        <f>SUM(AB6:AB20)/15</f>
        <v>0.39971503267973857</v>
      </c>
      <c r="AC21" s="4">
        <f>SUM(AC6:AC20)/15</f>
        <v>0.22777777777777777</v>
      </c>
      <c r="AD21" s="4">
        <f>SUM(AD6:AD20)/15</f>
        <v>0.22769095860566449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494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497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351" t="s">
        <v>46</v>
      </c>
      <c r="D50" s="351" t="s">
        <v>47</v>
      </c>
      <c r="E50" s="351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351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4" t="s">
        <v>491</v>
      </c>
      <c r="B51" s="435"/>
      <c r="C51" s="348" t="s">
        <v>122</v>
      </c>
      <c r="D51" s="348"/>
      <c r="E51" s="348" t="s">
        <v>492</v>
      </c>
      <c r="F51" s="445" t="s">
        <v>171</v>
      </c>
      <c r="G51" s="446"/>
      <c r="H51" s="446"/>
      <c r="I51" s="446"/>
      <c r="J51" s="446"/>
      <c r="K51" s="446"/>
      <c r="L51" s="446"/>
      <c r="M51" s="447"/>
      <c r="N51" s="347" t="s">
        <v>123</v>
      </c>
      <c r="O51" s="124" t="s">
        <v>166</v>
      </c>
      <c r="P51" s="443" t="s">
        <v>138</v>
      </c>
      <c r="Q51" s="444"/>
      <c r="R51" s="435" t="s">
        <v>498</v>
      </c>
      <c r="S51" s="435"/>
      <c r="T51" s="435"/>
      <c r="U51" s="435"/>
      <c r="V51" s="426" t="s">
        <v>171</v>
      </c>
      <c r="W51" s="426"/>
      <c r="X51" s="426"/>
      <c r="Y51" s="426"/>
      <c r="Z51" s="426"/>
      <c r="AA51" s="426"/>
      <c r="AB51" s="426"/>
      <c r="AC51" s="426"/>
      <c r="AD51" s="436"/>
    </row>
    <row r="52" spans="1:32" ht="27" customHeight="1">
      <c r="A52" s="434" t="s">
        <v>123</v>
      </c>
      <c r="B52" s="435"/>
      <c r="C52" s="348" t="s">
        <v>144</v>
      </c>
      <c r="D52" s="348" t="s">
        <v>493</v>
      </c>
      <c r="E52" s="348" t="s">
        <v>475</v>
      </c>
      <c r="F52" s="445" t="s">
        <v>495</v>
      </c>
      <c r="G52" s="446"/>
      <c r="H52" s="446"/>
      <c r="I52" s="446"/>
      <c r="J52" s="446"/>
      <c r="K52" s="446"/>
      <c r="L52" s="446"/>
      <c r="M52" s="447"/>
      <c r="N52" s="347" t="s">
        <v>491</v>
      </c>
      <c r="O52" s="124" t="s">
        <v>247</v>
      </c>
      <c r="P52" s="435"/>
      <c r="Q52" s="435"/>
      <c r="R52" s="435" t="s">
        <v>499</v>
      </c>
      <c r="S52" s="435"/>
      <c r="T52" s="435"/>
      <c r="U52" s="435"/>
      <c r="V52" s="426" t="s">
        <v>171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123</v>
      </c>
      <c r="B53" s="435"/>
      <c r="C53" s="348" t="s">
        <v>178</v>
      </c>
      <c r="D53" s="348" t="s">
        <v>117</v>
      </c>
      <c r="E53" s="348" t="s">
        <v>474</v>
      </c>
      <c r="F53" s="445" t="s">
        <v>496</v>
      </c>
      <c r="G53" s="446"/>
      <c r="H53" s="446"/>
      <c r="I53" s="446"/>
      <c r="J53" s="446"/>
      <c r="K53" s="446"/>
      <c r="L53" s="446"/>
      <c r="M53" s="447"/>
      <c r="N53" s="347" t="s">
        <v>123</v>
      </c>
      <c r="O53" s="124" t="s">
        <v>178</v>
      </c>
      <c r="P53" s="435" t="s">
        <v>117</v>
      </c>
      <c r="Q53" s="435"/>
      <c r="R53" s="435" t="s">
        <v>474</v>
      </c>
      <c r="S53" s="435"/>
      <c r="T53" s="435"/>
      <c r="U53" s="435"/>
      <c r="V53" s="426" t="s">
        <v>207</v>
      </c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 t="s">
        <v>114</v>
      </c>
      <c r="B54" s="435"/>
      <c r="C54" s="348" t="s">
        <v>275</v>
      </c>
      <c r="D54" s="348" t="s">
        <v>117</v>
      </c>
      <c r="E54" s="348" t="s">
        <v>351</v>
      </c>
      <c r="F54" s="445" t="s">
        <v>171</v>
      </c>
      <c r="G54" s="446"/>
      <c r="H54" s="446"/>
      <c r="I54" s="446"/>
      <c r="J54" s="446"/>
      <c r="K54" s="446"/>
      <c r="L54" s="446"/>
      <c r="M54" s="447"/>
      <c r="N54" s="347"/>
      <c r="O54" s="124"/>
      <c r="P54" s="443"/>
      <c r="Q54" s="444"/>
      <c r="R54" s="435"/>
      <c r="S54" s="435"/>
      <c r="T54" s="435"/>
      <c r="U54" s="435"/>
      <c r="V54" s="426"/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 t="s">
        <v>123</v>
      </c>
      <c r="B55" s="435"/>
      <c r="C55" s="348" t="s">
        <v>166</v>
      </c>
      <c r="D55" s="348" t="s">
        <v>335</v>
      </c>
      <c r="E55" s="348" t="s">
        <v>476</v>
      </c>
      <c r="F55" s="445" t="s">
        <v>495</v>
      </c>
      <c r="G55" s="446"/>
      <c r="H55" s="446"/>
      <c r="I55" s="446"/>
      <c r="J55" s="446"/>
      <c r="K55" s="446"/>
      <c r="L55" s="446"/>
      <c r="M55" s="447"/>
      <c r="N55" s="347"/>
      <c r="O55" s="124"/>
      <c r="P55" s="435"/>
      <c r="Q55" s="435"/>
      <c r="R55" s="435"/>
      <c r="S55" s="435"/>
      <c r="T55" s="435"/>
      <c r="U55" s="435"/>
      <c r="V55" s="426"/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348"/>
      <c r="D56" s="348"/>
      <c r="E56" s="348"/>
      <c r="F56" s="445"/>
      <c r="G56" s="446"/>
      <c r="H56" s="446"/>
      <c r="I56" s="446"/>
      <c r="J56" s="446"/>
      <c r="K56" s="446"/>
      <c r="L56" s="446"/>
      <c r="M56" s="447"/>
      <c r="N56" s="347"/>
      <c r="O56" s="124"/>
      <c r="P56" s="443"/>
      <c r="Q56" s="444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348"/>
      <c r="D57" s="348"/>
      <c r="E57" s="348"/>
      <c r="F57" s="445"/>
      <c r="G57" s="446"/>
      <c r="H57" s="446"/>
      <c r="I57" s="446"/>
      <c r="J57" s="446"/>
      <c r="K57" s="446"/>
      <c r="L57" s="446"/>
      <c r="M57" s="447"/>
      <c r="N57" s="347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348"/>
      <c r="D58" s="348"/>
      <c r="E58" s="348"/>
      <c r="F58" s="426"/>
      <c r="G58" s="426"/>
      <c r="H58" s="426"/>
      <c r="I58" s="426"/>
      <c r="J58" s="426"/>
      <c r="K58" s="426"/>
      <c r="L58" s="426"/>
      <c r="M58" s="436"/>
      <c r="N58" s="347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348"/>
      <c r="D59" s="348"/>
      <c r="E59" s="348"/>
      <c r="F59" s="445"/>
      <c r="G59" s="446"/>
      <c r="H59" s="446"/>
      <c r="I59" s="446"/>
      <c r="J59" s="446"/>
      <c r="K59" s="446"/>
      <c r="L59" s="446"/>
      <c r="M59" s="447"/>
      <c r="N59" s="347"/>
      <c r="O59" s="124"/>
      <c r="P59" s="435"/>
      <c r="Q59" s="435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  <c r="AF59" s="93">
        <f>8*3000</f>
        <v>24000</v>
      </c>
    </row>
    <row r="60" spans="1:32" ht="27" customHeight="1" thickBot="1">
      <c r="A60" s="437"/>
      <c r="B60" s="438"/>
      <c r="C60" s="350"/>
      <c r="D60" s="350"/>
      <c r="E60" s="350"/>
      <c r="F60" s="439"/>
      <c r="G60" s="439"/>
      <c r="H60" s="439"/>
      <c r="I60" s="439"/>
      <c r="J60" s="439"/>
      <c r="K60" s="439"/>
      <c r="L60" s="439"/>
      <c r="M60" s="440"/>
      <c r="N60" s="349"/>
      <c r="O60" s="120"/>
      <c r="P60" s="438"/>
      <c r="Q60" s="438"/>
      <c r="R60" s="438"/>
      <c r="S60" s="438"/>
      <c r="T60" s="438"/>
      <c r="U60" s="438"/>
      <c r="V60" s="441"/>
      <c r="W60" s="441"/>
      <c r="X60" s="441"/>
      <c r="Y60" s="441"/>
      <c r="Z60" s="441"/>
      <c r="AA60" s="441"/>
      <c r="AB60" s="441"/>
      <c r="AC60" s="441"/>
      <c r="AD60" s="442"/>
      <c r="AF60" s="93">
        <f>16*3000</f>
        <v>48000</v>
      </c>
    </row>
    <row r="61" spans="1:32" ht="27.75" thickBot="1">
      <c r="A61" s="432" t="s">
        <v>500</v>
      </c>
      <c r="B61" s="432"/>
      <c r="C61" s="432"/>
      <c r="D61" s="432"/>
      <c r="E61" s="43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3" t="s">
        <v>113</v>
      </c>
      <c r="B62" s="430"/>
      <c r="C62" s="346" t="s">
        <v>2</v>
      </c>
      <c r="D62" s="346" t="s">
        <v>37</v>
      </c>
      <c r="E62" s="346" t="s">
        <v>3</v>
      </c>
      <c r="F62" s="430" t="s">
        <v>110</v>
      </c>
      <c r="G62" s="430"/>
      <c r="H62" s="430"/>
      <c r="I62" s="430"/>
      <c r="J62" s="430"/>
      <c r="K62" s="430" t="s">
        <v>39</v>
      </c>
      <c r="L62" s="430"/>
      <c r="M62" s="346" t="s">
        <v>40</v>
      </c>
      <c r="N62" s="430" t="s">
        <v>41</v>
      </c>
      <c r="O62" s="430"/>
      <c r="P62" s="427" t="s">
        <v>42</v>
      </c>
      <c r="Q62" s="429"/>
      <c r="R62" s="427" t="s">
        <v>43</v>
      </c>
      <c r="S62" s="428"/>
      <c r="T62" s="428"/>
      <c r="U62" s="428"/>
      <c r="V62" s="428"/>
      <c r="W62" s="428"/>
      <c r="X62" s="428"/>
      <c r="Y62" s="428"/>
      <c r="Z62" s="428"/>
      <c r="AA62" s="429"/>
      <c r="AB62" s="430" t="s">
        <v>44</v>
      </c>
      <c r="AC62" s="430"/>
      <c r="AD62" s="431"/>
      <c r="AF62" s="93">
        <f>SUM(AF59:AF61)</f>
        <v>96000</v>
      </c>
    </row>
    <row r="63" spans="1:32" ht="25.5" customHeight="1">
      <c r="A63" s="422">
        <v>1</v>
      </c>
      <c r="B63" s="423"/>
      <c r="C63" s="123" t="s">
        <v>114</v>
      </c>
      <c r="D63" s="342"/>
      <c r="E63" s="345" t="s">
        <v>124</v>
      </c>
      <c r="F63" s="424" t="s">
        <v>501</v>
      </c>
      <c r="G63" s="416"/>
      <c r="H63" s="416"/>
      <c r="I63" s="416"/>
      <c r="J63" s="416"/>
      <c r="K63" s="416" t="s">
        <v>252</v>
      </c>
      <c r="L63" s="416"/>
      <c r="M63" s="54" t="s">
        <v>405</v>
      </c>
      <c r="N63" s="416">
        <v>8</v>
      </c>
      <c r="O63" s="416"/>
      <c r="P63" s="425">
        <v>100</v>
      </c>
      <c r="Q63" s="425"/>
      <c r="R63" s="426"/>
      <c r="S63" s="426"/>
      <c r="T63" s="426"/>
      <c r="U63" s="426"/>
      <c r="V63" s="426"/>
      <c r="W63" s="426"/>
      <c r="X63" s="426"/>
      <c r="Y63" s="426"/>
      <c r="Z63" s="426"/>
      <c r="AA63" s="426"/>
      <c r="AB63" s="416"/>
      <c r="AC63" s="416"/>
      <c r="AD63" s="417"/>
      <c r="AF63" s="53"/>
    </row>
    <row r="64" spans="1:32" ht="25.5" customHeight="1">
      <c r="A64" s="422">
        <v>2</v>
      </c>
      <c r="B64" s="423"/>
      <c r="C64" s="123" t="s">
        <v>114</v>
      </c>
      <c r="D64" s="342"/>
      <c r="E64" s="345" t="s">
        <v>125</v>
      </c>
      <c r="F64" s="424" t="s">
        <v>502</v>
      </c>
      <c r="G64" s="416"/>
      <c r="H64" s="416"/>
      <c r="I64" s="416"/>
      <c r="J64" s="416"/>
      <c r="K64" s="416" t="s">
        <v>121</v>
      </c>
      <c r="L64" s="416"/>
      <c r="M64" s="54" t="s">
        <v>405</v>
      </c>
      <c r="N64" s="416">
        <v>13</v>
      </c>
      <c r="O64" s="416"/>
      <c r="P64" s="425">
        <v>100</v>
      </c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3</v>
      </c>
      <c r="B65" s="423"/>
      <c r="C65" s="123" t="s">
        <v>114</v>
      </c>
      <c r="D65" s="342"/>
      <c r="E65" s="345" t="s">
        <v>119</v>
      </c>
      <c r="F65" s="424" t="s">
        <v>503</v>
      </c>
      <c r="G65" s="416"/>
      <c r="H65" s="416"/>
      <c r="I65" s="416"/>
      <c r="J65" s="416"/>
      <c r="K65" s="416" t="s">
        <v>480</v>
      </c>
      <c r="L65" s="416"/>
      <c r="M65" s="54" t="s">
        <v>405</v>
      </c>
      <c r="N65" s="416">
        <v>4</v>
      </c>
      <c r="O65" s="416"/>
      <c r="P65" s="425">
        <v>100</v>
      </c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4</v>
      </c>
      <c r="B66" s="423"/>
      <c r="C66" s="123" t="s">
        <v>118</v>
      </c>
      <c r="D66" s="342"/>
      <c r="E66" s="345" t="s">
        <v>341</v>
      </c>
      <c r="F66" s="424" t="s">
        <v>340</v>
      </c>
      <c r="G66" s="416"/>
      <c r="H66" s="416"/>
      <c r="I66" s="416"/>
      <c r="J66" s="416"/>
      <c r="K66" s="416" t="s">
        <v>342</v>
      </c>
      <c r="L66" s="416"/>
      <c r="M66" s="54" t="s">
        <v>197</v>
      </c>
      <c r="N66" s="416">
        <v>6</v>
      </c>
      <c r="O66" s="416"/>
      <c r="P66" s="425">
        <v>50</v>
      </c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5</v>
      </c>
      <c r="B67" s="423"/>
      <c r="C67" s="123" t="s">
        <v>118</v>
      </c>
      <c r="D67" s="342"/>
      <c r="E67" s="345" t="s">
        <v>120</v>
      </c>
      <c r="F67" s="424" t="s">
        <v>397</v>
      </c>
      <c r="G67" s="416"/>
      <c r="H67" s="416"/>
      <c r="I67" s="416"/>
      <c r="J67" s="416"/>
      <c r="K67" s="416" t="s">
        <v>187</v>
      </c>
      <c r="L67" s="416"/>
      <c r="M67" s="54" t="s">
        <v>197</v>
      </c>
      <c r="N67" s="416">
        <v>4</v>
      </c>
      <c r="O67" s="416"/>
      <c r="P67" s="425">
        <v>50</v>
      </c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6</v>
      </c>
      <c r="B68" s="423"/>
      <c r="C68" s="123"/>
      <c r="D68" s="342"/>
      <c r="E68" s="345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7</v>
      </c>
      <c r="B69" s="423"/>
      <c r="C69" s="123"/>
      <c r="D69" s="342"/>
      <c r="E69" s="345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8</v>
      </c>
      <c r="B70" s="423"/>
      <c r="C70" s="123"/>
      <c r="D70" s="342"/>
      <c r="E70" s="345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6.25" customHeight="1" thickBot="1">
      <c r="A71" s="396" t="s">
        <v>504</v>
      </c>
      <c r="B71" s="396"/>
      <c r="C71" s="396"/>
      <c r="D71" s="396"/>
      <c r="E71" s="396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7" t="s">
        <v>113</v>
      </c>
      <c r="B72" s="398"/>
      <c r="C72" s="344" t="s">
        <v>2</v>
      </c>
      <c r="D72" s="344" t="s">
        <v>37</v>
      </c>
      <c r="E72" s="344" t="s">
        <v>3</v>
      </c>
      <c r="F72" s="398" t="s">
        <v>38</v>
      </c>
      <c r="G72" s="398"/>
      <c r="H72" s="398"/>
      <c r="I72" s="398"/>
      <c r="J72" s="398"/>
      <c r="K72" s="418" t="s">
        <v>58</v>
      </c>
      <c r="L72" s="419"/>
      <c r="M72" s="419"/>
      <c r="N72" s="419"/>
      <c r="O72" s="419"/>
      <c r="P72" s="419"/>
      <c r="Q72" s="419"/>
      <c r="R72" s="419"/>
      <c r="S72" s="420"/>
      <c r="T72" s="398" t="s">
        <v>49</v>
      </c>
      <c r="U72" s="398"/>
      <c r="V72" s="418" t="s">
        <v>50</v>
      </c>
      <c r="W72" s="420"/>
      <c r="X72" s="419" t="s">
        <v>51</v>
      </c>
      <c r="Y72" s="419"/>
      <c r="Z72" s="419"/>
      <c r="AA72" s="419"/>
      <c r="AB72" s="419"/>
      <c r="AC72" s="419"/>
      <c r="AD72" s="421"/>
      <c r="AF72" s="53"/>
    </row>
    <row r="73" spans="1:32" ht="33.75" customHeight="1">
      <c r="A73" s="390">
        <v>1</v>
      </c>
      <c r="B73" s="391"/>
      <c r="C73" s="343" t="s">
        <v>114</v>
      </c>
      <c r="D73" s="343"/>
      <c r="E73" s="71" t="s">
        <v>127</v>
      </c>
      <c r="F73" s="405" t="s">
        <v>126</v>
      </c>
      <c r="G73" s="406"/>
      <c r="H73" s="406"/>
      <c r="I73" s="406"/>
      <c r="J73" s="407"/>
      <c r="K73" s="408" t="s">
        <v>128</v>
      </c>
      <c r="L73" s="409"/>
      <c r="M73" s="409"/>
      <c r="N73" s="409"/>
      <c r="O73" s="409"/>
      <c r="P73" s="409"/>
      <c r="Q73" s="409"/>
      <c r="R73" s="409"/>
      <c r="S73" s="410"/>
      <c r="T73" s="411">
        <v>43384</v>
      </c>
      <c r="U73" s="412"/>
      <c r="V73" s="413"/>
      <c r="W73" s="413"/>
      <c r="X73" s="414"/>
      <c r="Y73" s="414"/>
      <c r="Z73" s="414"/>
      <c r="AA73" s="414"/>
      <c r="AB73" s="414"/>
      <c r="AC73" s="414"/>
      <c r="AD73" s="415"/>
      <c r="AF73" s="53"/>
    </row>
    <row r="74" spans="1:32" ht="30" customHeight="1">
      <c r="A74" s="383">
        <f>A73+1</f>
        <v>2</v>
      </c>
      <c r="B74" s="384"/>
      <c r="C74" s="342"/>
      <c r="D74" s="342"/>
      <c r="E74" s="35"/>
      <c r="F74" s="384"/>
      <c r="G74" s="384"/>
      <c r="H74" s="384"/>
      <c r="I74" s="384"/>
      <c r="J74" s="384"/>
      <c r="K74" s="399"/>
      <c r="L74" s="400"/>
      <c r="M74" s="400"/>
      <c r="N74" s="400"/>
      <c r="O74" s="400"/>
      <c r="P74" s="400"/>
      <c r="Q74" s="400"/>
      <c r="R74" s="400"/>
      <c r="S74" s="401"/>
      <c r="T74" s="402"/>
      <c r="U74" s="402"/>
      <c r="V74" s="402"/>
      <c r="W74" s="402"/>
      <c r="X74" s="403"/>
      <c r="Y74" s="403"/>
      <c r="Z74" s="403"/>
      <c r="AA74" s="403"/>
      <c r="AB74" s="403"/>
      <c r="AC74" s="403"/>
      <c r="AD74" s="404"/>
      <c r="AF74" s="53"/>
    </row>
    <row r="75" spans="1:32" ht="30" customHeight="1">
      <c r="A75" s="383">
        <f t="shared" ref="A75:A81" si="12">A74+1</f>
        <v>3</v>
      </c>
      <c r="B75" s="384"/>
      <c r="C75" s="342"/>
      <c r="D75" s="342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si="12"/>
        <v>4</v>
      </c>
      <c r="B76" s="384"/>
      <c r="C76" s="342"/>
      <c r="D76" s="342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2"/>
        <v>5</v>
      </c>
      <c r="B77" s="384"/>
      <c r="C77" s="342"/>
      <c r="D77" s="342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2"/>
        <v>6</v>
      </c>
      <c r="B78" s="384"/>
      <c r="C78" s="342"/>
      <c r="D78" s="342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2"/>
        <v>7</v>
      </c>
      <c r="B79" s="384"/>
      <c r="C79" s="342"/>
      <c r="D79" s="342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2"/>
        <v>8</v>
      </c>
      <c r="B80" s="384"/>
      <c r="C80" s="342"/>
      <c r="D80" s="342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2"/>
        <v>9</v>
      </c>
      <c r="B81" s="384"/>
      <c r="C81" s="342"/>
      <c r="D81" s="342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6" thickBot="1">
      <c r="A82" s="396" t="s">
        <v>505</v>
      </c>
      <c r="B82" s="396"/>
      <c r="C82" s="396"/>
      <c r="D82" s="396"/>
      <c r="E82" s="396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7" t="s">
        <v>113</v>
      </c>
      <c r="B83" s="398"/>
      <c r="C83" s="388" t="s">
        <v>52</v>
      </c>
      <c r="D83" s="388"/>
      <c r="E83" s="388" t="s">
        <v>53</v>
      </c>
      <c r="F83" s="388"/>
      <c r="G83" s="388"/>
      <c r="H83" s="388"/>
      <c r="I83" s="388"/>
      <c r="J83" s="388"/>
      <c r="K83" s="388" t="s">
        <v>54</v>
      </c>
      <c r="L83" s="388"/>
      <c r="M83" s="388"/>
      <c r="N83" s="388"/>
      <c r="O83" s="388"/>
      <c r="P83" s="388"/>
      <c r="Q83" s="388"/>
      <c r="R83" s="388"/>
      <c r="S83" s="388"/>
      <c r="T83" s="388" t="s">
        <v>55</v>
      </c>
      <c r="U83" s="388"/>
      <c r="V83" s="388" t="s">
        <v>56</v>
      </c>
      <c r="W83" s="388"/>
      <c r="X83" s="388"/>
      <c r="Y83" s="388" t="s">
        <v>51</v>
      </c>
      <c r="Z83" s="388"/>
      <c r="AA83" s="388"/>
      <c r="AB83" s="388"/>
      <c r="AC83" s="388"/>
      <c r="AD83" s="389"/>
      <c r="AF83" s="53"/>
    </row>
    <row r="84" spans="1:32" ht="30.75" customHeight="1">
      <c r="A84" s="390">
        <v>1</v>
      </c>
      <c r="B84" s="391"/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3"/>
      <c r="W84" s="393"/>
      <c r="X84" s="393"/>
      <c r="Y84" s="394"/>
      <c r="Z84" s="394"/>
      <c r="AA84" s="394"/>
      <c r="AB84" s="394"/>
      <c r="AC84" s="394"/>
      <c r="AD84" s="395"/>
      <c r="AF84" s="53"/>
    </row>
    <row r="85" spans="1:32" ht="30.75" customHeight="1">
      <c r="A85" s="383">
        <v>2</v>
      </c>
      <c r="B85" s="384"/>
      <c r="C85" s="385"/>
      <c r="D85" s="385"/>
      <c r="E85" s="385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6"/>
      <c r="U85" s="386"/>
      <c r="V85" s="387"/>
      <c r="W85" s="387"/>
      <c r="X85" s="387"/>
      <c r="Y85" s="376"/>
      <c r="Z85" s="376"/>
      <c r="AA85" s="376"/>
      <c r="AB85" s="376"/>
      <c r="AC85" s="376"/>
      <c r="AD85" s="377"/>
      <c r="AF85" s="53"/>
    </row>
    <row r="86" spans="1:32" ht="30.75" customHeight="1" thickBot="1">
      <c r="A86" s="378">
        <v>3</v>
      </c>
      <c r="B86" s="379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  <c r="X86" s="380"/>
      <c r="Y86" s="381"/>
      <c r="Z86" s="381"/>
      <c r="AA86" s="381"/>
      <c r="AB86" s="381"/>
      <c r="AC86" s="381"/>
      <c r="AD86" s="382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9D9F-F169-4D24-AF94-8F737E157455}">
  <sheetPr>
    <pageSetUpPr fitToPage="1"/>
  </sheetPr>
  <dimension ref="A1:AF87"/>
  <sheetViews>
    <sheetView zoomScale="72" zoomScaleNormal="72" zoomScaleSheetLayoutView="70" workbookViewId="0">
      <selection activeCell="U20" sqref="U2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506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353" t="s">
        <v>17</v>
      </c>
      <c r="L5" s="353" t="s">
        <v>18</v>
      </c>
      <c r="M5" s="353" t="s">
        <v>19</v>
      </c>
      <c r="N5" s="35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 t="shared" ref="K6:K16" si="0">L6</f>
        <v>0</v>
      </c>
      <c r="L6" s="15"/>
      <c r="M6" s="16">
        <f t="shared" ref="M6:M21" si="1">L6-N6</f>
        <v>0</v>
      </c>
      <c r="N6" s="16">
        <v>0</v>
      </c>
      <c r="O6" s="62" t="str">
        <f t="shared" ref="O6:O22" si="2">IF(L6=0,"0",N6/L6)</f>
        <v>0</v>
      </c>
      <c r="P6" s="42" t="str">
        <f t="shared" ref="P6:P21" si="3">IF(L6=0,"0",(24-Q6))</f>
        <v>0</v>
      </c>
      <c r="Q6" s="43">
        <f t="shared" ref="Q6:Q21" si="4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9">
        <f t="shared" ref="AE6:AE21" si="8">$AD$22</f>
        <v>0.37500000000000006</v>
      </c>
      <c r="AF6" s="93">
        <f t="shared" ref="AF6:AF21" si="9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 t="shared" si="0"/>
        <v>0</v>
      </c>
      <c r="L7" s="15"/>
      <c r="M7" s="16">
        <f t="shared" si="1"/>
        <v>0</v>
      </c>
      <c r="N7" s="16">
        <v>0</v>
      </c>
      <c r="O7" s="62" t="str">
        <f t="shared" si="2"/>
        <v>0</v>
      </c>
      <c r="P7" s="42" t="str">
        <f t="shared" si="3"/>
        <v>0</v>
      </c>
      <c r="Q7" s="43">
        <f t="shared" si="4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9">
        <f t="shared" si="8"/>
        <v>0.37500000000000006</v>
      </c>
      <c r="AF7" s="93">
        <f t="shared" si="9"/>
        <v>2</v>
      </c>
    </row>
    <row r="8" spans="1:32" ht="27" customHeight="1">
      <c r="A8" s="108">
        <v>3</v>
      </c>
      <c r="B8" s="11"/>
      <c r="C8" s="37"/>
      <c r="D8" s="55"/>
      <c r="E8" s="57"/>
      <c r="F8" s="33"/>
      <c r="G8" s="36"/>
      <c r="H8" s="38"/>
      <c r="I8" s="7"/>
      <c r="J8" s="5">
        <v>0</v>
      </c>
      <c r="K8" s="15">
        <f t="shared" si="0"/>
        <v>0</v>
      </c>
      <c r="L8" s="15"/>
      <c r="M8" s="16">
        <f t="shared" si="1"/>
        <v>0</v>
      </c>
      <c r="N8" s="16">
        <v>0</v>
      </c>
      <c r="O8" s="62" t="str">
        <f t="shared" si="2"/>
        <v>0</v>
      </c>
      <c r="P8" s="42" t="str">
        <f t="shared" si="3"/>
        <v>0</v>
      </c>
      <c r="Q8" s="43">
        <f t="shared" si="4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 t="str">
        <f t="shared" si="5"/>
        <v>0</v>
      </c>
      <c r="AC8" s="9">
        <f t="shared" si="6"/>
        <v>0</v>
      </c>
      <c r="AD8" s="10">
        <f t="shared" si="7"/>
        <v>0</v>
      </c>
      <c r="AE8" s="39">
        <f t="shared" si="8"/>
        <v>0.37500000000000006</v>
      </c>
      <c r="AF8" s="93">
        <f t="shared" si="9"/>
        <v>3</v>
      </c>
    </row>
    <row r="9" spans="1:32" ht="27" customHeight="1">
      <c r="A9" s="109">
        <v>4</v>
      </c>
      <c r="B9" s="11"/>
      <c r="C9" s="11"/>
      <c r="D9" s="55"/>
      <c r="E9" s="57"/>
      <c r="F9" s="33"/>
      <c r="G9" s="36"/>
      <c r="H9" s="38"/>
      <c r="I9" s="7"/>
      <c r="J9" s="14">
        <v>0</v>
      </c>
      <c r="K9" s="15">
        <f t="shared" si="0"/>
        <v>0</v>
      </c>
      <c r="L9" s="15"/>
      <c r="M9" s="16">
        <f t="shared" si="1"/>
        <v>0</v>
      </c>
      <c r="N9" s="16">
        <v>0</v>
      </c>
      <c r="O9" s="62" t="str">
        <f t="shared" si="2"/>
        <v>0</v>
      </c>
      <c r="P9" s="42" t="str">
        <f t="shared" si="3"/>
        <v>0</v>
      </c>
      <c r="Q9" s="43">
        <f t="shared" si="4"/>
        <v>24</v>
      </c>
      <c r="R9" s="7"/>
      <c r="S9" s="6"/>
      <c r="T9" s="17"/>
      <c r="U9" s="17"/>
      <c r="V9" s="18"/>
      <c r="W9" s="19"/>
      <c r="X9" s="17"/>
      <c r="Y9" s="20"/>
      <c r="Z9" s="20"/>
      <c r="AA9" s="21">
        <v>24</v>
      </c>
      <c r="AB9" s="8" t="str">
        <f t="shared" si="5"/>
        <v>0</v>
      </c>
      <c r="AC9" s="9">
        <f t="shared" si="6"/>
        <v>0</v>
      </c>
      <c r="AD9" s="10">
        <f t="shared" si="7"/>
        <v>0</v>
      </c>
      <c r="AE9" s="39">
        <f t="shared" si="8"/>
        <v>0.37500000000000006</v>
      </c>
      <c r="AF9" s="93">
        <f t="shared" si="9"/>
        <v>4</v>
      </c>
    </row>
    <row r="10" spans="1:32" ht="27" customHeight="1">
      <c r="A10" s="109">
        <v>5</v>
      </c>
      <c r="B10" s="11" t="s">
        <v>57</v>
      </c>
      <c r="C10" s="11" t="s">
        <v>491</v>
      </c>
      <c r="D10" s="55"/>
      <c r="E10" s="57" t="s">
        <v>492</v>
      </c>
      <c r="F10" s="12">
        <v>7301</v>
      </c>
      <c r="G10" s="12">
        <v>1</v>
      </c>
      <c r="H10" s="13">
        <v>24</v>
      </c>
      <c r="I10" s="7">
        <v>2000</v>
      </c>
      <c r="J10" s="14">
        <v>5249</v>
      </c>
      <c r="K10" s="15">
        <f>L10+3196</f>
        <v>8445</v>
      </c>
      <c r="L10" s="15">
        <f>2069+3180</f>
        <v>5249</v>
      </c>
      <c r="M10" s="16">
        <f t="shared" si="1"/>
        <v>5249</v>
      </c>
      <c r="N10" s="16">
        <v>0</v>
      </c>
      <c r="O10" s="62">
        <f t="shared" si="2"/>
        <v>0</v>
      </c>
      <c r="P10" s="42">
        <f t="shared" si="3"/>
        <v>24</v>
      </c>
      <c r="Q10" s="43">
        <f t="shared" si="4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5"/>
        <v>1</v>
      </c>
      <c r="AC10" s="9">
        <f t="shared" si="6"/>
        <v>1</v>
      </c>
      <c r="AD10" s="10">
        <f t="shared" si="7"/>
        <v>1</v>
      </c>
      <c r="AE10" s="39">
        <f t="shared" si="8"/>
        <v>0.37500000000000006</v>
      </c>
      <c r="AF10" s="93">
        <f t="shared" si="9"/>
        <v>5</v>
      </c>
    </row>
    <row r="11" spans="1:32" ht="27" customHeight="1">
      <c r="A11" s="109">
        <v>6</v>
      </c>
      <c r="B11" s="11"/>
      <c r="C11" s="11"/>
      <c r="D11" s="55"/>
      <c r="E11" s="57"/>
      <c r="F11" s="12"/>
      <c r="G11" s="12"/>
      <c r="H11" s="13"/>
      <c r="I11" s="7"/>
      <c r="J11" s="14"/>
      <c r="K11" s="15"/>
      <c r="L11" s="15"/>
      <c r="M11" s="16">
        <f t="shared" si="1"/>
        <v>0</v>
      </c>
      <c r="N11" s="16">
        <v>0</v>
      </c>
      <c r="O11" s="62" t="str">
        <f t="shared" si="2"/>
        <v>0</v>
      </c>
      <c r="P11" s="42" t="str">
        <f t="shared" si="3"/>
        <v>0</v>
      </c>
      <c r="Q11" s="43">
        <f t="shared" si="4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 t="str">
        <f t="shared" si="5"/>
        <v>0</v>
      </c>
      <c r="AC11" s="9">
        <f t="shared" si="6"/>
        <v>0</v>
      </c>
      <c r="AD11" s="10">
        <f t="shared" si="7"/>
        <v>0</v>
      </c>
      <c r="AE11" s="39">
        <f t="shared" si="8"/>
        <v>0.37500000000000006</v>
      </c>
      <c r="AF11" s="93">
        <f t="shared" si="9"/>
        <v>6</v>
      </c>
    </row>
    <row r="12" spans="1:32" ht="27" customHeight="1">
      <c r="A12" s="109">
        <v>7</v>
      </c>
      <c r="B12" s="11" t="s">
        <v>57</v>
      </c>
      <c r="C12" s="11" t="s">
        <v>123</v>
      </c>
      <c r="D12" s="55" t="s">
        <v>117</v>
      </c>
      <c r="E12" s="57" t="s">
        <v>474</v>
      </c>
      <c r="F12" s="33" t="s">
        <v>129</v>
      </c>
      <c r="G12" s="36">
        <v>1</v>
      </c>
      <c r="H12" s="38">
        <v>25</v>
      </c>
      <c r="I12" s="7">
        <v>1000</v>
      </c>
      <c r="J12" s="14">
        <v>738</v>
      </c>
      <c r="K12" s="15">
        <f>L12+749</f>
        <v>1487</v>
      </c>
      <c r="L12" s="15">
        <v>738</v>
      </c>
      <c r="M12" s="16">
        <f t="shared" si="1"/>
        <v>738</v>
      </c>
      <c r="N12" s="16">
        <v>0</v>
      </c>
      <c r="O12" s="62">
        <f t="shared" si="2"/>
        <v>0</v>
      </c>
      <c r="P12" s="42">
        <f t="shared" si="3"/>
        <v>5</v>
      </c>
      <c r="Q12" s="43">
        <f t="shared" si="4"/>
        <v>19</v>
      </c>
      <c r="R12" s="7"/>
      <c r="S12" s="6"/>
      <c r="T12" s="17"/>
      <c r="U12" s="17"/>
      <c r="V12" s="18"/>
      <c r="W12" s="19">
        <v>19</v>
      </c>
      <c r="X12" s="17"/>
      <c r="Y12" s="20"/>
      <c r="Z12" s="20"/>
      <c r="AA12" s="21"/>
      <c r="AB12" s="8">
        <f t="shared" si="5"/>
        <v>1</v>
      </c>
      <c r="AC12" s="9">
        <f t="shared" si="6"/>
        <v>0.20833333333333334</v>
      </c>
      <c r="AD12" s="10">
        <f t="shared" si="7"/>
        <v>0.20833333333333334</v>
      </c>
      <c r="AE12" s="39">
        <f t="shared" si="8"/>
        <v>0.37500000000000006</v>
      </c>
      <c r="AF12" s="93">
        <f t="shared" si="9"/>
        <v>7</v>
      </c>
    </row>
    <row r="13" spans="1:32" ht="27" customHeight="1">
      <c r="A13" s="109">
        <v>8</v>
      </c>
      <c r="B13" s="11" t="s">
        <v>57</v>
      </c>
      <c r="C13" s="11" t="s">
        <v>300</v>
      </c>
      <c r="D13" s="55" t="s">
        <v>507</v>
      </c>
      <c r="E13" s="57" t="s">
        <v>508</v>
      </c>
      <c r="F13" s="33" t="s">
        <v>140</v>
      </c>
      <c r="G13" s="36">
        <v>1</v>
      </c>
      <c r="H13" s="38">
        <v>40</v>
      </c>
      <c r="I13" s="7">
        <v>3000</v>
      </c>
      <c r="J13" s="14">
        <v>3005</v>
      </c>
      <c r="K13" s="15">
        <f>L13</f>
        <v>3005</v>
      </c>
      <c r="L13" s="15">
        <f>3005</f>
        <v>3005</v>
      </c>
      <c r="M13" s="16">
        <f t="shared" si="1"/>
        <v>3005</v>
      </c>
      <c r="N13" s="16">
        <v>0</v>
      </c>
      <c r="O13" s="62">
        <f t="shared" si="2"/>
        <v>0</v>
      </c>
      <c r="P13" s="42">
        <f t="shared" si="3"/>
        <v>16</v>
      </c>
      <c r="Q13" s="43">
        <f t="shared" si="4"/>
        <v>8</v>
      </c>
      <c r="R13" s="7"/>
      <c r="S13" s="6">
        <v>8</v>
      </c>
      <c r="T13" s="17"/>
      <c r="U13" s="17"/>
      <c r="V13" s="18"/>
      <c r="W13" s="19"/>
      <c r="X13" s="17"/>
      <c r="Y13" s="20"/>
      <c r="Z13" s="20"/>
      <c r="AA13" s="21"/>
      <c r="AB13" s="8">
        <f t="shared" si="5"/>
        <v>1</v>
      </c>
      <c r="AC13" s="9">
        <f t="shared" si="6"/>
        <v>0.66666666666666663</v>
      </c>
      <c r="AD13" s="10">
        <f t="shared" si="7"/>
        <v>0.66666666666666663</v>
      </c>
      <c r="AE13" s="39">
        <f t="shared" si="8"/>
        <v>0.37500000000000006</v>
      </c>
      <c r="AF13" s="93">
        <f t="shared" si="9"/>
        <v>8</v>
      </c>
    </row>
    <row r="14" spans="1:32" ht="27" customHeight="1">
      <c r="A14" s="125">
        <v>9</v>
      </c>
      <c r="B14" s="11"/>
      <c r="C14" s="37"/>
      <c r="D14" s="55"/>
      <c r="E14" s="57"/>
      <c r="F14" s="33"/>
      <c r="G14" s="36"/>
      <c r="H14" s="38"/>
      <c r="I14" s="7"/>
      <c r="J14" s="5">
        <v>0</v>
      </c>
      <c r="K14" s="15">
        <f t="shared" si="0"/>
        <v>0</v>
      </c>
      <c r="L14" s="15"/>
      <c r="M14" s="16">
        <f t="shared" si="1"/>
        <v>0</v>
      </c>
      <c r="N14" s="16">
        <v>0</v>
      </c>
      <c r="O14" s="62" t="str">
        <f t="shared" si="2"/>
        <v>0</v>
      </c>
      <c r="P14" s="42" t="str">
        <f t="shared" si="3"/>
        <v>0</v>
      </c>
      <c r="Q14" s="43">
        <f t="shared" si="4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 t="str">
        <f t="shared" si="5"/>
        <v>0</v>
      </c>
      <c r="AC14" s="9">
        <f t="shared" si="6"/>
        <v>0</v>
      </c>
      <c r="AD14" s="10">
        <f t="shared" si="7"/>
        <v>0</v>
      </c>
      <c r="AE14" s="39">
        <f t="shared" si="8"/>
        <v>0.37500000000000006</v>
      </c>
      <c r="AF14" s="93">
        <f t="shared" si="9"/>
        <v>9</v>
      </c>
    </row>
    <row r="15" spans="1:32" ht="27" customHeight="1">
      <c r="A15" s="108">
        <v>10</v>
      </c>
      <c r="B15" s="11"/>
      <c r="C15" s="37"/>
      <c r="D15" s="55"/>
      <c r="E15" s="57"/>
      <c r="F15" s="12"/>
      <c r="G15" s="12"/>
      <c r="H15" s="13"/>
      <c r="I15" s="34"/>
      <c r="J15" s="14">
        <v>0</v>
      </c>
      <c r="K15" s="15">
        <f t="shared" si="0"/>
        <v>0</v>
      </c>
      <c r="L15" s="15"/>
      <c r="M15" s="16">
        <f t="shared" si="1"/>
        <v>0</v>
      </c>
      <c r="N15" s="16">
        <v>0</v>
      </c>
      <c r="O15" s="62" t="str">
        <f t="shared" si="2"/>
        <v>0</v>
      </c>
      <c r="P15" s="42" t="str">
        <f t="shared" si="3"/>
        <v>0</v>
      </c>
      <c r="Q15" s="43">
        <f t="shared" si="4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 t="str">
        <f t="shared" si="5"/>
        <v>0</v>
      </c>
      <c r="AC15" s="9">
        <f t="shared" si="6"/>
        <v>0</v>
      </c>
      <c r="AD15" s="10">
        <f t="shared" si="7"/>
        <v>0</v>
      </c>
      <c r="AE15" s="39">
        <f t="shared" si="8"/>
        <v>0.37500000000000006</v>
      </c>
      <c r="AF15" s="93">
        <f t="shared" si="9"/>
        <v>10</v>
      </c>
    </row>
    <row r="16" spans="1:32" ht="27" customHeight="1">
      <c r="A16" s="108">
        <v>11</v>
      </c>
      <c r="B16" s="11" t="s">
        <v>57</v>
      </c>
      <c r="C16" s="11" t="s">
        <v>491</v>
      </c>
      <c r="D16" s="55"/>
      <c r="E16" s="57" t="s">
        <v>499</v>
      </c>
      <c r="F16" s="12">
        <v>7301</v>
      </c>
      <c r="G16" s="12">
        <v>1</v>
      </c>
      <c r="H16" s="13">
        <v>24</v>
      </c>
      <c r="I16" s="7">
        <v>2000</v>
      </c>
      <c r="J16" s="14">
        <v>5204</v>
      </c>
      <c r="K16" s="15">
        <f t="shared" si="0"/>
        <v>5204</v>
      </c>
      <c r="L16" s="15">
        <f>2847+2357</f>
        <v>5204</v>
      </c>
      <c r="M16" s="16">
        <f t="shared" si="1"/>
        <v>5204</v>
      </c>
      <c r="N16" s="16">
        <v>0</v>
      </c>
      <c r="O16" s="62">
        <f t="shared" si="2"/>
        <v>0</v>
      </c>
      <c r="P16" s="42">
        <f t="shared" si="3"/>
        <v>24</v>
      </c>
      <c r="Q16" s="43">
        <f t="shared" si="4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5"/>
        <v>1</v>
      </c>
      <c r="AC16" s="9">
        <f t="shared" si="6"/>
        <v>1</v>
      </c>
      <c r="AD16" s="10">
        <f t="shared" si="7"/>
        <v>1</v>
      </c>
      <c r="AE16" s="39">
        <f t="shared" si="8"/>
        <v>0.37500000000000006</v>
      </c>
      <c r="AF16" s="93">
        <f t="shared" si="9"/>
        <v>11</v>
      </c>
    </row>
    <row r="17" spans="1:32" ht="27" customHeight="1">
      <c r="A17" s="108">
        <v>12</v>
      </c>
      <c r="B17" s="11"/>
      <c r="C17" s="37"/>
      <c r="D17" s="55"/>
      <c r="E17" s="57"/>
      <c r="F17" s="12"/>
      <c r="G17" s="12"/>
      <c r="H17" s="13"/>
      <c r="I17" s="34"/>
      <c r="J17" s="14"/>
      <c r="K17" s="15">
        <f>L17</f>
        <v>0</v>
      </c>
      <c r="L17" s="15"/>
      <c r="M17" s="16">
        <f t="shared" si="1"/>
        <v>0</v>
      </c>
      <c r="N17" s="16">
        <v>0</v>
      </c>
      <c r="O17" s="62" t="str">
        <f t="shared" si="2"/>
        <v>0</v>
      </c>
      <c r="P17" s="42" t="str">
        <f t="shared" si="3"/>
        <v>0</v>
      </c>
      <c r="Q17" s="43">
        <f t="shared" si="4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 t="str">
        <f t="shared" si="5"/>
        <v>0</v>
      </c>
      <c r="AC17" s="9">
        <f t="shared" si="6"/>
        <v>0</v>
      </c>
      <c r="AD17" s="10">
        <f t="shared" si="7"/>
        <v>0</v>
      </c>
      <c r="AE17" s="39">
        <f t="shared" si="8"/>
        <v>0.37500000000000006</v>
      </c>
      <c r="AF17" s="93">
        <f t="shared" si="9"/>
        <v>12</v>
      </c>
    </row>
    <row r="18" spans="1:32" ht="27" customHeight="1">
      <c r="A18" s="109">
        <v>13</v>
      </c>
      <c r="B18" s="11" t="s">
        <v>57</v>
      </c>
      <c r="C18" s="37" t="s">
        <v>123</v>
      </c>
      <c r="D18" s="55" t="s">
        <v>138</v>
      </c>
      <c r="E18" s="57" t="s">
        <v>498</v>
      </c>
      <c r="F18" s="33" t="s">
        <v>129</v>
      </c>
      <c r="G18" s="36">
        <v>1</v>
      </c>
      <c r="H18" s="38">
        <v>25</v>
      </c>
      <c r="I18" s="7">
        <v>3000</v>
      </c>
      <c r="J18" s="5">
        <v>3158</v>
      </c>
      <c r="K18" s="15">
        <f>L18</f>
        <v>3158</v>
      </c>
      <c r="L18" s="15">
        <f>3158</f>
        <v>3158</v>
      </c>
      <c r="M18" s="16">
        <f t="shared" si="1"/>
        <v>3158</v>
      </c>
      <c r="N18" s="16">
        <v>0</v>
      </c>
      <c r="O18" s="62">
        <f t="shared" si="2"/>
        <v>0</v>
      </c>
      <c r="P18" s="42">
        <f t="shared" si="3"/>
        <v>20</v>
      </c>
      <c r="Q18" s="43">
        <f t="shared" si="4"/>
        <v>4</v>
      </c>
      <c r="R18" s="7"/>
      <c r="S18" s="6"/>
      <c r="T18" s="17">
        <v>4</v>
      </c>
      <c r="U18" s="17"/>
      <c r="V18" s="18"/>
      <c r="W18" s="19"/>
      <c r="X18" s="17"/>
      <c r="Y18" s="20"/>
      <c r="Z18" s="20"/>
      <c r="AA18" s="21"/>
      <c r="AB18" s="8">
        <f t="shared" si="5"/>
        <v>1</v>
      </c>
      <c r="AC18" s="9">
        <f t="shared" si="6"/>
        <v>0.83333333333333337</v>
      </c>
      <c r="AD18" s="10">
        <f>AC18*AB18*(1-O18)</f>
        <v>0.83333333333333337</v>
      </c>
      <c r="AE18" s="39">
        <f t="shared" si="8"/>
        <v>0.37500000000000006</v>
      </c>
      <c r="AF18" s="93">
        <f t="shared" si="9"/>
        <v>13</v>
      </c>
    </row>
    <row r="19" spans="1:32" ht="27" customHeight="1">
      <c r="A19" s="109">
        <v>14</v>
      </c>
      <c r="B19" s="11" t="s">
        <v>57</v>
      </c>
      <c r="C19" s="37" t="s">
        <v>123</v>
      </c>
      <c r="D19" s="55" t="s">
        <v>117</v>
      </c>
      <c r="E19" s="57" t="s">
        <v>153</v>
      </c>
      <c r="F19" s="12" t="s">
        <v>129</v>
      </c>
      <c r="G19" s="36">
        <v>4</v>
      </c>
      <c r="H19" s="38">
        <v>24</v>
      </c>
      <c r="I19" s="7">
        <v>400000</v>
      </c>
      <c r="J19" s="5">
        <v>19248</v>
      </c>
      <c r="K19" s="15">
        <f>L19+12380+14384+22568+16460+13888+20848+20972+20888+19996+10224+14424+21632+20220+19704+9284+22304+15876+16404+16660+17141+13660+19120+18700</f>
        <v>416985</v>
      </c>
      <c r="L19" s="15">
        <f>2731*4+2081*4</f>
        <v>19248</v>
      </c>
      <c r="M19" s="16">
        <f t="shared" si="1"/>
        <v>19248</v>
      </c>
      <c r="N19" s="16">
        <v>0</v>
      </c>
      <c r="O19" s="62">
        <f t="shared" si="2"/>
        <v>0</v>
      </c>
      <c r="P19" s="42">
        <f t="shared" si="3"/>
        <v>24</v>
      </c>
      <c r="Q19" s="43">
        <f t="shared" si="4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9">
        <f t="shared" si="8"/>
        <v>0.37500000000000006</v>
      </c>
      <c r="AF19" s="93">
        <f t="shared" si="9"/>
        <v>14</v>
      </c>
    </row>
    <row r="20" spans="1:32" ht="27" customHeight="1">
      <c r="A20" s="109">
        <v>15</v>
      </c>
      <c r="B20" s="11" t="s">
        <v>57</v>
      </c>
      <c r="C20" s="11" t="s">
        <v>115</v>
      </c>
      <c r="D20" s="55"/>
      <c r="E20" s="56" t="s">
        <v>133</v>
      </c>
      <c r="F20" s="12" t="s">
        <v>116</v>
      </c>
      <c r="G20" s="12">
        <v>4</v>
      </c>
      <c r="H20" s="38">
        <v>20</v>
      </c>
      <c r="I20" s="7">
        <v>200000</v>
      </c>
      <c r="J20" s="14">
        <v>23256</v>
      </c>
      <c r="K20" s="15">
        <f>L20+32180</f>
        <v>55436</v>
      </c>
      <c r="L20" s="15">
        <f>5814*4</f>
        <v>23256</v>
      </c>
      <c r="M20" s="16">
        <f t="shared" ref="M20" si="10">L20-N20</f>
        <v>23256</v>
      </c>
      <c r="N20" s="16">
        <v>0</v>
      </c>
      <c r="O20" s="62">
        <f t="shared" ref="O20" si="11">IF(L20=0,"0",N20/L20)</f>
        <v>0</v>
      </c>
      <c r="P20" s="42">
        <f t="shared" ref="P20" si="12">IF(L20=0,"0",(24-Q20))</f>
        <v>10</v>
      </c>
      <c r="Q20" s="43">
        <f t="shared" ref="Q20" si="13">SUM(R20:AA20)</f>
        <v>14</v>
      </c>
      <c r="R20" s="7"/>
      <c r="S20" s="6"/>
      <c r="T20" s="17">
        <v>14</v>
      </c>
      <c r="U20" s="17"/>
      <c r="V20" s="18"/>
      <c r="W20" s="19"/>
      <c r="X20" s="17"/>
      <c r="Y20" s="20"/>
      <c r="Z20" s="20"/>
      <c r="AA20" s="21"/>
      <c r="AB20" s="8">
        <f t="shared" ref="AB20" si="14">IF(J20=0,"0",(L20/J20))</f>
        <v>1</v>
      </c>
      <c r="AC20" s="9">
        <f t="shared" ref="AC20" si="15">IF(P20=0,"0",(P20/24))</f>
        <v>0.41666666666666669</v>
      </c>
      <c r="AD20" s="10">
        <f t="shared" ref="AD20" si="16">AC20*AB20*(1-O20)</f>
        <v>0.41666666666666669</v>
      </c>
      <c r="AE20" s="39">
        <f t="shared" si="8"/>
        <v>0.37500000000000006</v>
      </c>
      <c r="AF20" s="93">
        <f t="shared" ref="AF20" si="17">A20</f>
        <v>15</v>
      </c>
    </row>
    <row r="21" spans="1:32" ht="27" customHeight="1" thickBot="1">
      <c r="A21" s="109">
        <v>15</v>
      </c>
      <c r="B21" s="11" t="s">
        <v>57</v>
      </c>
      <c r="C21" s="11" t="s">
        <v>115</v>
      </c>
      <c r="D21" s="55"/>
      <c r="E21" s="56" t="s">
        <v>509</v>
      </c>
      <c r="F21" s="12" t="s">
        <v>116</v>
      </c>
      <c r="G21" s="12">
        <v>4</v>
      </c>
      <c r="H21" s="38">
        <v>20</v>
      </c>
      <c r="I21" s="7">
        <v>100000</v>
      </c>
      <c r="J21" s="14">
        <v>38852</v>
      </c>
      <c r="K21" s="15">
        <f>L21</f>
        <v>38852</v>
      </c>
      <c r="L21" s="15">
        <f>9713*4</f>
        <v>38852</v>
      </c>
      <c r="M21" s="16">
        <f t="shared" si="1"/>
        <v>38852</v>
      </c>
      <c r="N21" s="16">
        <v>0</v>
      </c>
      <c r="O21" s="62">
        <f t="shared" si="2"/>
        <v>0</v>
      </c>
      <c r="P21" s="42">
        <f t="shared" si="3"/>
        <v>12</v>
      </c>
      <c r="Q21" s="43">
        <f t="shared" si="4"/>
        <v>12</v>
      </c>
      <c r="R21" s="7"/>
      <c r="S21" s="6"/>
      <c r="T21" s="17">
        <v>12</v>
      </c>
      <c r="U21" s="17"/>
      <c r="V21" s="18"/>
      <c r="W21" s="19"/>
      <c r="X21" s="17"/>
      <c r="Y21" s="20"/>
      <c r="Z21" s="20"/>
      <c r="AA21" s="21"/>
      <c r="AB21" s="8">
        <f t="shared" si="5"/>
        <v>1</v>
      </c>
      <c r="AC21" s="9">
        <f t="shared" si="6"/>
        <v>0.5</v>
      </c>
      <c r="AD21" s="10">
        <f t="shared" si="7"/>
        <v>0.5</v>
      </c>
      <c r="AE21" s="39">
        <f t="shared" si="8"/>
        <v>0.37500000000000006</v>
      </c>
      <c r="AF21" s="93">
        <f t="shared" si="9"/>
        <v>15</v>
      </c>
    </row>
    <row r="22" spans="1:32" ht="31.5" customHeight="1" thickBot="1">
      <c r="A22" s="450" t="s">
        <v>34</v>
      </c>
      <c r="B22" s="451"/>
      <c r="C22" s="451"/>
      <c r="D22" s="451"/>
      <c r="E22" s="451"/>
      <c r="F22" s="451"/>
      <c r="G22" s="451"/>
      <c r="H22" s="452"/>
      <c r="I22" s="25">
        <f>SUM(I6:I21)</f>
        <v>711000</v>
      </c>
      <c r="J22" s="22">
        <f t="shared" ref="J22:N22" si="18">SUM(J6:J21)</f>
        <v>98710</v>
      </c>
      <c r="K22" s="23">
        <f t="shared" si="18"/>
        <v>532572</v>
      </c>
      <c r="L22" s="24">
        <f t="shared" si="18"/>
        <v>98710</v>
      </c>
      <c r="M22" s="23">
        <f t="shared" si="18"/>
        <v>98710</v>
      </c>
      <c r="N22" s="24">
        <f t="shared" si="18"/>
        <v>0</v>
      </c>
      <c r="O22" s="44">
        <f t="shared" si="2"/>
        <v>0</v>
      </c>
      <c r="P22" s="45">
        <f t="shared" ref="P22:AA22" si="19">SUM(P6:P21)</f>
        <v>135</v>
      </c>
      <c r="Q22" s="46">
        <f t="shared" si="19"/>
        <v>249</v>
      </c>
      <c r="R22" s="26">
        <f t="shared" si="19"/>
        <v>24</v>
      </c>
      <c r="S22" s="27">
        <f t="shared" si="19"/>
        <v>8</v>
      </c>
      <c r="T22" s="27">
        <f t="shared" si="19"/>
        <v>30</v>
      </c>
      <c r="U22" s="27">
        <f t="shared" si="19"/>
        <v>0</v>
      </c>
      <c r="V22" s="28">
        <f t="shared" si="19"/>
        <v>0</v>
      </c>
      <c r="W22" s="29">
        <f t="shared" si="19"/>
        <v>163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24</v>
      </c>
      <c r="AB22" s="31">
        <f>SUM(AB6:AB21)/15</f>
        <v>0.53333333333333333</v>
      </c>
      <c r="AC22" s="4">
        <f>SUM(AC6:AC21)/15</f>
        <v>0.37500000000000006</v>
      </c>
      <c r="AD22" s="4">
        <f>SUM(AD6:AD21)/15</f>
        <v>0.37500000000000006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4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53" t="s">
        <v>45</v>
      </c>
      <c r="B49" s="453"/>
      <c r="C49" s="453"/>
      <c r="D49" s="453"/>
      <c r="E49" s="453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54" t="s">
        <v>510</v>
      </c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6"/>
      <c r="N50" s="457" t="s">
        <v>511</v>
      </c>
      <c r="O50" s="458"/>
      <c r="P50" s="458"/>
      <c r="Q50" s="458"/>
      <c r="R50" s="458"/>
      <c r="S50" s="458"/>
      <c r="T50" s="458"/>
      <c r="U50" s="458"/>
      <c r="V50" s="458"/>
      <c r="W50" s="458"/>
      <c r="X50" s="458"/>
      <c r="Y50" s="458"/>
      <c r="Z50" s="458"/>
      <c r="AA50" s="458"/>
      <c r="AB50" s="458"/>
      <c r="AC50" s="458"/>
      <c r="AD50" s="459"/>
    </row>
    <row r="51" spans="1:32" ht="27" customHeight="1">
      <c r="A51" s="460" t="s">
        <v>2</v>
      </c>
      <c r="B51" s="461"/>
      <c r="C51" s="354" t="s">
        <v>46</v>
      </c>
      <c r="D51" s="354" t="s">
        <v>47</v>
      </c>
      <c r="E51" s="354" t="s">
        <v>108</v>
      </c>
      <c r="F51" s="461" t="s">
        <v>107</v>
      </c>
      <c r="G51" s="461"/>
      <c r="H51" s="461"/>
      <c r="I51" s="461"/>
      <c r="J51" s="461"/>
      <c r="K51" s="461"/>
      <c r="L51" s="461"/>
      <c r="M51" s="462"/>
      <c r="N51" s="73" t="s">
        <v>112</v>
      </c>
      <c r="O51" s="354" t="s">
        <v>46</v>
      </c>
      <c r="P51" s="463" t="s">
        <v>47</v>
      </c>
      <c r="Q51" s="464"/>
      <c r="R51" s="463" t="s">
        <v>38</v>
      </c>
      <c r="S51" s="465"/>
      <c r="T51" s="465"/>
      <c r="U51" s="464"/>
      <c r="V51" s="463" t="s">
        <v>48</v>
      </c>
      <c r="W51" s="465"/>
      <c r="X51" s="465"/>
      <c r="Y51" s="465"/>
      <c r="Z51" s="465"/>
      <c r="AA51" s="465"/>
      <c r="AB51" s="465"/>
      <c r="AC51" s="465"/>
      <c r="AD51" s="466"/>
    </row>
    <row r="52" spans="1:32" ht="27" customHeight="1">
      <c r="A52" s="434" t="s">
        <v>491</v>
      </c>
      <c r="B52" s="435"/>
      <c r="C52" s="356" t="s">
        <v>247</v>
      </c>
      <c r="D52" s="356"/>
      <c r="E52" s="356" t="s">
        <v>499</v>
      </c>
      <c r="F52" s="445" t="s">
        <v>171</v>
      </c>
      <c r="G52" s="446"/>
      <c r="H52" s="446"/>
      <c r="I52" s="446"/>
      <c r="J52" s="446"/>
      <c r="K52" s="446"/>
      <c r="L52" s="446"/>
      <c r="M52" s="447"/>
      <c r="N52" s="355" t="s">
        <v>123</v>
      </c>
      <c r="O52" s="124" t="s">
        <v>144</v>
      </c>
      <c r="P52" s="443" t="s">
        <v>202</v>
      </c>
      <c r="Q52" s="444"/>
      <c r="R52" s="435" t="s">
        <v>331</v>
      </c>
      <c r="S52" s="435"/>
      <c r="T52" s="435"/>
      <c r="U52" s="435"/>
      <c r="V52" s="426" t="s">
        <v>171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123</v>
      </c>
      <c r="B53" s="435"/>
      <c r="C53" s="356" t="s">
        <v>178</v>
      </c>
      <c r="D53" s="356" t="s">
        <v>117</v>
      </c>
      <c r="E53" s="356" t="s">
        <v>474</v>
      </c>
      <c r="F53" s="445" t="s">
        <v>207</v>
      </c>
      <c r="G53" s="446"/>
      <c r="H53" s="446"/>
      <c r="I53" s="446"/>
      <c r="J53" s="446"/>
      <c r="K53" s="446"/>
      <c r="L53" s="446"/>
      <c r="M53" s="447"/>
      <c r="N53" s="355" t="s">
        <v>491</v>
      </c>
      <c r="O53" s="124" t="s">
        <v>122</v>
      </c>
      <c r="P53" s="435"/>
      <c r="Q53" s="435"/>
      <c r="R53" s="435" t="s">
        <v>512</v>
      </c>
      <c r="S53" s="435"/>
      <c r="T53" s="435"/>
      <c r="U53" s="435"/>
      <c r="V53" s="426" t="s">
        <v>171</v>
      </c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 t="s">
        <v>123</v>
      </c>
      <c r="B54" s="435"/>
      <c r="C54" s="356" t="s">
        <v>166</v>
      </c>
      <c r="D54" s="356" t="s">
        <v>138</v>
      </c>
      <c r="E54" s="356" t="s">
        <v>498</v>
      </c>
      <c r="F54" s="445" t="s">
        <v>171</v>
      </c>
      <c r="G54" s="446"/>
      <c r="H54" s="446"/>
      <c r="I54" s="446"/>
      <c r="J54" s="446"/>
      <c r="K54" s="446"/>
      <c r="L54" s="446"/>
      <c r="M54" s="447"/>
      <c r="N54" s="355" t="s">
        <v>123</v>
      </c>
      <c r="O54" s="124" t="s">
        <v>249</v>
      </c>
      <c r="P54" s="435" t="s">
        <v>124</v>
      </c>
      <c r="Q54" s="435"/>
      <c r="R54" s="435" t="s">
        <v>322</v>
      </c>
      <c r="S54" s="435"/>
      <c r="T54" s="435"/>
      <c r="U54" s="435"/>
      <c r="V54" s="426" t="s">
        <v>171</v>
      </c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 t="s">
        <v>115</v>
      </c>
      <c r="B55" s="435"/>
      <c r="C55" s="356" t="s">
        <v>414</v>
      </c>
      <c r="D55" s="356"/>
      <c r="E55" s="356" t="s">
        <v>133</v>
      </c>
      <c r="F55" s="445" t="s">
        <v>171</v>
      </c>
      <c r="G55" s="446"/>
      <c r="H55" s="446"/>
      <c r="I55" s="446"/>
      <c r="J55" s="446"/>
      <c r="K55" s="446"/>
      <c r="L55" s="446"/>
      <c r="M55" s="447"/>
      <c r="N55" s="355" t="s">
        <v>513</v>
      </c>
      <c r="O55" s="124" t="s">
        <v>166</v>
      </c>
      <c r="P55" s="443"/>
      <c r="Q55" s="444"/>
      <c r="R55" s="435" t="s">
        <v>155</v>
      </c>
      <c r="S55" s="435"/>
      <c r="T55" s="435"/>
      <c r="U55" s="435"/>
      <c r="V55" s="426" t="s">
        <v>171</v>
      </c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 t="s">
        <v>115</v>
      </c>
      <c r="B56" s="435"/>
      <c r="C56" s="356" t="s">
        <v>414</v>
      </c>
      <c r="D56" s="356"/>
      <c r="E56" s="356" t="s">
        <v>509</v>
      </c>
      <c r="F56" s="445" t="s">
        <v>171</v>
      </c>
      <c r="G56" s="446"/>
      <c r="H56" s="446"/>
      <c r="I56" s="446"/>
      <c r="J56" s="446"/>
      <c r="K56" s="446"/>
      <c r="L56" s="446"/>
      <c r="M56" s="447"/>
      <c r="N56" s="355"/>
      <c r="O56" s="124"/>
      <c r="P56" s="435"/>
      <c r="Q56" s="435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356"/>
      <c r="D57" s="356"/>
      <c r="E57" s="356"/>
      <c r="F57" s="445"/>
      <c r="G57" s="446"/>
      <c r="H57" s="446"/>
      <c r="I57" s="446"/>
      <c r="J57" s="446"/>
      <c r="K57" s="446"/>
      <c r="L57" s="446"/>
      <c r="M57" s="447"/>
      <c r="N57" s="355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356"/>
      <c r="D58" s="356"/>
      <c r="E58" s="356"/>
      <c r="F58" s="445"/>
      <c r="G58" s="446"/>
      <c r="H58" s="446"/>
      <c r="I58" s="446"/>
      <c r="J58" s="446"/>
      <c r="K58" s="446"/>
      <c r="L58" s="446"/>
      <c r="M58" s="447"/>
      <c r="N58" s="355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356"/>
      <c r="D59" s="356"/>
      <c r="E59" s="356"/>
      <c r="F59" s="426"/>
      <c r="G59" s="426"/>
      <c r="H59" s="426"/>
      <c r="I59" s="426"/>
      <c r="J59" s="426"/>
      <c r="K59" s="426"/>
      <c r="L59" s="426"/>
      <c r="M59" s="436"/>
      <c r="N59" s="355"/>
      <c r="O59" s="124"/>
      <c r="P59" s="443"/>
      <c r="Q59" s="444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</row>
    <row r="60" spans="1:32" ht="27" customHeight="1">
      <c r="A60" s="434"/>
      <c r="B60" s="435"/>
      <c r="C60" s="356"/>
      <c r="D60" s="356"/>
      <c r="E60" s="356"/>
      <c r="F60" s="445"/>
      <c r="G60" s="446"/>
      <c r="H60" s="446"/>
      <c r="I60" s="446"/>
      <c r="J60" s="446"/>
      <c r="K60" s="446"/>
      <c r="L60" s="446"/>
      <c r="M60" s="447"/>
      <c r="N60" s="355"/>
      <c r="O60" s="124"/>
      <c r="P60" s="435"/>
      <c r="Q60" s="435"/>
      <c r="R60" s="435"/>
      <c r="S60" s="435"/>
      <c r="T60" s="435"/>
      <c r="U60" s="435"/>
      <c r="V60" s="426"/>
      <c r="W60" s="426"/>
      <c r="X60" s="426"/>
      <c r="Y60" s="426"/>
      <c r="Z60" s="426"/>
      <c r="AA60" s="426"/>
      <c r="AB60" s="426"/>
      <c r="AC60" s="426"/>
      <c r="AD60" s="436"/>
      <c r="AF60" s="93">
        <f>8*3000</f>
        <v>24000</v>
      </c>
    </row>
    <row r="61" spans="1:32" ht="27" customHeight="1" thickBot="1">
      <c r="A61" s="437"/>
      <c r="B61" s="438"/>
      <c r="C61" s="358"/>
      <c r="D61" s="358"/>
      <c r="E61" s="358"/>
      <c r="F61" s="439"/>
      <c r="G61" s="439"/>
      <c r="H61" s="439"/>
      <c r="I61" s="439"/>
      <c r="J61" s="439"/>
      <c r="K61" s="439"/>
      <c r="L61" s="439"/>
      <c r="M61" s="440"/>
      <c r="N61" s="357"/>
      <c r="O61" s="120"/>
      <c r="P61" s="438"/>
      <c r="Q61" s="438"/>
      <c r="R61" s="438"/>
      <c r="S61" s="438"/>
      <c r="T61" s="438"/>
      <c r="U61" s="438"/>
      <c r="V61" s="441"/>
      <c r="W61" s="441"/>
      <c r="X61" s="441"/>
      <c r="Y61" s="441"/>
      <c r="Z61" s="441"/>
      <c r="AA61" s="441"/>
      <c r="AB61" s="441"/>
      <c r="AC61" s="441"/>
      <c r="AD61" s="442"/>
      <c r="AF61" s="93">
        <f>16*3000</f>
        <v>48000</v>
      </c>
    </row>
    <row r="62" spans="1:32" ht="27.75" thickBot="1">
      <c r="A62" s="432" t="s">
        <v>514</v>
      </c>
      <c r="B62" s="432"/>
      <c r="C62" s="432"/>
      <c r="D62" s="432"/>
      <c r="E62" s="432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3">
        <v>24000</v>
      </c>
    </row>
    <row r="63" spans="1:32" ht="29.25" customHeight="1" thickBot="1">
      <c r="A63" s="433" t="s">
        <v>113</v>
      </c>
      <c r="B63" s="430"/>
      <c r="C63" s="359" t="s">
        <v>2</v>
      </c>
      <c r="D63" s="359" t="s">
        <v>37</v>
      </c>
      <c r="E63" s="359" t="s">
        <v>3</v>
      </c>
      <c r="F63" s="430" t="s">
        <v>110</v>
      </c>
      <c r="G63" s="430"/>
      <c r="H63" s="430"/>
      <c r="I63" s="430"/>
      <c r="J63" s="430"/>
      <c r="K63" s="430" t="s">
        <v>39</v>
      </c>
      <c r="L63" s="430"/>
      <c r="M63" s="359" t="s">
        <v>40</v>
      </c>
      <c r="N63" s="430" t="s">
        <v>41</v>
      </c>
      <c r="O63" s="430"/>
      <c r="P63" s="427" t="s">
        <v>42</v>
      </c>
      <c r="Q63" s="429"/>
      <c r="R63" s="427" t="s">
        <v>43</v>
      </c>
      <c r="S63" s="428"/>
      <c r="T63" s="428"/>
      <c r="U63" s="428"/>
      <c r="V63" s="428"/>
      <c r="W63" s="428"/>
      <c r="X63" s="428"/>
      <c r="Y63" s="428"/>
      <c r="Z63" s="428"/>
      <c r="AA63" s="429"/>
      <c r="AB63" s="430" t="s">
        <v>44</v>
      </c>
      <c r="AC63" s="430"/>
      <c r="AD63" s="431"/>
      <c r="AF63" s="93">
        <f>SUM(AF60:AF62)</f>
        <v>96000</v>
      </c>
    </row>
    <row r="64" spans="1:32" ht="25.5" customHeight="1">
      <c r="A64" s="422">
        <v>1</v>
      </c>
      <c r="B64" s="423"/>
      <c r="C64" s="123"/>
      <c r="D64" s="362"/>
      <c r="E64" s="360"/>
      <c r="F64" s="424"/>
      <c r="G64" s="416"/>
      <c r="H64" s="416"/>
      <c r="I64" s="416"/>
      <c r="J64" s="416"/>
      <c r="K64" s="416"/>
      <c r="L64" s="416"/>
      <c r="M64" s="54"/>
      <c r="N64" s="416"/>
      <c r="O64" s="416"/>
      <c r="P64" s="425"/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2</v>
      </c>
      <c r="B65" s="423"/>
      <c r="C65" s="123"/>
      <c r="D65" s="362"/>
      <c r="E65" s="360"/>
      <c r="F65" s="424"/>
      <c r="G65" s="416"/>
      <c r="H65" s="416"/>
      <c r="I65" s="416"/>
      <c r="J65" s="416"/>
      <c r="K65" s="416"/>
      <c r="L65" s="416"/>
      <c r="M65" s="54"/>
      <c r="N65" s="416"/>
      <c r="O65" s="416"/>
      <c r="P65" s="425"/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3</v>
      </c>
      <c r="B66" s="423"/>
      <c r="C66" s="123"/>
      <c r="D66" s="362"/>
      <c r="E66" s="360"/>
      <c r="F66" s="424"/>
      <c r="G66" s="416"/>
      <c r="H66" s="416"/>
      <c r="I66" s="416"/>
      <c r="J66" s="416"/>
      <c r="K66" s="416"/>
      <c r="L66" s="416"/>
      <c r="M66" s="54"/>
      <c r="N66" s="416"/>
      <c r="O66" s="416"/>
      <c r="P66" s="425"/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4</v>
      </c>
      <c r="B67" s="423"/>
      <c r="C67" s="123"/>
      <c r="D67" s="362"/>
      <c r="E67" s="360"/>
      <c r="F67" s="424"/>
      <c r="G67" s="416"/>
      <c r="H67" s="416"/>
      <c r="I67" s="416"/>
      <c r="J67" s="416"/>
      <c r="K67" s="416"/>
      <c r="L67" s="416"/>
      <c r="M67" s="54"/>
      <c r="N67" s="416"/>
      <c r="O67" s="416"/>
      <c r="P67" s="425"/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5</v>
      </c>
      <c r="B68" s="423"/>
      <c r="C68" s="123"/>
      <c r="D68" s="362"/>
      <c r="E68" s="360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6</v>
      </c>
      <c r="B69" s="423"/>
      <c r="C69" s="123"/>
      <c r="D69" s="362"/>
      <c r="E69" s="360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7</v>
      </c>
      <c r="B70" s="423"/>
      <c r="C70" s="123"/>
      <c r="D70" s="362"/>
      <c r="E70" s="360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5.5" customHeight="1">
      <c r="A71" s="422">
        <v>8</v>
      </c>
      <c r="B71" s="423"/>
      <c r="C71" s="123"/>
      <c r="D71" s="362"/>
      <c r="E71" s="360"/>
      <c r="F71" s="424"/>
      <c r="G71" s="416"/>
      <c r="H71" s="416"/>
      <c r="I71" s="416"/>
      <c r="J71" s="416"/>
      <c r="K71" s="416"/>
      <c r="L71" s="416"/>
      <c r="M71" s="54"/>
      <c r="N71" s="416"/>
      <c r="O71" s="416"/>
      <c r="P71" s="425"/>
      <c r="Q71" s="425"/>
      <c r="R71" s="426"/>
      <c r="S71" s="426"/>
      <c r="T71" s="426"/>
      <c r="U71" s="426"/>
      <c r="V71" s="426"/>
      <c r="W71" s="426"/>
      <c r="X71" s="426"/>
      <c r="Y71" s="426"/>
      <c r="Z71" s="426"/>
      <c r="AA71" s="426"/>
      <c r="AB71" s="416"/>
      <c r="AC71" s="416"/>
      <c r="AD71" s="417"/>
      <c r="AF71" s="53"/>
    </row>
    <row r="72" spans="1:32" ht="26.25" customHeight="1" thickBot="1">
      <c r="A72" s="396" t="s">
        <v>515</v>
      </c>
      <c r="B72" s="396"/>
      <c r="C72" s="396"/>
      <c r="D72" s="396"/>
      <c r="E72" s="396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97" t="s">
        <v>113</v>
      </c>
      <c r="B73" s="398"/>
      <c r="C73" s="361" t="s">
        <v>2</v>
      </c>
      <c r="D73" s="361" t="s">
        <v>37</v>
      </c>
      <c r="E73" s="361" t="s">
        <v>3</v>
      </c>
      <c r="F73" s="398" t="s">
        <v>38</v>
      </c>
      <c r="G73" s="398"/>
      <c r="H73" s="398"/>
      <c r="I73" s="398"/>
      <c r="J73" s="398"/>
      <c r="K73" s="418" t="s">
        <v>58</v>
      </c>
      <c r="L73" s="419"/>
      <c r="M73" s="419"/>
      <c r="N73" s="419"/>
      <c r="O73" s="419"/>
      <c r="P73" s="419"/>
      <c r="Q73" s="419"/>
      <c r="R73" s="419"/>
      <c r="S73" s="420"/>
      <c r="T73" s="398" t="s">
        <v>49</v>
      </c>
      <c r="U73" s="398"/>
      <c r="V73" s="418" t="s">
        <v>50</v>
      </c>
      <c r="W73" s="420"/>
      <c r="X73" s="419" t="s">
        <v>51</v>
      </c>
      <c r="Y73" s="419"/>
      <c r="Z73" s="419"/>
      <c r="AA73" s="419"/>
      <c r="AB73" s="419"/>
      <c r="AC73" s="419"/>
      <c r="AD73" s="421"/>
      <c r="AF73" s="53"/>
    </row>
    <row r="74" spans="1:32" ht="33.75" customHeight="1">
      <c r="A74" s="390">
        <v>1</v>
      </c>
      <c r="B74" s="391"/>
      <c r="C74" s="363" t="s">
        <v>114</v>
      </c>
      <c r="D74" s="363"/>
      <c r="E74" s="71" t="s">
        <v>127</v>
      </c>
      <c r="F74" s="405" t="s">
        <v>126</v>
      </c>
      <c r="G74" s="406"/>
      <c r="H74" s="406"/>
      <c r="I74" s="406"/>
      <c r="J74" s="407"/>
      <c r="K74" s="408" t="s">
        <v>128</v>
      </c>
      <c r="L74" s="409"/>
      <c r="M74" s="409"/>
      <c r="N74" s="409"/>
      <c r="O74" s="409"/>
      <c r="P74" s="409"/>
      <c r="Q74" s="409"/>
      <c r="R74" s="409"/>
      <c r="S74" s="410"/>
      <c r="T74" s="411">
        <v>43384</v>
      </c>
      <c r="U74" s="412"/>
      <c r="V74" s="413"/>
      <c r="W74" s="413"/>
      <c r="X74" s="414"/>
      <c r="Y74" s="414"/>
      <c r="Z74" s="414"/>
      <c r="AA74" s="414"/>
      <c r="AB74" s="414"/>
      <c r="AC74" s="414"/>
      <c r="AD74" s="415"/>
      <c r="AF74" s="53"/>
    </row>
    <row r="75" spans="1:32" ht="30" customHeight="1">
      <c r="A75" s="383">
        <f>A74+1</f>
        <v>2</v>
      </c>
      <c r="B75" s="384"/>
      <c r="C75" s="362"/>
      <c r="D75" s="362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ref="A76:A82" si="20">A75+1</f>
        <v>3</v>
      </c>
      <c r="B76" s="384"/>
      <c r="C76" s="362"/>
      <c r="D76" s="362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20"/>
        <v>4</v>
      </c>
      <c r="B77" s="384"/>
      <c r="C77" s="362"/>
      <c r="D77" s="362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20"/>
        <v>5</v>
      </c>
      <c r="B78" s="384"/>
      <c r="C78" s="362"/>
      <c r="D78" s="362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20"/>
        <v>6</v>
      </c>
      <c r="B79" s="384"/>
      <c r="C79" s="362"/>
      <c r="D79" s="362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20"/>
        <v>7</v>
      </c>
      <c r="B80" s="384"/>
      <c r="C80" s="362"/>
      <c r="D80" s="362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20"/>
        <v>8</v>
      </c>
      <c r="B81" s="384"/>
      <c r="C81" s="362"/>
      <c r="D81" s="362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0" customHeight="1">
      <c r="A82" s="383">
        <f t="shared" si="20"/>
        <v>9</v>
      </c>
      <c r="B82" s="384"/>
      <c r="C82" s="362"/>
      <c r="D82" s="362"/>
      <c r="E82" s="35"/>
      <c r="F82" s="384"/>
      <c r="G82" s="384"/>
      <c r="H82" s="384"/>
      <c r="I82" s="384"/>
      <c r="J82" s="384"/>
      <c r="K82" s="399"/>
      <c r="L82" s="400"/>
      <c r="M82" s="400"/>
      <c r="N82" s="400"/>
      <c r="O82" s="400"/>
      <c r="P82" s="400"/>
      <c r="Q82" s="400"/>
      <c r="R82" s="400"/>
      <c r="S82" s="401"/>
      <c r="T82" s="402"/>
      <c r="U82" s="402"/>
      <c r="V82" s="402"/>
      <c r="W82" s="402"/>
      <c r="X82" s="403"/>
      <c r="Y82" s="403"/>
      <c r="Z82" s="403"/>
      <c r="AA82" s="403"/>
      <c r="AB82" s="403"/>
      <c r="AC82" s="403"/>
      <c r="AD82" s="404"/>
      <c r="AF82" s="53"/>
    </row>
    <row r="83" spans="1:32" ht="36" thickBot="1">
      <c r="A83" s="396" t="s">
        <v>516</v>
      </c>
      <c r="B83" s="396"/>
      <c r="C83" s="396"/>
      <c r="D83" s="396"/>
      <c r="E83" s="396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97" t="s">
        <v>113</v>
      </c>
      <c r="B84" s="398"/>
      <c r="C84" s="388" t="s">
        <v>52</v>
      </c>
      <c r="D84" s="388"/>
      <c r="E84" s="388" t="s">
        <v>53</v>
      </c>
      <c r="F84" s="388"/>
      <c r="G84" s="388"/>
      <c r="H84" s="388"/>
      <c r="I84" s="388"/>
      <c r="J84" s="388"/>
      <c r="K84" s="388" t="s">
        <v>54</v>
      </c>
      <c r="L84" s="388"/>
      <c r="M84" s="388"/>
      <c r="N84" s="388"/>
      <c r="O84" s="388"/>
      <c r="P84" s="388"/>
      <c r="Q84" s="388"/>
      <c r="R84" s="388"/>
      <c r="S84" s="388"/>
      <c r="T84" s="388" t="s">
        <v>55</v>
      </c>
      <c r="U84" s="388"/>
      <c r="V84" s="388" t="s">
        <v>56</v>
      </c>
      <c r="W84" s="388"/>
      <c r="X84" s="388"/>
      <c r="Y84" s="388" t="s">
        <v>51</v>
      </c>
      <c r="Z84" s="388"/>
      <c r="AA84" s="388"/>
      <c r="AB84" s="388"/>
      <c r="AC84" s="388"/>
      <c r="AD84" s="389"/>
      <c r="AF84" s="53"/>
    </row>
    <row r="85" spans="1:32" ht="30.75" customHeight="1">
      <c r="A85" s="390">
        <v>1</v>
      </c>
      <c r="B85" s="391"/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3"/>
      <c r="W85" s="393"/>
      <c r="X85" s="393"/>
      <c r="Y85" s="394"/>
      <c r="Z85" s="394"/>
      <c r="AA85" s="394"/>
      <c r="AB85" s="394"/>
      <c r="AC85" s="394"/>
      <c r="AD85" s="395"/>
      <c r="AF85" s="53"/>
    </row>
    <row r="86" spans="1:32" ht="30.75" customHeight="1">
      <c r="A86" s="383">
        <v>2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6"/>
      <c r="U86" s="386"/>
      <c r="V86" s="387"/>
      <c r="W86" s="387"/>
      <c r="X86" s="387"/>
      <c r="Y86" s="376"/>
      <c r="Z86" s="376"/>
      <c r="AA86" s="376"/>
      <c r="AB86" s="376"/>
      <c r="AC86" s="376"/>
      <c r="AD86" s="377"/>
      <c r="AF86" s="53"/>
    </row>
    <row r="87" spans="1:32" ht="30.75" customHeight="1" thickBot="1">
      <c r="A87" s="378">
        <v>3</v>
      </c>
      <c r="B87" s="379"/>
      <c r="C87" s="380"/>
      <c r="D87" s="380"/>
      <c r="E87" s="380"/>
      <c r="F87" s="380"/>
      <c r="G87" s="380"/>
      <c r="H87" s="380"/>
      <c r="I87" s="380"/>
      <c r="J87" s="380"/>
      <c r="K87" s="380"/>
      <c r="L87" s="380"/>
      <c r="M87" s="380"/>
      <c r="N87" s="380"/>
      <c r="O87" s="380"/>
      <c r="P87" s="380"/>
      <c r="Q87" s="380"/>
      <c r="R87" s="380"/>
      <c r="S87" s="380"/>
      <c r="T87" s="380"/>
      <c r="U87" s="380"/>
      <c r="V87" s="380"/>
      <c r="W87" s="380"/>
      <c r="X87" s="380"/>
      <c r="Y87" s="381"/>
      <c r="Z87" s="381"/>
      <c r="AA87" s="381"/>
      <c r="AB87" s="381"/>
      <c r="AC87" s="381"/>
      <c r="AD87" s="382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8396-3016-4BCA-90DD-5DF044227586}">
  <sheetPr>
    <pageSetUpPr fitToPage="1"/>
  </sheetPr>
  <dimension ref="A1:AF86"/>
  <sheetViews>
    <sheetView tabSelected="1" zoomScale="72" zoomScaleNormal="72" zoomScaleSheetLayoutView="70" workbookViewId="0">
      <selection activeCell="T12" sqref="T1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517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374" t="s">
        <v>17</v>
      </c>
      <c r="L5" s="374" t="s">
        <v>18</v>
      </c>
      <c r="M5" s="374" t="s">
        <v>19</v>
      </c>
      <c r="N5" s="37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 t="shared" ref="K6:K15" si="0">L6</f>
        <v>0</v>
      </c>
      <c r="L6" s="15"/>
      <c r="M6" s="16">
        <f t="shared" ref="M6:M20" si="1">L6-N6</f>
        <v>0</v>
      </c>
      <c r="N6" s="16">
        <v>0</v>
      </c>
      <c r="O6" s="62" t="str">
        <f t="shared" ref="O6:O21" si="2">IF(L6=0,"0",N6/L6)</f>
        <v>0</v>
      </c>
      <c r="P6" s="42" t="str">
        <f t="shared" ref="P6:P20" si="3">IF(L6=0,"0",(24-Q6))</f>
        <v>0</v>
      </c>
      <c r="Q6" s="43">
        <f t="shared" ref="Q6:Q20" si="4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9">
        <f t="shared" ref="AE6:AE20" si="8">$AD$21</f>
        <v>0.52222222222222225</v>
      </c>
      <c r="AF6" s="93">
        <f t="shared" ref="AF6:AF20" si="9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 t="shared" si="0"/>
        <v>0</v>
      </c>
      <c r="L7" s="15"/>
      <c r="M7" s="16">
        <f t="shared" si="1"/>
        <v>0</v>
      </c>
      <c r="N7" s="16">
        <v>0</v>
      </c>
      <c r="O7" s="62" t="str">
        <f t="shared" si="2"/>
        <v>0</v>
      </c>
      <c r="P7" s="42" t="str">
        <f t="shared" si="3"/>
        <v>0</v>
      </c>
      <c r="Q7" s="43">
        <f t="shared" si="4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9">
        <f t="shared" si="8"/>
        <v>0.52222222222222225</v>
      </c>
      <c r="AF7" s="93">
        <f t="shared" si="9"/>
        <v>2</v>
      </c>
    </row>
    <row r="8" spans="1:32" ht="27" customHeight="1">
      <c r="A8" s="108">
        <v>3</v>
      </c>
      <c r="B8" s="11" t="s">
        <v>57</v>
      </c>
      <c r="C8" s="37" t="s">
        <v>123</v>
      </c>
      <c r="D8" s="55" t="s">
        <v>268</v>
      </c>
      <c r="E8" s="57" t="s">
        <v>269</v>
      </c>
      <c r="F8" s="33" t="s">
        <v>129</v>
      </c>
      <c r="G8" s="36" t="s">
        <v>240</v>
      </c>
      <c r="H8" s="38">
        <v>24</v>
      </c>
      <c r="I8" s="7">
        <v>1300</v>
      </c>
      <c r="J8" s="5">
        <v>1570</v>
      </c>
      <c r="K8" s="15">
        <f t="shared" si="0"/>
        <v>1570</v>
      </c>
      <c r="L8" s="15">
        <f>1570</f>
        <v>1570</v>
      </c>
      <c r="M8" s="16">
        <f t="shared" si="1"/>
        <v>1570</v>
      </c>
      <c r="N8" s="16">
        <v>0</v>
      </c>
      <c r="O8" s="62">
        <f t="shared" si="2"/>
        <v>0</v>
      </c>
      <c r="P8" s="42">
        <f t="shared" si="3"/>
        <v>10</v>
      </c>
      <c r="Q8" s="43">
        <f t="shared" si="4"/>
        <v>14</v>
      </c>
      <c r="R8" s="7"/>
      <c r="S8" s="6"/>
      <c r="T8" s="17"/>
      <c r="U8" s="17"/>
      <c r="V8" s="18"/>
      <c r="W8" s="19">
        <v>14</v>
      </c>
      <c r="X8" s="17"/>
      <c r="Y8" s="20"/>
      <c r="Z8" s="20"/>
      <c r="AA8" s="21"/>
      <c r="AB8" s="8">
        <f t="shared" si="5"/>
        <v>1</v>
      </c>
      <c r="AC8" s="9">
        <f t="shared" si="6"/>
        <v>0.41666666666666669</v>
      </c>
      <c r="AD8" s="10">
        <f t="shared" si="7"/>
        <v>0.41666666666666669</v>
      </c>
      <c r="AE8" s="39">
        <f t="shared" si="8"/>
        <v>0.52222222222222225</v>
      </c>
      <c r="AF8" s="93">
        <f t="shared" si="9"/>
        <v>3</v>
      </c>
    </row>
    <row r="9" spans="1:32" ht="27" customHeight="1">
      <c r="A9" s="109">
        <v>4</v>
      </c>
      <c r="B9" s="11"/>
      <c r="C9" s="11"/>
      <c r="D9" s="55"/>
      <c r="E9" s="57"/>
      <c r="F9" s="33"/>
      <c r="G9" s="36"/>
      <c r="H9" s="38"/>
      <c r="I9" s="7"/>
      <c r="J9" s="14">
        <v>0</v>
      </c>
      <c r="K9" s="15">
        <f t="shared" si="0"/>
        <v>0</v>
      </c>
      <c r="L9" s="15"/>
      <c r="M9" s="16">
        <f t="shared" si="1"/>
        <v>0</v>
      </c>
      <c r="N9" s="16">
        <v>0</v>
      </c>
      <c r="O9" s="62" t="str">
        <f t="shared" si="2"/>
        <v>0</v>
      </c>
      <c r="P9" s="42" t="str">
        <f t="shared" si="3"/>
        <v>0</v>
      </c>
      <c r="Q9" s="43">
        <f t="shared" si="4"/>
        <v>24</v>
      </c>
      <c r="R9" s="7"/>
      <c r="S9" s="6"/>
      <c r="T9" s="17"/>
      <c r="U9" s="17"/>
      <c r="V9" s="18"/>
      <c r="W9" s="19"/>
      <c r="X9" s="17"/>
      <c r="Y9" s="20"/>
      <c r="Z9" s="20"/>
      <c r="AA9" s="21">
        <v>24</v>
      </c>
      <c r="AB9" s="8" t="str">
        <f t="shared" si="5"/>
        <v>0</v>
      </c>
      <c r="AC9" s="9">
        <f t="shared" si="6"/>
        <v>0</v>
      </c>
      <c r="AD9" s="10">
        <f t="shared" si="7"/>
        <v>0</v>
      </c>
      <c r="AE9" s="39">
        <f t="shared" si="8"/>
        <v>0.52222222222222225</v>
      </c>
      <c r="AF9" s="93">
        <f t="shared" si="9"/>
        <v>4</v>
      </c>
    </row>
    <row r="10" spans="1:32" ht="27" customHeight="1">
      <c r="A10" s="109">
        <v>5</v>
      </c>
      <c r="B10" s="11" t="s">
        <v>57</v>
      </c>
      <c r="C10" s="11" t="s">
        <v>491</v>
      </c>
      <c r="D10" s="55"/>
      <c r="E10" s="57" t="s">
        <v>512</v>
      </c>
      <c r="F10" s="12">
        <v>7301</v>
      </c>
      <c r="G10" s="12">
        <v>1</v>
      </c>
      <c r="H10" s="13">
        <v>24</v>
      </c>
      <c r="I10" s="7">
        <v>2000</v>
      </c>
      <c r="J10" s="14">
        <v>6301</v>
      </c>
      <c r="K10" s="15">
        <f>L10</f>
        <v>6301</v>
      </c>
      <c r="L10" s="15">
        <f>2377+3924</f>
        <v>6301</v>
      </c>
      <c r="M10" s="16">
        <f t="shared" si="1"/>
        <v>6301</v>
      </c>
      <c r="N10" s="16">
        <v>0</v>
      </c>
      <c r="O10" s="62">
        <f t="shared" si="2"/>
        <v>0</v>
      </c>
      <c r="P10" s="42">
        <f t="shared" si="3"/>
        <v>24</v>
      </c>
      <c r="Q10" s="43">
        <f t="shared" si="4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5"/>
        <v>1</v>
      </c>
      <c r="AC10" s="9">
        <f t="shared" si="6"/>
        <v>1</v>
      </c>
      <c r="AD10" s="10">
        <f t="shared" si="7"/>
        <v>1</v>
      </c>
      <c r="AE10" s="39">
        <f t="shared" si="8"/>
        <v>0.52222222222222225</v>
      </c>
      <c r="AF10" s="93">
        <f t="shared" si="9"/>
        <v>5</v>
      </c>
    </row>
    <row r="11" spans="1:32" ht="27" customHeight="1">
      <c r="A11" s="109">
        <v>6</v>
      </c>
      <c r="B11" s="11" t="s">
        <v>57</v>
      </c>
      <c r="C11" s="11" t="s">
        <v>123</v>
      </c>
      <c r="D11" s="55" t="s">
        <v>202</v>
      </c>
      <c r="E11" s="57" t="s">
        <v>331</v>
      </c>
      <c r="F11" s="12" t="s">
        <v>131</v>
      </c>
      <c r="G11" s="12">
        <v>2</v>
      </c>
      <c r="H11" s="13">
        <v>22</v>
      </c>
      <c r="I11" s="7">
        <v>12000</v>
      </c>
      <c r="J11" s="14">
        <v>12728</v>
      </c>
      <c r="K11" s="15">
        <f>L11</f>
        <v>12728</v>
      </c>
      <c r="L11" s="15">
        <f>2600*2+3764*2</f>
        <v>12728</v>
      </c>
      <c r="M11" s="16">
        <f t="shared" si="1"/>
        <v>12728</v>
      </c>
      <c r="N11" s="16">
        <v>0</v>
      </c>
      <c r="O11" s="62">
        <f t="shared" si="2"/>
        <v>0</v>
      </c>
      <c r="P11" s="42">
        <f t="shared" si="3"/>
        <v>24</v>
      </c>
      <c r="Q11" s="43">
        <f t="shared" si="4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5"/>
        <v>1</v>
      </c>
      <c r="AC11" s="9">
        <f t="shared" si="6"/>
        <v>1</v>
      </c>
      <c r="AD11" s="10">
        <f t="shared" si="7"/>
        <v>1</v>
      </c>
      <c r="AE11" s="39">
        <f t="shared" si="8"/>
        <v>0.52222222222222225</v>
      </c>
      <c r="AF11" s="93">
        <f t="shared" si="9"/>
        <v>6</v>
      </c>
    </row>
    <row r="12" spans="1:32" ht="27" customHeight="1">
      <c r="A12" s="109">
        <v>7</v>
      </c>
      <c r="B12" s="11"/>
      <c r="C12" s="11"/>
      <c r="D12" s="55"/>
      <c r="E12" s="57"/>
      <c r="F12" s="33"/>
      <c r="G12" s="36"/>
      <c r="H12" s="38"/>
      <c r="I12" s="7"/>
      <c r="J12" s="14"/>
      <c r="K12" s="15"/>
      <c r="L12" s="15"/>
      <c r="M12" s="16">
        <f t="shared" si="1"/>
        <v>0</v>
      </c>
      <c r="N12" s="16">
        <v>0</v>
      </c>
      <c r="O12" s="62" t="str">
        <f t="shared" si="2"/>
        <v>0</v>
      </c>
      <c r="P12" s="42" t="str">
        <f t="shared" si="3"/>
        <v>0</v>
      </c>
      <c r="Q12" s="43">
        <f t="shared" si="4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 t="str">
        <f t="shared" si="5"/>
        <v>0</v>
      </c>
      <c r="AC12" s="9">
        <f t="shared" si="6"/>
        <v>0</v>
      </c>
      <c r="AD12" s="10">
        <f t="shared" si="7"/>
        <v>0</v>
      </c>
      <c r="AE12" s="39">
        <f t="shared" si="8"/>
        <v>0.52222222222222225</v>
      </c>
      <c r="AF12" s="93">
        <f t="shared" si="9"/>
        <v>7</v>
      </c>
    </row>
    <row r="13" spans="1:32" ht="27" customHeight="1">
      <c r="A13" s="109">
        <v>8</v>
      </c>
      <c r="B13" s="11" t="s">
        <v>57</v>
      </c>
      <c r="C13" s="11" t="s">
        <v>300</v>
      </c>
      <c r="D13" s="55" t="s">
        <v>507</v>
      </c>
      <c r="E13" s="57" t="s">
        <v>508</v>
      </c>
      <c r="F13" s="33" t="s">
        <v>140</v>
      </c>
      <c r="G13" s="36">
        <v>1</v>
      </c>
      <c r="H13" s="38">
        <v>40</v>
      </c>
      <c r="I13" s="7">
        <v>3000</v>
      </c>
      <c r="J13" s="14">
        <v>3272</v>
      </c>
      <c r="K13" s="15">
        <f>L13+3005</f>
        <v>6277</v>
      </c>
      <c r="L13" s="15">
        <f>536+2736</f>
        <v>3272</v>
      </c>
      <c r="M13" s="16">
        <f t="shared" si="1"/>
        <v>3272</v>
      </c>
      <c r="N13" s="16">
        <v>0</v>
      </c>
      <c r="O13" s="62">
        <f t="shared" si="2"/>
        <v>0</v>
      </c>
      <c r="P13" s="42">
        <f t="shared" si="3"/>
        <v>17</v>
      </c>
      <c r="Q13" s="43">
        <f t="shared" si="4"/>
        <v>7</v>
      </c>
      <c r="R13" s="7"/>
      <c r="S13" s="6"/>
      <c r="T13" s="17"/>
      <c r="U13" s="17"/>
      <c r="V13" s="18"/>
      <c r="W13" s="19">
        <v>7</v>
      </c>
      <c r="X13" s="17"/>
      <c r="Y13" s="20"/>
      <c r="Z13" s="20"/>
      <c r="AA13" s="21"/>
      <c r="AB13" s="8">
        <f t="shared" si="5"/>
        <v>1</v>
      </c>
      <c r="AC13" s="9">
        <f t="shared" si="6"/>
        <v>0.70833333333333337</v>
      </c>
      <c r="AD13" s="10">
        <f t="shared" si="7"/>
        <v>0.70833333333333337</v>
      </c>
      <c r="AE13" s="39">
        <f t="shared" si="8"/>
        <v>0.52222222222222225</v>
      </c>
      <c r="AF13" s="93">
        <f t="shared" si="9"/>
        <v>8</v>
      </c>
    </row>
    <row r="14" spans="1:32" ht="27" customHeight="1">
      <c r="A14" s="125">
        <v>9</v>
      </c>
      <c r="B14" s="11"/>
      <c r="C14" s="37"/>
      <c r="D14" s="55"/>
      <c r="E14" s="57"/>
      <c r="F14" s="33"/>
      <c r="G14" s="36"/>
      <c r="H14" s="38"/>
      <c r="I14" s="7"/>
      <c r="J14" s="5">
        <v>0</v>
      </c>
      <c r="K14" s="15">
        <f t="shared" si="0"/>
        <v>0</v>
      </c>
      <c r="L14" s="15"/>
      <c r="M14" s="16">
        <f t="shared" si="1"/>
        <v>0</v>
      </c>
      <c r="N14" s="16">
        <v>0</v>
      </c>
      <c r="O14" s="62" t="str">
        <f t="shared" si="2"/>
        <v>0</v>
      </c>
      <c r="P14" s="42" t="str">
        <f t="shared" si="3"/>
        <v>0</v>
      </c>
      <c r="Q14" s="43">
        <f t="shared" si="4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 t="str">
        <f t="shared" si="5"/>
        <v>0</v>
      </c>
      <c r="AC14" s="9">
        <f t="shared" si="6"/>
        <v>0</v>
      </c>
      <c r="AD14" s="10">
        <f t="shared" si="7"/>
        <v>0</v>
      </c>
      <c r="AE14" s="39">
        <f t="shared" si="8"/>
        <v>0.52222222222222225</v>
      </c>
      <c r="AF14" s="93">
        <f t="shared" si="9"/>
        <v>9</v>
      </c>
    </row>
    <row r="15" spans="1:32" ht="27" customHeight="1">
      <c r="A15" s="108">
        <v>10</v>
      </c>
      <c r="B15" s="11"/>
      <c r="C15" s="37"/>
      <c r="D15" s="55"/>
      <c r="E15" s="57"/>
      <c r="F15" s="12"/>
      <c r="G15" s="12"/>
      <c r="H15" s="13"/>
      <c r="I15" s="34"/>
      <c r="J15" s="14">
        <v>0</v>
      </c>
      <c r="K15" s="15">
        <f t="shared" si="0"/>
        <v>0</v>
      </c>
      <c r="L15" s="15"/>
      <c r="M15" s="16">
        <f t="shared" si="1"/>
        <v>0</v>
      </c>
      <c r="N15" s="16">
        <v>0</v>
      </c>
      <c r="O15" s="62" t="str">
        <f t="shared" si="2"/>
        <v>0</v>
      </c>
      <c r="P15" s="42" t="str">
        <f t="shared" si="3"/>
        <v>0</v>
      </c>
      <c r="Q15" s="43">
        <f t="shared" si="4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 t="str">
        <f t="shared" si="5"/>
        <v>0</v>
      </c>
      <c r="AC15" s="9">
        <f t="shared" si="6"/>
        <v>0</v>
      </c>
      <c r="AD15" s="10">
        <f t="shared" si="7"/>
        <v>0</v>
      </c>
      <c r="AE15" s="39">
        <f t="shared" si="8"/>
        <v>0.52222222222222225</v>
      </c>
      <c r="AF15" s="93">
        <f t="shared" si="9"/>
        <v>10</v>
      </c>
    </row>
    <row r="16" spans="1:32" ht="27" customHeight="1">
      <c r="A16" s="108">
        <v>11</v>
      </c>
      <c r="B16" s="11" t="s">
        <v>57</v>
      </c>
      <c r="C16" s="11" t="s">
        <v>491</v>
      </c>
      <c r="D16" s="55"/>
      <c r="E16" s="57" t="s">
        <v>499</v>
      </c>
      <c r="F16" s="12">
        <v>7301</v>
      </c>
      <c r="G16" s="12">
        <v>1</v>
      </c>
      <c r="H16" s="13">
        <v>24</v>
      </c>
      <c r="I16" s="7">
        <v>2000</v>
      </c>
      <c r="J16" s="14">
        <v>3121</v>
      </c>
      <c r="K16" s="15">
        <f>L16+5204</f>
        <v>8325</v>
      </c>
      <c r="L16" s="15">
        <f>556+2565</f>
        <v>3121</v>
      </c>
      <c r="M16" s="16">
        <f t="shared" si="1"/>
        <v>3121</v>
      </c>
      <c r="N16" s="16">
        <v>0</v>
      </c>
      <c r="O16" s="62">
        <f t="shared" si="2"/>
        <v>0</v>
      </c>
      <c r="P16" s="42">
        <f t="shared" si="3"/>
        <v>18</v>
      </c>
      <c r="Q16" s="43">
        <f t="shared" si="4"/>
        <v>6</v>
      </c>
      <c r="R16" s="7"/>
      <c r="S16" s="6"/>
      <c r="T16" s="17"/>
      <c r="U16" s="17"/>
      <c r="V16" s="18"/>
      <c r="W16" s="19">
        <v>6</v>
      </c>
      <c r="X16" s="17"/>
      <c r="Y16" s="20"/>
      <c r="Z16" s="20"/>
      <c r="AA16" s="21"/>
      <c r="AB16" s="8">
        <f t="shared" si="5"/>
        <v>1</v>
      </c>
      <c r="AC16" s="9">
        <f t="shared" si="6"/>
        <v>0.75</v>
      </c>
      <c r="AD16" s="10">
        <f t="shared" si="7"/>
        <v>0.75</v>
      </c>
      <c r="AE16" s="39">
        <f t="shared" si="8"/>
        <v>0.52222222222222225</v>
      </c>
      <c r="AF16" s="93">
        <f t="shared" si="9"/>
        <v>11</v>
      </c>
    </row>
    <row r="17" spans="1:32" ht="27" customHeight="1">
      <c r="A17" s="108">
        <v>12</v>
      </c>
      <c r="B17" s="11" t="s">
        <v>57</v>
      </c>
      <c r="C17" s="37" t="s">
        <v>123</v>
      </c>
      <c r="D17" s="55" t="s">
        <v>124</v>
      </c>
      <c r="E17" s="57" t="s">
        <v>322</v>
      </c>
      <c r="F17" s="12" t="s">
        <v>131</v>
      </c>
      <c r="G17" s="12">
        <v>1</v>
      </c>
      <c r="H17" s="13">
        <v>24</v>
      </c>
      <c r="I17" s="34">
        <v>6000</v>
      </c>
      <c r="J17" s="14">
        <v>6451</v>
      </c>
      <c r="K17" s="15">
        <f>L17</f>
        <v>6451</v>
      </c>
      <c r="L17" s="15">
        <f>2501+3545+405</f>
        <v>6451</v>
      </c>
      <c r="M17" s="16">
        <f t="shared" si="1"/>
        <v>6451</v>
      </c>
      <c r="N17" s="16">
        <v>0</v>
      </c>
      <c r="O17" s="62">
        <f t="shared" si="2"/>
        <v>0</v>
      </c>
      <c r="P17" s="42">
        <f t="shared" si="3"/>
        <v>24</v>
      </c>
      <c r="Q17" s="43">
        <f t="shared" si="4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5"/>
        <v>1</v>
      </c>
      <c r="AC17" s="9">
        <f t="shared" si="6"/>
        <v>1</v>
      </c>
      <c r="AD17" s="10">
        <f t="shared" si="7"/>
        <v>1</v>
      </c>
      <c r="AE17" s="39">
        <f t="shared" si="8"/>
        <v>0.52222222222222225</v>
      </c>
      <c r="AF17" s="93">
        <f t="shared" si="9"/>
        <v>12</v>
      </c>
    </row>
    <row r="18" spans="1:32" ht="27" customHeight="1">
      <c r="A18" s="109">
        <v>13</v>
      </c>
      <c r="B18" s="11" t="s">
        <v>57</v>
      </c>
      <c r="C18" s="37" t="s">
        <v>513</v>
      </c>
      <c r="D18" s="55"/>
      <c r="E18" s="57" t="s">
        <v>518</v>
      </c>
      <c r="F18" s="33" t="s">
        <v>519</v>
      </c>
      <c r="G18" s="36">
        <v>2</v>
      </c>
      <c r="H18" s="38">
        <v>25</v>
      </c>
      <c r="I18" s="7">
        <v>6500</v>
      </c>
      <c r="J18" s="5">
        <v>6954</v>
      </c>
      <c r="K18" s="15">
        <f>L18</f>
        <v>6954</v>
      </c>
      <c r="L18" s="15">
        <f>1284*2+2093*2+100*2</f>
        <v>6954</v>
      </c>
      <c r="M18" s="16">
        <f t="shared" si="1"/>
        <v>6954</v>
      </c>
      <c r="N18" s="16">
        <v>0</v>
      </c>
      <c r="O18" s="62">
        <f t="shared" si="2"/>
        <v>0</v>
      </c>
      <c r="P18" s="42">
        <f t="shared" si="3"/>
        <v>23</v>
      </c>
      <c r="Q18" s="43">
        <f t="shared" si="4"/>
        <v>1</v>
      </c>
      <c r="R18" s="7"/>
      <c r="S18" s="6"/>
      <c r="T18" s="17">
        <v>1</v>
      </c>
      <c r="U18" s="17"/>
      <c r="V18" s="18"/>
      <c r="W18" s="19"/>
      <c r="X18" s="17"/>
      <c r="Y18" s="20"/>
      <c r="Z18" s="20"/>
      <c r="AA18" s="21"/>
      <c r="AB18" s="8">
        <f t="shared" si="5"/>
        <v>1</v>
      </c>
      <c r="AC18" s="9">
        <f t="shared" si="6"/>
        <v>0.95833333333333337</v>
      </c>
      <c r="AD18" s="10">
        <f>AC18*AB18*(1-O18)</f>
        <v>0.95833333333333337</v>
      </c>
      <c r="AE18" s="39">
        <f t="shared" si="8"/>
        <v>0.52222222222222225</v>
      </c>
      <c r="AF18" s="93">
        <f t="shared" si="9"/>
        <v>13</v>
      </c>
    </row>
    <row r="19" spans="1:32" ht="27" customHeight="1">
      <c r="A19" s="109">
        <v>14</v>
      </c>
      <c r="B19" s="11" t="s">
        <v>57</v>
      </c>
      <c r="C19" s="37" t="s">
        <v>123</v>
      </c>
      <c r="D19" s="55" t="s">
        <v>117</v>
      </c>
      <c r="E19" s="57" t="s">
        <v>153</v>
      </c>
      <c r="F19" s="12" t="s">
        <v>129</v>
      </c>
      <c r="G19" s="36">
        <v>4</v>
      </c>
      <c r="H19" s="38">
        <v>24</v>
      </c>
      <c r="I19" s="7">
        <v>400000</v>
      </c>
      <c r="J19" s="5">
        <v>17176</v>
      </c>
      <c r="K19" s="15">
        <f>L19+12380+14384+22568+16460+13888+20848+20972+20888+19996+10224+14424+21632+20220+19704+9284+22304+15876+16404+16660+17141+13660+19120+18700+19248</f>
        <v>434161</v>
      </c>
      <c r="L19" s="15">
        <f>2267*4+2027*4</f>
        <v>17176</v>
      </c>
      <c r="M19" s="16">
        <f t="shared" si="1"/>
        <v>17176</v>
      </c>
      <c r="N19" s="16">
        <v>0</v>
      </c>
      <c r="O19" s="62">
        <f t="shared" si="2"/>
        <v>0</v>
      </c>
      <c r="P19" s="42">
        <f t="shared" si="3"/>
        <v>24</v>
      </c>
      <c r="Q19" s="43">
        <f t="shared" si="4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9">
        <f t="shared" si="8"/>
        <v>0.52222222222222225</v>
      </c>
      <c r="AF19" s="93">
        <f t="shared" si="9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509</v>
      </c>
      <c r="F20" s="12" t="s">
        <v>116</v>
      </c>
      <c r="G20" s="12">
        <v>4</v>
      </c>
      <c r="H20" s="38">
        <v>20</v>
      </c>
      <c r="I20" s="7">
        <v>100000</v>
      </c>
      <c r="J20" s="14">
        <v>82568</v>
      </c>
      <c r="K20" s="15">
        <f>L20+38852</f>
        <v>121420</v>
      </c>
      <c r="L20" s="15">
        <f>9516*4+11126*4</f>
        <v>82568</v>
      </c>
      <c r="M20" s="16">
        <f t="shared" si="1"/>
        <v>82568</v>
      </c>
      <c r="N20" s="16">
        <v>0</v>
      </c>
      <c r="O20" s="62">
        <f t="shared" si="2"/>
        <v>0</v>
      </c>
      <c r="P20" s="42">
        <f t="shared" si="3"/>
        <v>24</v>
      </c>
      <c r="Q20" s="43">
        <f t="shared" si="4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5"/>
        <v>1</v>
      </c>
      <c r="AC20" s="9">
        <f t="shared" si="6"/>
        <v>1</v>
      </c>
      <c r="AD20" s="10">
        <f t="shared" si="7"/>
        <v>1</v>
      </c>
      <c r="AE20" s="39">
        <f t="shared" si="8"/>
        <v>0.52222222222222225</v>
      </c>
      <c r="AF20" s="93">
        <f t="shared" si="9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10">SUM(I6:I20)</f>
        <v>532800</v>
      </c>
      <c r="J21" s="22">
        <f t="shared" si="10"/>
        <v>140141</v>
      </c>
      <c r="K21" s="23">
        <f t="shared" si="10"/>
        <v>604187</v>
      </c>
      <c r="L21" s="24">
        <f t="shared" si="10"/>
        <v>140141</v>
      </c>
      <c r="M21" s="23">
        <f t="shared" si="10"/>
        <v>140141</v>
      </c>
      <c r="N21" s="24">
        <f t="shared" si="10"/>
        <v>0</v>
      </c>
      <c r="O21" s="44">
        <f t="shared" si="2"/>
        <v>0</v>
      </c>
      <c r="P21" s="45">
        <f t="shared" ref="P21:AA21" si="11">SUM(P6:P20)</f>
        <v>188</v>
      </c>
      <c r="Q21" s="46">
        <f t="shared" si="11"/>
        <v>172</v>
      </c>
      <c r="R21" s="26">
        <f t="shared" si="11"/>
        <v>24</v>
      </c>
      <c r="S21" s="27">
        <f t="shared" si="11"/>
        <v>0</v>
      </c>
      <c r="T21" s="27">
        <f t="shared" si="11"/>
        <v>1</v>
      </c>
      <c r="U21" s="27">
        <f t="shared" si="11"/>
        <v>0</v>
      </c>
      <c r="V21" s="28">
        <f t="shared" si="11"/>
        <v>0</v>
      </c>
      <c r="W21" s="29">
        <f t="shared" si="11"/>
        <v>123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24</v>
      </c>
      <c r="AB21" s="31">
        <f>SUM(AB6:AB20)/15</f>
        <v>0.6</v>
      </c>
      <c r="AC21" s="4">
        <f>SUM(AC6:AC20)/15</f>
        <v>0.52222222222222225</v>
      </c>
      <c r="AD21" s="4">
        <f>SUM(AD6:AD20)/15</f>
        <v>0.52222222222222225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520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314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373" t="s">
        <v>46</v>
      </c>
      <c r="D50" s="373" t="s">
        <v>47</v>
      </c>
      <c r="E50" s="373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373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4" t="s">
        <v>491</v>
      </c>
      <c r="B51" s="435"/>
      <c r="C51" s="370" t="s">
        <v>122</v>
      </c>
      <c r="D51" s="370"/>
      <c r="E51" s="370" t="s">
        <v>512</v>
      </c>
      <c r="F51" s="445" t="s">
        <v>171</v>
      </c>
      <c r="G51" s="446"/>
      <c r="H51" s="446"/>
      <c r="I51" s="446"/>
      <c r="J51" s="446"/>
      <c r="K51" s="446"/>
      <c r="L51" s="446"/>
      <c r="M51" s="447"/>
      <c r="N51" s="369" t="s">
        <v>123</v>
      </c>
      <c r="O51" s="124" t="s">
        <v>122</v>
      </c>
      <c r="P51" s="443" t="s">
        <v>521</v>
      </c>
      <c r="Q51" s="444"/>
      <c r="R51" s="435" t="s">
        <v>293</v>
      </c>
      <c r="S51" s="435"/>
      <c r="T51" s="435"/>
      <c r="U51" s="435"/>
      <c r="V51" s="426" t="s">
        <v>171</v>
      </c>
      <c r="W51" s="426"/>
      <c r="X51" s="426"/>
      <c r="Y51" s="426"/>
      <c r="Z51" s="426"/>
      <c r="AA51" s="426"/>
      <c r="AB51" s="426"/>
      <c r="AC51" s="426"/>
      <c r="AD51" s="436"/>
    </row>
    <row r="52" spans="1:32" ht="27" customHeight="1">
      <c r="A52" s="434" t="s">
        <v>123</v>
      </c>
      <c r="B52" s="435"/>
      <c r="C52" s="370" t="s">
        <v>144</v>
      </c>
      <c r="D52" s="370" t="s">
        <v>202</v>
      </c>
      <c r="E52" s="370" t="s">
        <v>331</v>
      </c>
      <c r="F52" s="445" t="s">
        <v>171</v>
      </c>
      <c r="G52" s="446"/>
      <c r="H52" s="446"/>
      <c r="I52" s="446"/>
      <c r="J52" s="446"/>
      <c r="K52" s="446"/>
      <c r="L52" s="446"/>
      <c r="M52" s="447"/>
      <c r="N52" s="369" t="s">
        <v>123</v>
      </c>
      <c r="O52" s="124" t="s">
        <v>219</v>
      </c>
      <c r="P52" s="435" t="s">
        <v>227</v>
      </c>
      <c r="Q52" s="435"/>
      <c r="R52" s="435" t="s">
        <v>141</v>
      </c>
      <c r="S52" s="435"/>
      <c r="T52" s="435"/>
      <c r="U52" s="435"/>
      <c r="V52" s="426" t="s">
        <v>171</v>
      </c>
      <c r="W52" s="426"/>
      <c r="X52" s="426"/>
      <c r="Y52" s="426"/>
      <c r="Z52" s="426"/>
      <c r="AA52" s="426"/>
      <c r="AB52" s="426"/>
      <c r="AC52" s="426"/>
      <c r="AD52" s="436"/>
    </row>
    <row r="53" spans="1:32" ht="27" customHeight="1">
      <c r="A53" s="434" t="s">
        <v>123</v>
      </c>
      <c r="B53" s="435"/>
      <c r="C53" s="370" t="s">
        <v>154</v>
      </c>
      <c r="D53" s="370" t="s">
        <v>268</v>
      </c>
      <c r="E53" s="370" t="s">
        <v>269</v>
      </c>
      <c r="F53" s="445" t="s">
        <v>171</v>
      </c>
      <c r="G53" s="446"/>
      <c r="H53" s="446"/>
      <c r="I53" s="446"/>
      <c r="J53" s="446"/>
      <c r="K53" s="446"/>
      <c r="L53" s="446"/>
      <c r="M53" s="447"/>
      <c r="N53" s="369" t="s">
        <v>115</v>
      </c>
      <c r="O53" s="124" t="s">
        <v>414</v>
      </c>
      <c r="P53" s="435"/>
      <c r="Q53" s="435"/>
      <c r="R53" s="435" t="s">
        <v>133</v>
      </c>
      <c r="S53" s="435"/>
      <c r="T53" s="435"/>
      <c r="U53" s="435"/>
      <c r="V53" s="426" t="s">
        <v>171</v>
      </c>
      <c r="W53" s="426"/>
      <c r="X53" s="426"/>
      <c r="Y53" s="426"/>
      <c r="Z53" s="426"/>
      <c r="AA53" s="426"/>
      <c r="AB53" s="426"/>
      <c r="AC53" s="426"/>
      <c r="AD53" s="436"/>
    </row>
    <row r="54" spans="1:32" ht="27" customHeight="1">
      <c r="A54" s="434" t="s">
        <v>123</v>
      </c>
      <c r="B54" s="435"/>
      <c r="C54" s="370" t="s">
        <v>249</v>
      </c>
      <c r="D54" s="370" t="s">
        <v>124</v>
      </c>
      <c r="E54" s="370" t="s">
        <v>322</v>
      </c>
      <c r="F54" s="445" t="s">
        <v>171</v>
      </c>
      <c r="G54" s="446"/>
      <c r="H54" s="446"/>
      <c r="I54" s="446"/>
      <c r="J54" s="446"/>
      <c r="K54" s="446"/>
      <c r="L54" s="446"/>
      <c r="M54" s="447"/>
      <c r="N54" s="369"/>
      <c r="O54" s="124"/>
      <c r="P54" s="443"/>
      <c r="Q54" s="444"/>
      <c r="R54" s="435"/>
      <c r="S54" s="435"/>
      <c r="T54" s="435"/>
      <c r="U54" s="435"/>
      <c r="V54" s="426"/>
      <c r="W54" s="426"/>
      <c r="X54" s="426"/>
      <c r="Y54" s="426"/>
      <c r="Z54" s="426"/>
      <c r="AA54" s="426"/>
      <c r="AB54" s="426"/>
      <c r="AC54" s="426"/>
      <c r="AD54" s="436"/>
    </row>
    <row r="55" spans="1:32" ht="27" customHeight="1">
      <c r="A55" s="434" t="s">
        <v>513</v>
      </c>
      <c r="B55" s="435"/>
      <c r="C55" s="370" t="s">
        <v>166</v>
      </c>
      <c r="D55" s="370"/>
      <c r="E55" s="370" t="s">
        <v>155</v>
      </c>
      <c r="F55" s="445" t="s">
        <v>171</v>
      </c>
      <c r="G55" s="446"/>
      <c r="H55" s="446"/>
      <c r="I55" s="446"/>
      <c r="J55" s="446"/>
      <c r="K55" s="446"/>
      <c r="L55" s="446"/>
      <c r="M55" s="447"/>
      <c r="N55" s="369"/>
      <c r="O55" s="124"/>
      <c r="P55" s="435"/>
      <c r="Q55" s="435"/>
      <c r="R55" s="435"/>
      <c r="S55" s="435"/>
      <c r="T55" s="435"/>
      <c r="U55" s="435"/>
      <c r="V55" s="426"/>
      <c r="W55" s="426"/>
      <c r="X55" s="426"/>
      <c r="Y55" s="426"/>
      <c r="Z55" s="426"/>
      <c r="AA55" s="426"/>
      <c r="AB55" s="426"/>
      <c r="AC55" s="426"/>
      <c r="AD55" s="436"/>
    </row>
    <row r="56" spans="1:32" ht="27" customHeight="1">
      <c r="A56" s="434"/>
      <c r="B56" s="435"/>
      <c r="C56" s="370"/>
      <c r="D56" s="370"/>
      <c r="E56" s="370"/>
      <c r="F56" s="445"/>
      <c r="G56" s="446"/>
      <c r="H56" s="446"/>
      <c r="I56" s="446"/>
      <c r="J56" s="446"/>
      <c r="K56" s="446"/>
      <c r="L56" s="446"/>
      <c r="M56" s="447"/>
      <c r="N56" s="369"/>
      <c r="O56" s="124"/>
      <c r="P56" s="443"/>
      <c r="Q56" s="444"/>
      <c r="R56" s="435"/>
      <c r="S56" s="435"/>
      <c r="T56" s="435"/>
      <c r="U56" s="435"/>
      <c r="V56" s="426"/>
      <c r="W56" s="426"/>
      <c r="X56" s="426"/>
      <c r="Y56" s="426"/>
      <c r="Z56" s="426"/>
      <c r="AA56" s="426"/>
      <c r="AB56" s="426"/>
      <c r="AC56" s="426"/>
      <c r="AD56" s="436"/>
    </row>
    <row r="57" spans="1:32" ht="27" customHeight="1">
      <c r="A57" s="434"/>
      <c r="B57" s="435"/>
      <c r="C57" s="370"/>
      <c r="D57" s="370"/>
      <c r="E57" s="370"/>
      <c r="F57" s="445"/>
      <c r="G57" s="446"/>
      <c r="H57" s="446"/>
      <c r="I57" s="446"/>
      <c r="J57" s="446"/>
      <c r="K57" s="446"/>
      <c r="L57" s="446"/>
      <c r="M57" s="447"/>
      <c r="N57" s="369"/>
      <c r="O57" s="124"/>
      <c r="P57" s="443"/>
      <c r="Q57" s="444"/>
      <c r="R57" s="435"/>
      <c r="S57" s="435"/>
      <c r="T57" s="435"/>
      <c r="U57" s="435"/>
      <c r="V57" s="426"/>
      <c r="W57" s="426"/>
      <c r="X57" s="426"/>
      <c r="Y57" s="426"/>
      <c r="Z57" s="426"/>
      <c r="AA57" s="426"/>
      <c r="AB57" s="426"/>
      <c r="AC57" s="426"/>
      <c r="AD57" s="436"/>
    </row>
    <row r="58" spans="1:32" ht="27" customHeight="1">
      <c r="A58" s="434"/>
      <c r="B58" s="435"/>
      <c r="C58" s="370"/>
      <c r="D58" s="370"/>
      <c r="E58" s="370"/>
      <c r="F58" s="426"/>
      <c r="G58" s="426"/>
      <c r="H58" s="426"/>
      <c r="I58" s="426"/>
      <c r="J58" s="426"/>
      <c r="K58" s="426"/>
      <c r="L58" s="426"/>
      <c r="M58" s="436"/>
      <c r="N58" s="369"/>
      <c r="O58" s="124"/>
      <c r="P58" s="443"/>
      <c r="Q58" s="444"/>
      <c r="R58" s="435"/>
      <c r="S58" s="435"/>
      <c r="T58" s="435"/>
      <c r="U58" s="435"/>
      <c r="V58" s="426"/>
      <c r="W58" s="426"/>
      <c r="X58" s="426"/>
      <c r="Y58" s="426"/>
      <c r="Z58" s="426"/>
      <c r="AA58" s="426"/>
      <c r="AB58" s="426"/>
      <c r="AC58" s="426"/>
      <c r="AD58" s="436"/>
    </row>
    <row r="59" spans="1:32" ht="27" customHeight="1">
      <c r="A59" s="434"/>
      <c r="B59" s="435"/>
      <c r="C59" s="370"/>
      <c r="D59" s="370"/>
      <c r="E59" s="370"/>
      <c r="F59" s="445"/>
      <c r="G59" s="446"/>
      <c r="H59" s="446"/>
      <c r="I59" s="446"/>
      <c r="J59" s="446"/>
      <c r="K59" s="446"/>
      <c r="L59" s="446"/>
      <c r="M59" s="447"/>
      <c r="N59" s="369"/>
      <c r="O59" s="124"/>
      <c r="P59" s="435"/>
      <c r="Q59" s="435"/>
      <c r="R59" s="435"/>
      <c r="S59" s="435"/>
      <c r="T59" s="435"/>
      <c r="U59" s="435"/>
      <c r="V59" s="426"/>
      <c r="W59" s="426"/>
      <c r="X59" s="426"/>
      <c r="Y59" s="426"/>
      <c r="Z59" s="426"/>
      <c r="AA59" s="426"/>
      <c r="AB59" s="426"/>
      <c r="AC59" s="426"/>
      <c r="AD59" s="436"/>
      <c r="AF59" s="93">
        <f>8*3000</f>
        <v>24000</v>
      </c>
    </row>
    <row r="60" spans="1:32" ht="27" customHeight="1" thickBot="1">
      <c r="A60" s="437"/>
      <c r="B60" s="438"/>
      <c r="C60" s="372"/>
      <c r="D60" s="372"/>
      <c r="E60" s="372"/>
      <c r="F60" s="439"/>
      <c r="G60" s="439"/>
      <c r="H60" s="439"/>
      <c r="I60" s="439"/>
      <c r="J60" s="439"/>
      <c r="K60" s="439"/>
      <c r="L60" s="439"/>
      <c r="M60" s="440"/>
      <c r="N60" s="371"/>
      <c r="O60" s="120"/>
      <c r="P60" s="438"/>
      <c r="Q60" s="438"/>
      <c r="R60" s="438"/>
      <c r="S60" s="438"/>
      <c r="T60" s="438"/>
      <c r="U60" s="438"/>
      <c r="V60" s="441"/>
      <c r="W60" s="441"/>
      <c r="X60" s="441"/>
      <c r="Y60" s="441"/>
      <c r="Z60" s="441"/>
      <c r="AA60" s="441"/>
      <c r="AB60" s="441"/>
      <c r="AC60" s="441"/>
      <c r="AD60" s="442"/>
      <c r="AF60" s="93">
        <f>16*3000</f>
        <v>48000</v>
      </c>
    </row>
    <row r="61" spans="1:32" ht="27.75" thickBot="1">
      <c r="A61" s="432" t="s">
        <v>522</v>
      </c>
      <c r="B61" s="432"/>
      <c r="C61" s="432"/>
      <c r="D61" s="432"/>
      <c r="E61" s="43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3" t="s">
        <v>113</v>
      </c>
      <c r="B62" s="430"/>
      <c r="C62" s="368" t="s">
        <v>2</v>
      </c>
      <c r="D62" s="368" t="s">
        <v>37</v>
      </c>
      <c r="E62" s="368" t="s">
        <v>3</v>
      </c>
      <c r="F62" s="430" t="s">
        <v>110</v>
      </c>
      <c r="G62" s="430"/>
      <c r="H62" s="430"/>
      <c r="I62" s="430"/>
      <c r="J62" s="430"/>
      <c r="K62" s="430" t="s">
        <v>39</v>
      </c>
      <c r="L62" s="430"/>
      <c r="M62" s="368" t="s">
        <v>40</v>
      </c>
      <c r="N62" s="430" t="s">
        <v>41</v>
      </c>
      <c r="O62" s="430"/>
      <c r="P62" s="427" t="s">
        <v>42</v>
      </c>
      <c r="Q62" s="429"/>
      <c r="R62" s="427" t="s">
        <v>43</v>
      </c>
      <c r="S62" s="428"/>
      <c r="T62" s="428"/>
      <c r="U62" s="428"/>
      <c r="V62" s="428"/>
      <c r="W62" s="428"/>
      <c r="X62" s="428"/>
      <c r="Y62" s="428"/>
      <c r="Z62" s="428"/>
      <c r="AA62" s="429"/>
      <c r="AB62" s="430" t="s">
        <v>44</v>
      </c>
      <c r="AC62" s="430"/>
      <c r="AD62" s="431"/>
      <c r="AF62" s="93">
        <f>SUM(AF59:AF61)</f>
        <v>96000</v>
      </c>
    </row>
    <row r="63" spans="1:32" ht="25.5" customHeight="1">
      <c r="A63" s="422">
        <v>1</v>
      </c>
      <c r="B63" s="423"/>
      <c r="C63" s="123" t="s">
        <v>123</v>
      </c>
      <c r="D63" s="364"/>
      <c r="E63" s="367" t="s">
        <v>523</v>
      </c>
      <c r="F63" s="424" t="s">
        <v>524</v>
      </c>
      <c r="G63" s="416"/>
      <c r="H63" s="416"/>
      <c r="I63" s="416"/>
      <c r="J63" s="416"/>
      <c r="K63" s="416">
        <v>7301</v>
      </c>
      <c r="L63" s="416"/>
      <c r="M63" s="54" t="s">
        <v>135</v>
      </c>
      <c r="N63" s="416">
        <v>7</v>
      </c>
      <c r="O63" s="416"/>
      <c r="P63" s="425">
        <v>50</v>
      </c>
      <c r="Q63" s="425"/>
      <c r="R63" s="426" t="s">
        <v>525</v>
      </c>
      <c r="S63" s="426"/>
      <c r="T63" s="426"/>
      <c r="U63" s="426"/>
      <c r="V63" s="426"/>
      <c r="W63" s="426"/>
      <c r="X63" s="426"/>
      <c r="Y63" s="426"/>
      <c r="Z63" s="426"/>
      <c r="AA63" s="426"/>
      <c r="AB63" s="416"/>
      <c r="AC63" s="416"/>
      <c r="AD63" s="417"/>
      <c r="AF63" s="53"/>
    </row>
    <row r="64" spans="1:32" ht="25.5" customHeight="1">
      <c r="A64" s="422">
        <v>2</v>
      </c>
      <c r="B64" s="423"/>
      <c r="C64" s="123" t="s">
        <v>114</v>
      </c>
      <c r="D64" s="364"/>
      <c r="E64" s="367" t="s">
        <v>134</v>
      </c>
      <c r="F64" s="424" t="s">
        <v>196</v>
      </c>
      <c r="G64" s="416"/>
      <c r="H64" s="416"/>
      <c r="I64" s="416"/>
      <c r="J64" s="416"/>
      <c r="K64" s="416" t="s">
        <v>187</v>
      </c>
      <c r="L64" s="416"/>
      <c r="M64" s="54" t="s">
        <v>405</v>
      </c>
      <c r="N64" s="416">
        <v>4</v>
      </c>
      <c r="O64" s="416"/>
      <c r="P64" s="425">
        <v>250</v>
      </c>
      <c r="Q64" s="425"/>
      <c r="R64" s="426"/>
      <c r="S64" s="426"/>
      <c r="T64" s="426"/>
      <c r="U64" s="426"/>
      <c r="V64" s="426"/>
      <c r="W64" s="426"/>
      <c r="X64" s="426"/>
      <c r="Y64" s="426"/>
      <c r="Z64" s="426"/>
      <c r="AA64" s="426"/>
      <c r="AB64" s="416"/>
      <c r="AC64" s="416"/>
      <c r="AD64" s="417"/>
      <c r="AF64" s="53"/>
    </row>
    <row r="65" spans="1:32" ht="25.5" customHeight="1">
      <c r="A65" s="422">
        <v>3</v>
      </c>
      <c r="B65" s="423"/>
      <c r="C65" s="123"/>
      <c r="D65" s="364"/>
      <c r="E65" s="367"/>
      <c r="F65" s="424"/>
      <c r="G65" s="416"/>
      <c r="H65" s="416"/>
      <c r="I65" s="416"/>
      <c r="J65" s="416"/>
      <c r="K65" s="416"/>
      <c r="L65" s="416"/>
      <c r="M65" s="54"/>
      <c r="N65" s="416"/>
      <c r="O65" s="416"/>
      <c r="P65" s="425"/>
      <c r="Q65" s="425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16"/>
      <c r="AC65" s="416"/>
      <c r="AD65" s="417"/>
      <c r="AF65" s="53"/>
    </row>
    <row r="66" spans="1:32" ht="25.5" customHeight="1">
      <c r="A66" s="422">
        <v>4</v>
      </c>
      <c r="B66" s="423"/>
      <c r="C66" s="123"/>
      <c r="D66" s="364"/>
      <c r="E66" s="367"/>
      <c r="F66" s="424"/>
      <c r="G66" s="416"/>
      <c r="H66" s="416"/>
      <c r="I66" s="416"/>
      <c r="J66" s="416"/>
      <c r="K66" s="416"/>
      <c r="L66" s="416"/>
      <c r="M66" s="54"/>
      <c r="N66" s="416"/>
      <c r="O66" s="416"/>
      <c r="P66" s="425"/>
      <c r="Q66" s="425"/>
      <c r="R66" s="426"/>
      <c r="S66" s="426"/>
      <c r="T66" s="426"/>
      <c r="U66" s="426"/>
      <c r="V66" s="426"/>
      <c r="W66" s="426"/>
      <c r="X66" s="426"/>
      <c r="Y66" s="426"/>
      <c r="Z66" s="426"/>
      <c r="AA66" s="426"/>
      <c r="AB66" s="416"/>
      <c r="AC66" s="416"/>
      <c r="AD66" s="417"/>
      <c r="AF66" s="53"/>
    </row>
    <row r="67" spans="1:32" ht="25.5" customHeight="1">
      <c r="A67" s="422">
        <v>5</v>
      </c>
      <c r="B67" s="423"/>
      <c r="C67" s="123"/>
      <c r="D67" s="364"/>
      <c r="E67" s="367"/>
      <c r="F67" s="424"/>
      <c r="G67" s="416"/>
      <c r="H67" s="416"/>
      <c r="I67" s="416"/>
      <c r="J67" s="416"/>
      <c r="K67" s="416"/>
      <c r="L67" s="416"/>
      <c r="M67" s="54"/>
      <c r="N67" s="416"/>
      <c r="O67" s="416"/>
      <c r="P67" s="425"/>
      <c r="Q67" s="425"/>
      <c r="R67" s="426"/>
      <c r="S67" s="426"/>
      <c r="T67" s="426"/>
      <c r="U67" s="426"/>
      <c r="V67" s="426"/>
      <c r="W67" s="426"/>
      <c r="X67" s="426"/>
      <c r="Y67" s="426"/>
      <c r="Z67" s="426"/>
      <c r="AA67" s="426"/>
      <c r="AB67" s="416"/>
      <c r="AC67" s="416"/>
      <c r="AD67" s="417"/>
      <c r="AF67" s="53"/>
    </row>
    <row r="68" spans="1:32" ht="25.5" customHeight="1">
      <c r="A68" s="422">
        <v>6</v>
      </c>
      <c r="B68" s="423"/>
      <c r="C68" s="123"/>
      <c r="D68" s="364"/>
      <c r="E68" s="367"/>
      <c r="F68" s="424"/>
      <c r="G68" s="416"/>
      <c r="H68" s="416"/>
      <c r="I68" s="416"/>
      <c r="J68" s="416"/>
      <c r="K68" s="416"/>
      <c r="L68" s="416"/>
      <c r="M68" s="54"/>
      <c r="N68" s="416"/>
      <c r="O68" s="416"/>
      <c r="P68" s="425"/>
      <c r="Q68" s="425"/>
      <c r="R68" s="426"/>
      <c r="S68" s="426"/>
      <c r="T68" s="426"/>
      <c r="U68" s="426"/>
      <c r="V68" s="426"/>
      <c r="W68" s="426"/>
      <c r="X68" s="426"/>
      <c r="Y68" s="426"/>
      <c r="Z68" s="426"/>
      <c r="AA68" s="426"/>
      <c r="AB68" s="416"/>
      <c r="AC68" s="416"/>
      <c r="AD68" s="417"/>
      <c r="AF68" s="53"/>
    </row>
    <row r="69" spans="1:32" ht="25.5" customHeight="1">
      <c r="A69" s="422">
        <v>7</v>
      </c>
      <c r="B69" s="423"/>
      <c r="C69" s="123"/>
      <c r="D69" s="364"/>
      <c r="E69" s="367"/>
      <c r="F69" s="424"/>
      <c r="G69" s="416"/>
      <c r="H69" s="416"/>
      <c r="I69" s="416"/>
      <c r="J69" s="416"/>
      <c r="K69" s="416"/>
      <c r="L69" s="416"/>
      <c r="M69" s="54"/>
      <c r="N69" s="416"/>
      <c r="O69" s="416"/>
      <c r="P69" s="425"/>
      <c r="Q69" s="425"/>
      <c r="R69" s="426"/>
      <c r="S69" s="426"/>
      <c r="T69" s="426"/>
      <c r="U69" s="426"/>
      <c r="V69" s="426"/>
      <c r="W69" s="426"/>
      <c r="X69" s="426"/>
      <c r="Y69" s="426"/>
      <c r="Z69" s="426"/>
      <c r="AA69" s="426"/>
      <c r="AB69" s="416"/>
      <c r="AC69" s="416"/>
      <c r="AD69" s="417"/>
      <c r="AF69" s="53"/>
    </row>
    <row r="70" spans="1:32" ht="25.5" customHeight="1">
      <c r="A70" s="422">
        <v>8</v>
      </c>
      <c r="B70" s="423"/>
      <c r="C70" s="123"/>
      <c r="D70" s="364"/>
      <c r="E70" s="367"/>
      <c r="F70" s="424"/>
      <c r="G70" s="416"/>
      <c r="H70" s="416"/>
      <c r="I70" s="416"/>
      <c r="J70" s="416"/>
      <c r="K70" s="416"/>
      <c r="L70" s="416"/>
      <c r="M70" s="54"/>
      <c r="N70" s="416"/>
      <c r="O70" s="416"/>
      <c r="P70" s="425"/>
      <c r="Q70" s="425"/>
      <c r="R70" s="426"/>
      <c r="S70" s="426"/>
      <c r="T70" s="426"/>
      <c r="U70" s="426"/>
      <c r="V70" s="426"/>
      <c r="W70" s="426"/>
      <c r="X70" s="426"/>
      <c r="Y70" s="426"/>
      <c r="Z70" s="426"/>
      <c r="AA70" s="426"/>
      <c r="AB70" s="416"/>
      <c r="AC70" s="416"/>
      <c r="AD70" s="417"/>
      <c r="AF70" s="53"/>
    </row>
    <row r="71" spans="1:32" ht="26.25" customHeight="1" thickBot="1">
      <c r="A71" s="396" t="s">
        <v>526</v>
      </c>
      <c r="B71" s="396"/>
      <c r="C71" s="396"/>
      <c r="D71" s="396"/>
      <c r="E71" s="396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7" t="s">
        <v>113</v>
      </c>
      <c r="B72" s="398"/>
      <c r="C72" s="366" t="s">
        <v>2</v>
      </c>
      <c r="D72" s="366" t="s">
        <v>37</v>
      </c>
      <c r="E72" s="366" t="s">
        <v>3</v>
      </c>
      <c r="F72" s="398" t="s">
        <v>38</v>
      </c>
      <c r="G72" s="398"/>
      <c r="H72" s="398"/>
      <c r="I72" s="398"/>
      <c r="J72" s="398"/>
      <c r="K72" s="418" t="s">
        <v>58</v>
      </c>
      <c r="L72" s="419"/>
      <c r="M72" s="419"/>
      <c r="N72" s="419"/>
      <c r="O72" s="419"/>
      <c r="P72" s="419"/>
      <c r="Q72" s="419"/>
      <c r="R72" s="419"/>
      <c r="S72" s="420"/>
      <c r="T72" s="398" t="s">
        <v>49</v>
      </c>
      <c r="U72" s="398"/>
      <c r="V72" s="418" t="s">
        <v>50</v>
      </c>
      <c r="W72" s="420"/>
      <c r="X72" s="419" t="s">
        <v>51</v>
      </c>
      <c r="Y72" s="419"/>
      <c r="Z72" s="419"/>
      <c r="AA72" s="419"/>
      <c r="AB72" s="419"/>
      <c r="AC72" s="419"/>
      <c r="AD72" s="421"/>
      <c r="AF72" s="53"/>
    </row>
    <row r="73" spans="1:32" ht="33.75" customHeight="1">
      <c r="A73" s="390">
        <v>1</v>
      </c>
      <c r="B73" s="391"/>
      <c r="C73" s="365" t="s">
        <v>114</v>
      </c>
      <c r="D73" s="365"/>
      <c r="E73" s="71" t="s">
        <v>127</v>
      </c>
      <c r="F73" s="405" t="s">
        <v>126</v>
      </c>
      <c r="G73" s="406"/>
      <c r="H73" s="406"/>
      <c r="I73" s="406"/>
      <c r="J73" s="407"/>
      <c r="K73" s="408" t="s">
        <v>128</v>
      </c>
      <c r="L73" s="409"/>
      <c r="M73" s="409"/>
      <c r="N73" s="409"/>
      <c r="O73" s="409"/>
      <c r="P73" s="409"/>
      <c r="Q73" s="409"/>
      <c r="R73" s="409"/>
      <c r="S73" s="410"/>
      <c r="T73" s="411">
        <v>43384</v>
      </c>
      <c r="U73" s="412"/>
      <c r="V73" s="413"/>
      <c r="W73" s="413"/>
      <c r="X73" s="414"/>
      <c r="Y73" s="414"/>
      <c r="Z73" s="414"/>
      <c r="AA73" s="414"/>
      <c r="AB73" s="414"/>
      <c r="AC73" s="414"/>
      <c r="AD73" s="415"/>
      <c r="AF73" s="53"/>
    </row>
    <row r="74" spans="1:32" ht="30" customHeight="1">
      <c r="A74" s="383">
        <f>A73+1</f>
        <v>2</v>
      </c>
      <c r="B74" s="384"/>
      <c r="C74" s="364"/>
      <c r="D74" s="364"/>
      <c r="E74" s="35"/>
      <c r="F74" s="384"/>
      <c r="G74" s="384"/>
      <c r="H74" s="384"/>
      <c r="I74" s="384"/>
      <c r="J74" s="384"/>
      <c r="K74" s="399"/>
      <c r="L74" s="400"/>
      <c r="M74" s="400"/>
      <c r="N74" s="400"/>
      <c r="O74" s="400"/>
      <c r="P74" s="400"/>
      <c r="Q74" s="400"/>
      <c r="R74" s="400"/>
      <c r="S74" s="401"/>
      <c r="T74" s="402"/>
      <c r="U74" s="402"/>
      <c r="V74" s="402"/>
      <c r="W74" s="402"/>
      <c r="X74" s="403"/>
      <c r="Y74" s="403"/>
      <c r="Z74" s="403"/>
      <c r="AA74" s="403"/>
      <c r="AB74" s="403"/>
      <c r="AC74" s="403"/>
      <c r="AD74" s="404"/>
      <c r="AF74" s="53"/>
    </row>
    <row r="75" spans="1:32" ht="30" customHeight="1">
      <c r="A75" s="383">
        <f t="shared" ref="A75:A81" si="12">A74+1</f>
        <v>3</v>
      </c>
      <c r="B75" s="384"/>
      <c r="C75" s="364"/>
      <c r="D75" s="364"/>
      <c r="E75" s="35"/>
      <c r="F75" s="384"/>
      <c r="G75" s="384"/>
      <c r="H75" s="384"/>
      <c r="I75" s="384"/>
      <c r="J75" s="384"/>
      <c r="K75" s="399"/>
      <c r="L75" s="400"/>
      <c r="M75" s="400"/>
      <c r="N75" s="400"/>
      <c r="O75" s="400"/>
      <c r="P75" s="400"/>
      <c r="Q75" s="400"/>
      <c r="R75" s="400"/>
      <c r="S75" s="401"/>
      <c r="T75" s="402"/>
      <c r="U75" s="402"/>
      <c r="V75" s="402"/>
      <c r="W75" s="402"/>
      <c r="X75" s="403"/>
      <c r="Y75" s="403"/>
      <c r="Z75" s="403"/>
      <c r="AA75" s="403"/>
      <c r="AB75" s="403"/>
      <c r="AC75" s="403"/>
      <c r="AD75" s="404"/>
      <c r="AF75" s="53"/>
    </row>
    <row r="76" spans="1:32" ht="30" customHeight="1">
      <c r="A76" s="383">
        <f t="shared" si="12"/>
        <v>4</v>
      </c>
      <c r="B76" s="384"/>
      <c r="C76" s="364"/>
      <c r="D76" s="364"/>
      <c r="E76" s="35"/>
      <c r="F76" s="384"/>
      <c r="G76" s="384"/>
      <c r="H76" s="384"/>
      <c r="I76" s="384"/>
      <c r="J76" s="384"/>
      <c r="K76" s="399"/>
      <c r="L76" s="400"/>
      <c r="M76" s="400"/>
      <c r="N76" s="400"/>
      <c r="O76" s="400"/>
      <c r="P76" s="400"/>
      <c r="Q76" s="400"/>
      <c r="R76" s="400"/>
      <c r="S76" s="401"/>
      <c r="T76" s="402"/>
      <c r="U76" s="402"/>
      <c r="V76" s="402"/>
      <c r="W76" s="402"/>
      <c r="X76" s="403"/>
      <c r="Y76" s="403"/>
      <c r="Z76" s="403"/>
      <c r="AA76" s="403"/>
      <c r="AB76" s="403"/>
      <c r="AC76" s="403"/>
      <c r="AD76" s="404"/>
      <c r="AF76" s="53"/>
    </row>
    <row r="77" spans="1:32" ht="30" customHeight="1">
      <c r="A77" s="383">
        <f t="shared" si="12"/>
        <v>5</v>
      </c>
      <c r="B77" s="384"/>
      <c r="C77" s="364"/>
      <c r="D77" s="364"/>
      <c r="E77" s="35"/>
      <c r="F77" s="384"/>
      <c r="G77" s="384"/>
      <c r="H77" s="384"/>
      <c r="I77" s="384"/>
      <c r="J77" s="384"/>
      <c r="K77" s="399"/>
      <c r="L77" s="400"/>
      <c r="M77" s="400"/>
      <c r="N77" s="400"/>
      <c r="O77" s="400"/>
      <c r="P77" s="400"/>
      <c r="Q77" s="400"/>
      <c r="R77" s="400"/>
      <c r="S77" s="401"/>
      <c r="T77" s="402"/>
      <c r="U77" s="402"/>
      <c r="V77" s="402"/>
      <c r="W77" s="402"/>
      <c r="X77" s="403"/>
      <c r="Y77" s="403"/>
      <c r="Z77" s="403"/>
      <c r="AA77" s="403"/>
      <c r="AB77" s="403"/>
      <c r="AC77" s="403"/>
      <c r="AD77" s="404"/>
      <c r="AF77" s="53"/>
    </row>
    <row r="78" spans="1:32" ht="30" customHeight="1">
      <c r="A78" s="383">
        <f t="shared" si="12"/>
        <v>6</v>
      </c>
      <c r="B78" s="384"/>
      <c r="C78" s="364"/>
      <c r="D78" s="364"/>
      <c r="E78" s="35"/>
      <c r="F78" s="384"/>
      <c r="G78" s="384"/>
      <c r="H78" s="384"/>
      <c r="I78" s="384"/>
      <c r="J78" s="384"/>
      <c r="K78" s="399"/>
      <c r="L78" s="400"/>
      <c r="M78" s="400"/>
      <c r="N78" s="400"/>
      <c r="O78" s="400"/>
      <c r="P78" s="400"/>
      <c r="Q78" s="400"/>
      <c r="R78" s="400"/>
      <c r="S78" s="401"/>
      <c r="T78" s="402"/>
      <c r="U78" s="402"/>
      <c r="V78" s="402"/>
      <c r="W78" s="402"/>
      <c r="X78" s="403"/>
      <c r="Y78" s="403"/>
      <c r="Z78" s="403"/>
      <c r="AA78" s="403"/>
      <c r="AB78" s="403"/>
      <c r="AC78" s="403"/>
      <c r="AD78" s="404"/>
      <c r="AF78" s="53"/>
    </row>
    <row r="79" spans="1:32" ht="30" customHeight="1">
      <c r="A79" s="383">
        <f t="shared" si="12"/>
        <v>7</v>
      </c>
      <c r="B79" s="384"/>
      <c r="C79" s="364"/>
      <c r="D79" s="364"/>
      <c r="E79" s="35"/>
      <c r="F79" s="384"/>
      <c r="G79" s="384"/>
      <c r="H79" s="384"/>
      <c r="I79" s="384"/>
      <c r="J79" s="384"/>
      <c r="K79" s="399"/>
      <c r="L79" s="400"/>
      <c r="M79" s="400"/>
      <c r="N79" s="400"/>
      <c r="O79" s="400"/>
      <c r="P79" s="400"/>
      <c r="Q79" s="400"/>
      <c r="R79" s="400"/>
      <c r="S79" s="401"/>
      <c r="T79" s="402"/>
      <c r="U79" s="402"/>
      <c r="V79" s="402"/>
      <c r="W79" s="402"/>
      <c r="X79" s="403"/>
      <c r="Y79" s="403"/>
      <c r="Z79" s="403"/>
      <c r="AA79" s="403"/>
      <c r="AB79" s="403"/>
      <c r="AC79" s="403"/>
      <c r="AD79" s="404"/>
      <c r="AF79" s="53"/>
    </row>
    <row r="80" spans="1:32" ht="30" customHeight="1">
      <c r="A80" s="383">
        <f t="shared" si="12"/>
        <v>8</v>
      </c>
      <c r="B80" s="384"/>
      <c r="C80" s="364"/>
      <c r="D80" s="364"/>
      <c r="E80" s="35"/>
      <c r="F80" s="384"/>
      <c r="G80" s="384"/>
      <c r="H80" s="384"/>
      <c r="I80" s="384"/>
      <c r="J80" s="384"/>
      <c r="K80" s="399"/>
      <c r="L80" s="400"/>
      <c r="M80" s="400"/>
      <c r="N80" s="400"/>
      <c r="O80" s="400"/>
      <c r="P80" s="400"/>
      <c r="Q80" s="400"/>
      <c r="R80" s="400"/>
      <c r="S80" s="401"/>
      <c r="T80" s="402"/>
      <c r="U80" s="402"/>
      <c r="V80" s="402"/>
      <c r="W80" s="402"/>
      <c r="X80" s="403"/>
      <c r="Y80" s="403"/>
      <c r="Z80" s="403"/>
      <c r="AA80" s="403"/>
      <c r="AB80" s="403"/>
      <c r="AC80" s="403"/>
      <c r="AD80" s="404"/>
      <c r="AF80" s="53"/>
    </row>
    <row r="81" spans="1:32" ht="30" customHeight="1">
      <c r="A81" s="383">
        <f t="shared" si="12"/>
        <v>9</v>
      </c>
      <c r="B81" s="384"/>
      <c r="C81" s="364"/>
      <c r="D81" s="364"/>
      <c r="E81" s="35"/>
      <c r="F81" s="384"/>
      <c r="G81" s="384"/>
      <c r="H81" s="384"/>
      <c r="I81" s="384"/>
      <c r="J81" s="384"/>
      <c r="K81" s="399"/>
      <c r="L81" s="400"/>
      <c r="M81" s="400"/>
      <c r="N81" s="400"/>
      <c r="O81" s="400"/>
      <c r="P81" s="400"/>
      <c r="Q81" s="400"/>
      <c r="R81" s="400"/>
      <c r="S81" s="401"/>
      <c r="T81" s="402"/>
      <c r="U81" s="402"/>
      <c r="V81" s="402"/>
      <c r="W81" s="402"/>
      <c r="X81" s="403"/>
      <c r="Y81" s="403"/>
      <c r="Z81" s="403"/>
      <c r="AA81" s="403"/>
      <c r="AB81" s="403"/>
      <c r="AC81" s="403"/>
      <c r="AD81" s="404"/>
      <c r="AF81" s="53"/>
    </row>
    <row r="82" spans="1:32" ht="36" thickBot="1">
      <c r="A82" s="396" t="s">
        <v>527</v>
      </c>
      <c r="B82" s="396"/>
      <c r="C82" s="396"/>
      <c r="D82" s="396"/>
      <c r="E82" s="396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7" t="s">
        <v>113</v>
      </c>
      <c r="B83" s="398"/>
      <c r="C83" s="388" t="s">
        <v>52</v>
      </c>
      <c r="D83" s="388"/>
      <c r="E83" s="388" t="s">
        <v>53</v>
      </c>
      <c r="F83" s="388"/>
      <c r="G83" s="388"/>
      <c r="H83" s="388"/>
      <c r="I83" s="388"/>
      <c r="J83" s="388"/>
      <c r="K83" s="388" t="s">
        <v>54</v>
      </c>
      <c r="L83" s="388"/>
      <c r="M83" s="388"/>
      <c r="N83" s="388"/>
      <c r="O83" s="388"/>
      <c r="P83" s="388"/>
      <c r="Q83" s="388"/>
      <c r="R83" s="388"/>
      <c r="S83" s="388"/>
      <c r="T83" s="388" t="s">
        <v>55</v>
      </c>
      <c r="U83" s="388"/>
      <c r="V83" s="388" t="s">
        <v>56</v>
      </c>
      <c r="W83" s="388"/>
      <c r="X83" s="388"/>
      <c r="Y83" s="388" t="s">
        <v>51</v>
      </c>
      <c r="Z83" s="388"/>
      <c r="AA83" s="388"/>
      <c r="AB83" s="388"/>
      <c r="AC83" s="388"/>
      <c r="AD83" s="389"/>
      <c r="AF83" s="53"/>
    </row>
    <row r="84" spans="1:32" ht="30.75" customHeight="1">
      <c r="A84" s="390">
        <v>1</v>
      </c>
      <c r="B84" s="391"/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3"/>
      <c r="W84" s="393"/>
      <c r="X84" s="393"/>
      <c r="Y84" s="394"/>
      <c r="Z84" s="394"/>
      <c r="AA84" s="394"/>
      <c r="AB84" s="394"/>
      <c r="AC84" s="394"/>
      <c r="AD84" s="395"/>
      <c r="AF84" s="53"/>
    </row>
    <row r="85" spans="1:32" ht="30.75" customHeight="1">
      <c r="A85" s="383">
        <v>2</v>
      </c>
      <c r="B85" s="384"/>
      <c r="C85" s="385"/>
      <c r="D85" s="385"/>
      <c r="E85" s="385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6"/>
      <c r="U85" s="386"/>
      <c r="V85" s="387"/>
      <c r="W85" s="387"/>
      <c r="X85" s="387"/>
      <c r="Y85" s="376"/>
      <c r="Z85" s="376"/>
      <c r="AA85" s="376"/>
      <c r="AB85" s="376"/>
      <c r="AC85" s="376"/>
      <c r="AD85" s="377"/>
      <c r="AF85" s="53"/>
    </row>
    <row r="86" spans="1:32" ht="30.75" customHeight="1" thickBot="1">
      <c r="A86" s="378">
        <v>3</v>
      </c>
      <c r="B86" s="379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  <c r="X86" s="380"/>
      <c r="Y86" s="381"/>
      <c r="Z86" s="381"/>
      <c r="AA86" s="381"/>
      <c r="AB86" s="381"/>
      <c r="AC86" s="381"/>
      <c r="AD86" s="382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33</vt:i4>
      </vt:variant>
    </vt:vector>
  </HeadingPairs>
  <TitlesOfParts>
    <vt:vector size="57" baseType="lpstr">
      <vt:lpstr>총괄</vt:lpstr>
      <vt:lpstr>01</vt:lpstr>
      <vt:lpstr>02</vt:lpstr>
      <vt:lpstr>03</vt:lpstr>
      <vt:lpstr>04</vt:lpstr>
      <vt:lpstr>07</vt:lpstr>
      <vt:lpstr>08</vt:lpstr>
      <vt:lpstr>09</vt:lpstr>
      <vt:lpstr>10</vt:lpstr>
      <vt:lpstr>11</vt:lpstr>
      <vt:lpstr>14</vt:lpstr>
      <vt:lpstr>15</vt:lpstr>
      <vt:lpstr>16</vt:lpstr>
      <vt:lpstr>17</vt:lpstr>
      <vt:lpstr>18</vt:lpstr>
      <vt:lpstr>21</vt:lpstr>
      <vt:lpstr>22</vt:lpstr>
      <vt:lpstr>23</vt:lpstr>
      <vt:lpstr>24</vt:lpstr>
      <vt:lpstr>25</vt:lpstr>
      <vt:lpstr>28</vt:lpstr>
      <vt:lpstr>29</vt:lpstr>
      <vt:lpstr>30</vt:lpstr>
      <vt:lpstr>31</vt:lpstr>
      <vt:lpstr>'01'!Print_Area</vt:lpstr>
      <vt:lpstr>'02'!Print_Area</vt:lpstr>
      <vt:lpstr>'03'!Print_Area</vt:lpstr>
      <vt:lpstr>'04'!Print_Area</vt:lpstr>
      <vt:lpstr>'07'!Print_Area</vt:lpstr>
      <vt:lpstr>'08'!Print_Area</vt:lpstr>
      <vt:lpstr>'09'!Print_Area</vt:lpstr>
      <vt:lpstr>'10'!Print_Area</vt:lpstr>
      <vt:lpstr>'11'!Print_Area</vt:lpstr>
      <vt:lpstr>'14'!Print_Area</vt:lpstr>
      <vt:lpstr>'15'!Print_Area</vt:lpstr>
      <vt:lpstr>'16'!Print_Area</vt:lpstr>
      <vt:lpstr>'17'!Print_Area</vt:lpstr>
      <vt:lpstr>'18'!Print_Area</vt:lpstr>
      <vt:lpstr>'21'!Print_Area</vt:lpstr>
      <vt:lpstr>'22'!Print_Area</vt:lpstr>
      <vt:lpstr>'23'!Print_Area</vt:lpstr>
      <vt:lpstr>'24'!Print_Area</vt:lpstr>
      <vt:lpstr>'25'!Print_Area</vt:lpstr>
      <vt:lpstr>'28'!Print_Area</vt:lpstr>
      <vt:lpstr>'29'!Print_Area</vt:lpstr>
      <vt:lpstr>'30'!Print_Area</vt:lpstr>
      <vt:lpstr>'31'!Print_Area</vt:lpstr>
      <vt:lpstr>'21'!ㅁ1</vt:lpstr>
      <vt:lpstr>'22'!ㅁ1</vt:lpstr>
      <vt:lpstr>'23'!ㅁ1</vt:lpstr>
      <vt:lpstr>'24'!ㅁ1</vt:lpstr>
      <vt:lpstr>'25'!ㅁ1</vt:lpstr>
      <vt:lpstr>'28'!ㅁ1</vt:lpstr>
      <vt:lpstr>'29'!ㅁ1</vt:lpstr>
      <vt:lpstr>'30'!ㅁ1</vt:lpstr>
      <vt:lpstr>'31'!ㅁ1</vt:lpstr>
      <vt:lpstr>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2018-10-10T23:54:56Z</cp:lastPrinted>
  <dcterms:created xsi:type="dcterms:W3CDTF">2014-05-16T00:06:55Z</dcterms:created>
  <dcterms:modified xsi:type="dcterms:W3CDTF">2019-02-07T05:50:13Z</dcterms:modified>
</cp:coreProperties>
</file>