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drawings/drawing51.xml" ContentType="application/vnd.openxmlformats-officedocument.drawingml.chartshapes+xml"/>
  <Override PartName="/xl/drawings/drawing52.xml" ContentType="application/vnd.openxmlformats-officedocument.drawing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drawings/drawing55.xml" ContentType="application/vnd.openxmlformats-officedocument.drawingml.chartshapes+xml"/>
  <Override PartName="/xl/drawings/drawing56.xml" ContentType="application/vnd.openxmlformats-officedocument.drawing+xml"/>
  <Override PartName="/xl/charts/chart138.xml" ContentType="application/vnd.openxmlformats-officedocument.drawingml.chart+xml"/>
  <Override PartName="/xl/charts/chart139.xml" ContentType="application/vnd.openxmlformats-officedocument.drawingml.chart+xml"/>
  <Override PartName="/xl/charts/chart140.xml" ContentType="application/vnd.openxmlformats-officedocument.drawingml.chart+xml"/>
  <Override PartName="/xl/charts/chart141.xml" ContentType="application/vnd.openxmlformats-officedocument.drawingml.chart+xml"/>
  <Override PartName="/xl/charts/chart142.xml" ContentType="application/vnd.openxmlformats-officedocument.drawingml.chart+xml"/>
  <Override PartName="/xl/drawings/drawing57.xml" ContentType="application/vnd.openxmlformats-officedocument.drawingml.chartshapes+xml"/>
  <Override PartName="/xl/drawings/drawing58.xml" ContentType="application/vnd.openxmlformats-officedocument.drawing+xml"/>
  <Override PartName="/xl/charts/chart143.xml" ContentType="application/vnd.openxmlformats-officedocument.drawingml.chart+xml"/>
  <Override PartName="/xl/charts/chart144.xml" ContentType="application/vnd.openxmlformats-officedocument.drawingml.chart+xml"/>
  <Override PartName="/xl/charts/chart145.xml" ContentType="application/vnd.openxmlformats-officedocument.drawingml.chart+xml"/>
  <Override PartName="/xl/charts/chart146.xml" ContentType="application/vnd.openxmlformats-officedocument.drawingml.chart+xml"/>
  <Override PartName="/xl/charts/chart147.xml" ContentType="application/vnd.openxmlformats-officedocument.drawingml.chart+xml"/>
  <Override PartName="/xl/drawings/drawing59.xml" ContentType="application/vnd.openxmlformats-officedocument.drawingml.chartshapes+xml"/>
  <Override PartName="/xl/drawings/drawing60.xml" ContentType="application/vnd.openxmlformats-officedocument.drawing+xml"/>
  <Override PartName="/xl/charts/chart148.xml" ContentType="application/vnd.openxmlformats-officedocument.drawingml.chart+xml"/>
  <Override PartName="/xl/charts/chart149.xml" ContentType="application/vnd.openxmlformats-officedocument.drawingml.chart+xml"/>
  <Override PartName="/xl/charts/chart150.xml" ContentType="application/vnd.openxmlformats-officedocument.drawingml.chart+xml"/>
  <Override PartName="/xl/charts/chart151.xml" ContentType="application/vnd.openxmlformats-officedocument.drawingml.chart+xml"/>
  <Override PartName="/xl/charts/chart152.xml" ContentType="application/vnd.openxmlformats-officedocument.drawingml.chart+xml"/>
  <Override PartName="/xl/drawings/drawing61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업무폴더\2019년도\일일업무\생산일보\"/>
    </mc:Choice>
  </mc:AlternateContent>
  <xr:revisionPtr revIDLastSave="0" documentId="13_ncr:1_{2096A31E-80D7-40C5-9FB5-6089EBD39301}" xr6:coauthVersionLast="45" xr6:coauthVersionMax="45" xr10:uidLastSave="{00000000-0000-0000-0000-000000000000}"/>
  <bookViews>
    <workbookView xWindow="-120" yWindow="-120" windowWidth="29040" windowHeight="15840" firstSheet="7" activeTab="30" xr2:uid="{00000000-000D-0000-FFFF-FFFF00000000}"/>
  </bookViews>
  <sheets>
    <sheet name="총괄" sheetId="16" r:id="rId1"/>
    <sheet name="01" sheetId="1545" r:id="rId2"/>
    <sheet name="02" sheetId="1546" r:id="rId3"/>
    <sheet name="03" sheetId="1547" r:id="rId4"/>
    <sheet name="04" sheetId="1548" r:id="rId5"/>
    <sheet name="05" sheetId="1549" r:id="rId6"/>
    <sheet name="07" sheetId="1550" r:id="rId7"/>
    <sheet name="08" sheetId="1551" r:id="rId8"/>
    <sheet name="09" sheetId="1552" r:id="rId9"/>
    <sheet name="10" sheetId="1553" r:id="rId10"/>
    <sheet name="11" sheetId="1554" r:id="rId11"/>
    <sheet name="12" sheetId="1555" r:id="rId12"/>
    <sheet name="13" sheetId="1556" r:id="rId13"/>
    <sheet name="14" sheetId="1557" r:id="rId14"/>
    <sheet name="15" sheetId="1558" r:id="rId15"/>
    <sheet name="16" sheetId="1559" r:id="rId16"/>
    <sheet name="17" sheetId="1560" r:id="rId17"/>
    <sheet name="18" sheetId="1561" r:id="rId18"/>
    <sheet name="19" sheetId="1562" r:id="rId19"/>
    <sheet name="20" sheetId="1563" r:id="rId20"/>
    <sheet name="21" sheetId="1564" r:id="rId21"/>
    <sheet name="22" sheetId="1565" r:id="rId22"/>
    <sheet name="23" sheetId="1566" r:id="rId23"/>
    <sheet name="24" sheetId="1567" r:id="rId24"/>
    <sheet name="25" sheetId="1568" r:id="rId25"/>
    <sheet name="26" sheetId="1569" r:id="rId26"/>
    <sheet name="27" sheetId="1570" r:id="rId27"/>
    <sheet name="28" sheetId="1571" r:id="rId28"/>
    <sheet name="29" sheetId="1572" r:id="rId29"/>
    <sheet name="30" sheetId="1573" r:id="rId30"/>
    <sheet name="31" sheetId="1574" r:id="rId31"/>
  </sheets>
  <definedNames>
    <definedName name="_xlnm.Print_Area" localSheetId="1">'01'!$A$1:$AD$88</definedName>
    <definedName name="_xlnm.Print_Area" localSheetId="2">'02'!$A$1:$AD$89</definedName>
    <definedName name="_xlnm.Print_Area" localSheetId="3">'03'!$A$1:$AD$87</definedName>
    <definedName name="_xlnm.Print_Area" localSheetId="4">'04'!$A$1:$AD$87</definedName>
    <definedName name="_xlnm.Print_Area" localSheetId="5">'05'!$A$1:$AD$86</definedName>
    <definedName name="_xlnm.Print_Area" localSheetId="6">'07'!$A$1:$AD$87</definedName>
    <definedName name="_xlnm.Print_Area" localSheetId="7">'08'!$A$1:$AD$88</definedName>
    <definedName name="_xlnm.Print_Area" localSheetId="8">'09'!$A$1:$AD$88</definedName>
    <definedName name="_xlnm.Print_Area" localSheetId="9">'10'!$A$1:$AD$88</definedName>
    <definedName name="_xlnm.Print_Area" localSheetId="10">'11'!$A$1:$AD$86</definedName>
    <definedName name="_xlnm.Print_Area" localSheetId="11">'12'!$A$1:$AD$87</definedName>
    <definedName name="_xlnm.Print_Area" localSheetId="12">'13'!$A$1:$AD$87</definedName>
    <definedName name="_xlnm.Print_Area" localSheetId="13">'14'!$A$1:$AD$88</definedName>
    <definedName name="_xlnm.Print_Area" localSheetId="14">'15'!$A$1:$AD$86</definedName>
    <definedName name="_xlnm.Print_Area" localSheetId="15">'16'!$A$1:$AD$88</definedName>
    <definedName name="_xlnm.Print_Area" localSheetId="16">'17'!$A$1:$AD$87</definedName>
    <definedName name="_xlnm.Print_Area" localSheetId="17">'18'!$A$1:$AD$86</definedName>
    <definedName name="_xlnm.Print_Area" localSheetId="18">'19'!$A$1:$AD$86</definedName>
    <definedName name="_xlnm.Print_Area" localSheetId="19">'20'!$A$1:$AD$86</definedName>
    <definedName name="_xlnm.Print_Area" localSheetId="20">'21'!$A$1:$AD$87</definedName>
    <definedName name="_xlnm.Print_Area" localSheetId="21">'22'!$A$1:$AD$88</definedName>
    <definedName name="_xlnm.Print_Area" localSheetId="22">'23'!$A$1:$AD$88</definedName>
    <definedName name="_xlnm.Print_Area" localSheetId="23">'24'!$A$1:$AD$86</definedName>
    <definedName name="_xlnm.Print_Area" localSheetId="24">'25'!$A$1:$AD$86</definedName>
    <definedName name="_xlnm.Print_Area" localSheetId="25">'26'!$A$1:$AD$87</definedName>
    <definedName name="_xlnm.Print_Area" localSheetId="26">'27'!$A$1:$AD$86</definedName>
    <definedName name="_xlnm.Print_Area" localSheetId="27">'28'!$A$1:$AD$89</definedName>
    <definedName name="_xlnm.Print_Area" localSheetId="28">'29'!$A$1:$AD$87</definedName>
    <definedName name="_xlnm.Print_Area" localSheetId="29">'30'!$A$1:$AD$87</definedName>
    <definedName name="_xlnm.Print_Area" localSheetId="30">'31'!$A$1:$AD$86</definedName>
    <definedName name="ㅁ1" localSheetId="1">'01'!$M$1048523:$M$1048576</definedName>
    <definedName name="ㅁ1" localSheetId="2">'02'!$M$1048524:$M$1048576</definedName>
    <definedName name="ㅁ1" localSheetId="3">'03'!$M$1048522:$M$1048576</definedName>
    <definedName name="ㅁ1" localSheetId="4">'04'!$M$1048522:$M$1048576</definedName>
    <definedName name="ㅁ1" localSheetId="5">'05'!$M$1048521:$M$1048576</definedName>
    <definedName name="ㅁ1" localSheetId="6">'07'!$M$1048522:$M$1048576</definedName>
    <definedName name="ㅁ1" localSheetId="7">'08'!$M$1048523:$M$1048576</definedName>
    <definedName name="ㅁ1" localSheetId="8">'09'!$M$1048523:$M$1048576</definedName>
    <definedName name="ㅁ1" localSheetId="9">'10'!$M$1048523:$M$1048576</definedName>
    <definedName name="ㅁ1" localSheetId="10">'11'!$M$1048521:$M$1048576</definedName>
    <definedName name="ㅁ1" localSheetId="11">'12'!$M$1048522:$M$1048576</definedName>
    <definedName name="ㅁ1" localSheetId="12">'13'!$M$1048522:$M$1048576</definedName>
    <definedName name="ㅁ1" localSheetId="13">'14'!$M$1048523:$M$1048576</definedName>
    <definedName name="ㅁ1" localSheetId="14">'15'!$M$1048521:$M$1048576</definedName>
    <definedName name="ㅁ1" localSheetId="15">'16'!$M$1048523:$M$1048576</definedName>
    <definedName name="ㅁ1" localSheetId="16">'17'!$M$1048522:$M$1048576</definedName>
    <definedName name="ㅁ1" localSheetId="17">'18'!$M$1048521:$M$1048576</definedName>
    <definedName name="ㅁ1" localSheetId="18">'19'!$M$1048521:$M$1048576</definedName>
    <definedName name="ㅁ1" localSheetId="19">'20'!$M$1048521:$M$1048576</definedName>
    <definedName name="ㅁ1" localSheetId="20">'21'!$M$1048522:$M$1048576</definedName>
    <definedName name="ㅁ1" localSheetId="21">'22'!$M$1048523:$M$1048576</definedName>
    <definedName name="ㅁ1" localSheetId="22">'23'!$M$1048523:$M$1048576</definedName>
    <definedName name="ㅁ1" localSheetId="23">'24'!$M$1048521:$M$1048576</definedName>
    <definedName name="ㅁ1" localSheetId="24">'25'!$M$1048521:$M$1048576</definedName>
    <definedName name="ㅁ1" localSheetId="25">'26'!$M$1048522:$M$1048576</definedName>
    <definedName name="ㅁ1" localSheetId="26">'27'!$M$1048521:$M$1048576</definedName>
    <definedName name="ㅁ1" localSheetId="27">'28'!$M$1048524:$M$1048576</definedName>
    <definedName name="ㅁ1" localSheetId="28">'29'!$M$1048522:$M$1048576</definedName>
    <definedName name="ㅁ1" localSheetId="29">'30'!$M$1048522:$M$1048576</definedName>
    <definedName name="ㅁ1" localSheetId="30">'31'!$M$1048521:$M$1048576</definedName>
    <definedName name="ㅁ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0" i="1574"/>
  <c r="L19" i="1574"/>
  <c r="L18" i="1574"/>
  <c r="L16" i="1574"/>
  <c r="L14" i="1574"/>
  <c r="L12" i="1574"/>
  <c r="L11" i="1574"/>
  <c r="L10" i="1574"/>
  <c r="L9" i="1574"/>
  <c r="K20" i="1574" l="1"/>
  <c r="K19" i="1574"/>
  <c r="K18" i="1574"/>
  <c r="K17" i="1574"/>
  <c r="K16" i="1574"/>
  <c r="K14" i="1574"/>
  <c r="K13" i="1574"/>
  <c r="K12" i="1574"/>
  <c r="K10" i="1574"/>
  <c r="K9" i="1574"/>
  <c r="K8" i="1574"/>
  <c r="A74" i="1574"/>
  <c r="A75" i="1574" s="1"/>
  <c r="A76" i="1574" s="1"/>
  <c r="A77" i="1574" s="1"/>
  <c r="A78" i="1574" s="1"/>
  <c r="A79" i="1574" s="1"/>
  <c r="A80" i="1574" s="1"/>
  <c r="A81" i="1574" s="1"/>
  <c r="AF60" i="1574"/>
  <c r="AF62" i="1574" s="1"/>
  <c r="AF59" i="1574"/>
  <c r="AA21" i="1574"/>
  <c r="Z21" i="1574"/>
  <c r="Y21" i="1574"/>
  <c r="X21" i="1574"/>
  <c r="W21" i="1574"/>
  <c r="V21" i="1574"/>
  <c r="U21" i="1574"/>
  <c r="T21" i="1574"/>
  <c r="S21" i="1574"/>
  <c r="R21" i="1574"/>
  <c r="N21" i="1574"/>
  <c r="J21" i="1574"/>
  <c r="I21" i="1574"/>
  <c r="AF20" i="1574"/>
  <c r="Q20" i="1574"/>
  <c r="P20" i="1574" s="1"/>
  <c r="AC20" i="1574" s="1"/>
  <c r="O20" i="1574"/>
  <c r="AF19" i="1574"/>
  <c r="Q19" i="1574"/>
  <c r="O19" i="1574"/>
  <c r="AB19" i="1574"/>
  <c r="AF18" i="1574"/>
  <c r="AB18" i="1574"/>
  <c r="Q18" i="1574"/>
  <c r="O18" i="1574"/>
  <c r="M18" i="1574"/>
  <c r="P18" i="1574"/>
  <c r="AC18" i="1574" s="1"/>
  <c r="AF17" i="1574"/>
  <c r="Q17" i="1574"/>
  <c r="P17" i="1574"/>
  <c r="AC17" i="1574" s="1"/>
  <c r="AF16" i="1574"/>
  <c r="Q16" i="1574"/>
  <c r="P16" i="1574"/>
  <c r="AC16" i="1574" s="1"/>
  <c r="O16" i="1574"/>
  <c r="AF15" i="1574"/>
  <c r="AB15" i="1574"/>
  <c r="Q15" i="1574"/>
  <c r="P15" i="1574"/>
  <c r="AC15" i="1574" s="1"/>
  <c r="O15" i="1574"/>
  <c r="M15" i="1574"/>
  <c r="K15" i="1574"/>
  <c r="AF14" i="1574"/>
  <c r="Q14" i="1574"/>
  <c r="P14" i="1574"/>
  <c r="AC14" i="1574" s="1"/>
  <c r="AF13" i="1574"/>
  <c r="Q13" i="1574"/>
  <c r="P13" i="1574" s="1"/>
  <c r="AC13" i="1574" s="1"/>
  <c r="O13" i="1574"/>
  <c r="AF12" i="1574"/>
  <c r="AB12" i="1574"/>
  <c r="Q12" i="1574"/>
  <c r="P12" i="1574" s="1"/>
  <c r="AC12" i="1574" s="1"/>
  <c r="AD12" i="1574" s="1"/>
  <c r="O12" i="1574"/>
  <c r="M12" i="1574"/>
  <c r="AF11" i="1574"/>
  <c r="AB11" i="1574"/>
  <c r="Q11" i="1574"/>
  <c r="P11" i="1574"/>
  <c r="AC11" i="1574" s="1"/>
  <c r="O11" i="1574"/>
  <c r="M11" i="1574"/>
  <c r="K11" i="1574"/>
  <c r="AF10" i="1574"/>
  <c r="Q10" i="1574"/>
  <c r="P10" i="1574"/>
  <c r="AC10" i="1574" s="1"/>
  <c r="O10" i="1574"/>
  <c r="AB10" i="1574"/>
  <c r="AF9" i="1574"/>
  <c r="AB9" i="1574"/>
  <c r="Q9" i="1574"/>
  <c r="O9" i="1574"/>
  <c r="M9" i="1574"/>
  <c r="P9" i="1574"/>
  <c r="AC9" i="1574" s="1"/>
  <c r="AD9" i="1574" s="1"/>
  <c r="AF8" i="1574"/>
  <c r="Q8" i="1574"/>
  <c r="P8" i="1574"/>
  <c r="AC8" i="1574" s="1"/>
  <c r="AF7" i="1574"/>
  <c r="AB7" i="1574"/>
  <c r="Q7" i="1574"/>
  <c r="P7" i="1574"/>
  <c r="AC7" i="1574" s="1"/>
  <c r="O7" i="1574"/>
  <c r="M7" i="1574"/>
  <c r="K7" i="1574"/>
  <c r="AF6" i="1574"/>
  <c r="AC6" i="1574"/>
  <c r="AB6" i="1574"/>
  <c r="Q6" i="1574"/>
  <c r="P6" i="1574"/>
  <c r="O6" i="1574"/>
  <c r="M6" i="1574"/>
  <c r="K6" i="1574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1" i="1573"/>
  <c r="L20" i="1573"/>
  <c r="L19" i="1573"/>
  <c r="L18" i="1573"/>
  <c r="K18" i="1573" s="1"/>
  <c r="L17" i="1573"/>
  <c r="L15" i="1573"/>
  <c r="K15" i="1573" s="1"/>
  <c r="L14" i="1573"/>
  <c r="K14" i="1573" s="1"/>
  <c r="AF14" i="1573"/>
  <c r="Q14" i="1573"/>
  <c r="O14" i="1573"/>
  <c r="L13" i="1573"/>
  <c r="L12" i="1573"/>
  <c r="L10" i="1573"/>
  <c r="L9" i="1573"/>
  <c r="L8" i="1573"/>
  <c r="K8" i="1573" s="1"/>
  <c r="AD7" i="1574" l="1"/>
  <c r="Q21" i="1574"/>
  <c r="AD18" i="1574"/>
  <c r="AD15" i="1574"/>
  <c r="AD11" i="1574"/>
  <c r="AD10" i="1574"/>
  <c r="M8" i="1574"/>
  <c r="AB8" i="1574"/>
  <c r="M14" i="1574"/>
  <c r="AB14" i="1574"/>
  <c r="M17" i="1574"/>
  <c r="AB17" i="1574"/>
  <c r="P19" i="1574"/>
  <c r="AC19" i="1574" s="1"/>
  <c r="AD19" i="1574" s="1"/>
  <c r="AD6" i="1574"/>
  <c r="O8" i="1574"/>
  <c r="M13" i="1574"/>
  <c r="AB13" i="1574"/>
  <c r="AD13" i="1574" s="1"/>
  <c r="O14" i="1574"/>
  <c r="M16" i="1574"/>
  <c r="AB16" i="1574"/>
  <c r="AD16" i="1574" s="1"/>
  <c r="O17" i="1574"/>
  <c r="M20" i="1574"/>
  <c r="AB20" i="1574"/>
  <c r="AD20" i="1574" s="1"/>
  <c r="L21" i="1574"/>
  <c r="O21" i="1574" s="1"/>
  <c r="K21" i="1574"/>
  <c r="M10" i="1574"/>
  <c r="M19" i="1574"/>
  <c r="P14" i="1573"/>
  <c r="AC14" i="1573" s="1"/>
  <c r="M14" i="1573"/>
  <c r="AB14" i="1573"/>
  <c r="AD8" i="1574" l="1"/>
  <c r="M21" i="1574"/>
  <c r="AD14" i="1574"/>
  <c r="AD17" i="1574"/>
  <c r="AB21" i="1574"/>
  <c r="AC21" i="1574"/>
  <c r="P21" i="1574"/>
  <c r="AD14" i="1573"/>
  <c r="AD21" i="1574" l="1"/>
  <c r="AE12" i="1574" s="1"/>
  <c r="AE18" i="1574"/>
  <c r="AE6" i="1574"/>
  <c r="AE17" i="1574"/>
  <c r="AE10" i="1574"/>
  <c r="AE14" i="1574"/>
  <c r="AE20" i="1574"/>
  <c r="AE16" i="1574"/>
  <c r="AE7" i="1574" l="1"/>
  <c r="AE8" i="1574"/>
  <c r="AE15" i="1574"/>
  <c r="AE9" i="1574"/>
  <c r="AE13" i="1574"/>
  <c r="AE11" i="1574"/>
  <c r="AE19" i="1574"/>
  <c r="K21" i="1573"/>
  <c r="K20" i="1573"/>
  <c r="K17" i="1573"/>
  <c r="K13" i="1573"/>
  <c r="K12" i="1573"/>
  <c r="K10" i="1573"/>
  <c r="A75" i="1573"/>
  <c r="A76" i="1573" s="1"/>
  <c r="A77" i="1573" s="1"/>
  <c r="A78" i="1573" s="1"/>
  <c r="A79" i="1573" s="1"/>
  <c r="A80" i="1573" s="1"/>
  <c r="A81" i="1573" s="1"/>
  <c r="A82" i="1573" s="1"/>
  <c r="AF61" i="1573"/>
  <c r="AF60" i="1573"/>
  <c r="AF63" i="1573" s="1"/>
  <c r="AA22" i="1573"/>
  <c r="Z22" i="1573"/>
  <c r="Y22" i="1573"/>
  <c r="X22" i="1573"/>
  <c r="W22" i="1573"/>
  <c r="V22" i="1573"/>
  <c r="U22" i="1573"/>
  <c r="T22" i="1573"/>
  <c r="S22" i="1573"/>
  <c r="R22" i="1573"/>
  <c r="N22" i="1573"/>
  <c r="J22" i="1573"/>
  <c r="I22" i="1573"/>
  <c r="AF21" i="1573"/>
  <c r="Q21" i="1573"/>
  <c r="P21" i="1573"/>
  <c r="AC21" i="1573" s="1"/>
  <c r="O21" i="1573"/>
  <c r="AF20" i="1573"/>
  <c r="Q20" i="1573"/>
  <c r="P20" i="1573" s="1"/>
  <c r="AC20" i="1573" s="1"/>
  <c r="O20" i="1573"/>
  <c r="AB20" i="1573"/>
  <c r="AF19" i="1573"/>
  <c r="AB19" i="1573"/>
  <c r="Q19" i="1573"/>
  <c r="P19" i="1573" s="1"/>
  <c r="AC19" i="1573" s="1"/>
  <c r="O19" i="1573"/>
  <c r="M19" i="1573"/>
  <c r="K19" i="1573"/>
  <c r="AF18" i="1573"/>
  <c r="AB18" i="1573"/>
  <c r="Q18" i="1573"/>
  <c r="P18" i="1573"/>
  <c r="AC18" i="1573" s="1"/>
  <c r="O18" i="1573"/>
  <c r="M18" i="1573"/>
  <c r="AF17" i="1573"/>
  <c r="AB17" i="1573"/>
  <c r="Q17" i="1573"/>
  <c r="P17" i="1573"/>
  <c r="AC17" i="1573" s="1"/>
  <c r="O17" i="1573"/>
  <c r="M17" i="1573"/>
  <c r="AF16" i="1573"/>
  <c r="AB16" i="1573"/>
  <c r="Q16" i="1573"/>
  <c r="P16" i="1573"/>
  <c r="AC16" i="1573" s="1"/>
  <c r="O16" i="1573"/>
  <c r="M16" i="1573"/>
  <c r="K16" i="1573"/>
  <c r="AF15" i="1573"/>
  <c r="AB15" i="1573"/>
  <c r="Q15" i="1573"/>
  <c r="P15" i="1573" s="1"/>
  <c r="AC15" i="1573" s="1"/>
  <c r="O15" i="1573"/>
  <c r="M15" i="1573"/>
  <c r="AF13" i="1573"/>
  <c r="Q13" i="1573"/>
  <c r="P13" i="1573" s="1"/>
  <c r="AC13" i="1573" s="1"/>
  <c r="O13" i="1573"/>
  <c r="AB13" i="1573"/>
  <c r="AF12" i="1573"/>
  <c r="AB12" i="1573"/>
  <c r="Q12" i="1573"/>
  <c r="P12" i="1573" s="1"/>
  <c r="AC12" i="1573" s="1"/>
  <c r="O12" i="1573"/>
  <c r="M12" i="1573"/>
  <c r="AF11" i="1573"/>
  <c r="AB11" i="1573"/>
  <c r="Q11" i="1573"/>
  <c r="P11" i="1573"/>
  <c r="AC11" i="1573" s="1"/>
  <c r="O11" i="1573"/>
  <c r="M11" i="1573"/>
  <c r="K11" i="1573"/>
  <c r="AF10" i="1573"/>
  <c r="Q10" i="1573"/>
  <c r="P10" i="1573" s="1"/>
  <c r="AC10" i="1573" s="1"/>
  <c r="O10" i="1573"/>
  <c r="AB10" i="1573"/>
  <c r="AF9" i="1573"/>
  <c r="AB9" i="1573"/>
  <c r="Q9" i="1573"/>
  <c r="P9" i="1573" s="1"/>
  <c r="AC9" i="1573" s="1"/>
  <c r="O9" i="1573"/>
  <c r="M9" i="1573"/>
  <c r="K9" i="1573"/>
  <c r="AF8" i="1573"/>
  <c r="Q8" i="1573"/>
  <c r="P8" i="1573" s="1"/>
  <c r="AC8" i="1573" s="1"/>
  <c r="O8" i="1573"/>
  <c r="AF7" i="1573"/>
  <c r="AC7" i="1573"/>
  <c r="AB7" i="1573"/>
  <c r="Q7" i="1573"/>
  <c r="P7" i="1573"/>
  <c r="O7" i="1573"/>
  <c r="M7" i="1573"/>
  <c r="K7" i="1573"/>
  <c r="AF6" i="1573"/>
  <c r="AC6" i="1573"/>
  <c r="AB6" i="1573"/>
  <c r="Q6" i="1573"/>
  <c r="P6" i="1573"/>
  <c r="O6" i="1573"/>
  <c r="M6" i="1573"/>
  <c r="K6" i="1573"/>
  <c r="K22" i="1573" s="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1" i="1572"/>
  <c r="K21" i="1572"/>
  <c r="L20" i="1572"/>
  <c r="K20" i="1572"/>
  <c r="L17" i="1572"/>
  <c r="M17" i="1572" s="1"/>
  <c r="AF17" i="1572"/>
  <c r="AB17" i="1572"/>
  <c r="Q17" i="1572"/>
  <c r="O17" i="1572"/>
  <c r="K17" i="1572"/>
  <c r="K16" i="1572"/>
  <c r="L13" i="1572"/>
  <c r="O13" i="1572" s="1"/>
  <c r="L12" i="1572"/>
  <c r="K11" i="1572"/>
  <c r="L10" i="1572"/>
  <c r="O10" i="1572" s="1"/>
  <c r="L8" i="1572"/>
  <c r="M8" i="1572" s="1"/>
  <c r="K15" i="1572"/>
  <c r="K10" i="1572"/>
  <c r="K8" i="1572"/>
  <c r="A75" i="1572"/>
  <c r="A76" i="1572" s="1"/>
  <c r="A77" i="1572" s="1"/>
  <c r="A78" i="1572" s="1"/>
  <c r="A79" i="1572" s="1"/>
  <c r="A80" i="1572" s="1"/>
  <c r="A81" i="1572" s="1"/>
  <c r="A82" i="1572" s="1"/>
  <c r="AF61" i="1572"/>
  <c r="AF60" i="1572"/>
  <c r="AA22" i="1572"/>
  <c r="Z22" i="1572"/>
  <c r="Y22" i="1572"/>
  <c r="X22" i="1572"/>
  <c r="W22" i="1572"/>
  <c r="V22" i="1572"/>
  <c r="U22" i="1572"/>
  <c r="T22" i="1572"/>
  <c r="S22" i="1572"/>
  <c r="R22" i="1572"/>
  <c r="N22" i="1572"/>
  <c r="J22" i="1572"/>
  <c r="I22" i="1572"/>
  <c r="AF21" i="1572"/>
  <c r="Q21" i="1572"/>
  <c r="O21" i="1572"/>
  <c r="AF20" i="1572"/>
  <c r="AB20" i="1572"/>
  <c r="Q20" i="1572"/>
  <c r="P20" i="1572"/>
  <c r="AC20" i="1572" s="1"/>
  <c r="O20" i="1572"/>
  <c r="M20" i="1572"/>
  <c r="AF19" i="1572"/>
  <c r="AB19" i="1572"/>
  <c r="Q19" i="1572"/>
  <c r="P19" i="1572"/>
  <c r="AC19" i="1572" s="1"/>
  <c r="O19" i="1572"/>
  <c r="M19" i="1572"/>
  <c r="K19" i="1572"/>
  <c r="AF18" i="1572"/>
  <c r="AB18" i="1572"/>
  <c r="Q18" i="1572"/>
  <c r="P18" i="1572"/>
  <c r="AC18" i="1572" s="1"/>
  <c r="O18" i="1572"/>
  <c r="M18" i="1572"/>
  <c r="K18" i="1572"/>
  <c r="AF16" i="1572"/>
  <c r="AB16" i="1572"/>
  <c r="Q16" i="1572"/>
  <c r="P16" i="1572" s="1"/>
  <c r="AC16" i="1572" s="1"/>
  <c r="O16" i="1572"/>
  <c r="M16" i="1572"/>
  <c r="AF15" i="1572"/>
  <c r="AB15" i="1572"/>
  <c r="Q15" i="1572"/>
  <c r="P15" i="1572"/>
  <c r="AC15" i="1572" s="1"/>
  <c r="O15" i="1572"/>
  <c r="M15" i="1572"/>
  <c r="AF14" i="1572"/>
  <c r="AB14" i="1572"/>
  <c r="Q14" i="1572"/>
  <c r="P14" i="1572"/>
  <c r="AC14" i="1572" s="1"/>
  <c r="O14" i="1572"/>
  <c r="M14" i="1572"/>
  <c r="K14" i="1572"/>
  <c r="AF13" i="1572"/>
  <c r="Q13" i="1572"/>
  <c r="AF12" i="1572"/>
  <c r="Q12" i="1572"/>
  <c r="O12" i="1572"/>
  <c r="M12" i="1572"/>
  <c r="K12" i="1572"/>
  <c r="AF11" i="1572"/>
  <c r="AB11" i="1572"/>
  <c r="Q11" i="1572"/>
  <c r="M11" i="1572"/>
  <c r="P11" i="1572"/>
  <c r="AC11" i="1572" s="1"/>
  <c r="AF10" i="1572"/>
  <c r="Q10" i="1572"/>
  <c r="AF9" i="1572"/>
  <c r="AB9" i="1572"/>
  <c r="Q9" i="1572"/>
  <c r="P9" i="1572"/>
  <c r="AC9" i="1572" s="1"/>
  <c r="O9" i="1572"/>
  <c r="M9" i="1572"/>
  <c r="K9" i="1572"/>
  <c r="AF8" i="1572"/>
  <c r="AB8" i="1572"/>
  <c r="Q8" i="1572"/>
  <c r="AF7" i="1572"/>
  <c r="AB7" i="1572"/>
  <c r="Q7" i="1572"/>
  <c r="P7" i="1572"/>
  <c r="AC7" i="1572" s="1"/>
  <c r="O7" i="1572"/>
  <c r="M7" i="1572"/>
  <c r="K7" i="1572"/>
  <c r="AF6" i="1572"/>
  <c r="AB6" i="1572"/>
  <c r="Q6" i="1572"/>
  <c r="P6" i="1572"/>
  <c r="AC6" i="1572" s="1"/>
  <c r="O6" i="1572"/>
  <c r="M6" i="1572"/>
  <c r="K6" i="1572"/>
  <c r="AD12" i="1573" l="1"/>
  <c r="AD19" i="1573"/>
  <c r="AD7" i="1573"/>
  <c r="AD17" i="1573"/>
  <c r="Q22" i="1573"/>
  <c r="AD11" i="1573"/>
  <c r="AD16" i="1573"/>
  <c r="AD18" i="1573"/>
  <c r="AD9" i="1573"/>
  <c r="AD15" i="1573"/>
  <c r="AC22" i="1573"/>
  <c r="AD10" i="1573"/>
  <c r="AD13" i="1573"/>
  <c r="AD20" i="1573"/>
  <c r="P22" i="1573"/>
  <c r="M8" i="1573"/>
  <c r="M21" i="1573"/>
  <c r="AB21" i="1573"/>
  <c r="AD21" i="1573" s="1"/>
  <c r="L22" i="1573"/>
  <c r="O22" i="1573" s="1"/>
  <c r="AB8" i="1573"/>
  <c r="AD6" i="1573"/>
  <c r="M10" i="1573"/>
  <c r="M13" i="1573"/>
  <c r="M20" i="1573"/>
  <c r="AF63" i="1572"/>
  <c r="P17" i="1572"/>
  <c r="AC17" i="1572" s="1"/>
  <c r="AD17" i="1572" s="1"/>
  <c r="AD7" i="1572"/>
  <c r="AD14" i="1572"/>
  <c r="P12" i="1572"/>
  <c r="AC12" i="1572" s="1"/>
  <c r="K13" i="1572"/>
  <c r="AB12" i="1572"/>
  <c r="Q22" i="1572"/>
  <c r="P8" i="1572"/>
  <c r="AC8" i="1572" s="1"/>
  <c r="AD16" i="1572"/>
  <c r="AD9" i="1572"/>
  <c r="AD15" i="1572"/>
  <c r="AD19" i="1572"/>
  <c r="AD18" i="1572"/>
  <c r="AD12" i="1572"/>
  <c r="AD20" i="1572"/>
  <c r="AD6" i="1572"/>
  <c r="P10" i="1572"/>
  <c r="AC10" i="1572" s="1"/>
  <c r="P13" i="1572"/>
  <c r="AC13" i="1572" s="1"/>
  <c r="P21" i="1572"/>
  <c r="AC21" i="1572" s="1"/>
  <c r="O8" i="1572"/>
  <c r="M10" i="1572"/>
  <c r="AB10" i="1572"/>
  <c r="O11" i="1572"/>
  <c r="AD11" i="1572" s="1"/>
  <c r="M13" i="1572"/>
  <c r="AB13" i="1572"/>
  <c r="M21" i="1572"/>
  <c r="AB21" i="1572"/>
  <c r="L22" i="1572"/>
  <c r="O22" i="1572" s="1"/>
  <c r="K22" i="1572"/>
  <c r="K20" i="1571"/>
  <c r="AF20" i="1571"/>
  <c r="AB20" i="1571"/>
  <c r="Q20" i="1571"/>
  <c r="P20" i="1571" s="1"/>
  <c r="AC20" i="1571" s="1"/>
  <c r="O20" i="1571"/>
  <c r="M20" i="1571"/>
  <c r="L23" i="1571"/>
  <c r="K23" i="1571"/>
  <c r="K21" i="1571"/>
  <c r="AF21" i="1571"/>
  <c r="AB21" i="1571"/>
  <c r="Q21" i="1571"/>
  <c r="P21" i="1571" s="1"/>
  <c r="AC21" i="1571" s="1"/>
  <c r="AD21" i="1571" s="1"/>
  <c r="O21" i="1571"/>
  <c r="M21" i="1571"/>
  <c r="L16" i="1571"/>
  <c r="K16" i="1571"/>
  <c r="L14" i="1571"/>
  <c r="K14" i="1571" s="1"/>
  <c r="K13" i="1571"/>
  <c r="L12" i="1571"/>
  <c r="K12" i="1571"/>
  <c r="L11" i="1571"/>
  <c r="K10" i="1571"/>
  <c r="L9" i="1571"/>
  <c r="K9" i="1571"/>
  <c r="AF9" i="1571"/>
  <c r="AB9" i="1571"/>
  <c r="Q9" i="1571"/>
  <c r="P9" i="1571"/>
  <c r="AC9" i="1571" s="1"/>
  <c r="O9" i="1571"/>
  <c r="M9" i="1571"/>
  <c r="K19" i="1571"/>
  <c r="K11" i="1571"/>
  <c r="K8" i="1571"/>
  <c r="A78" i="1571"/>
  <c r="A79" i="1571" s="1"/>
  <c r="A80" i="1571" s="1"/>
  <c r="A81" i="1571" s="1"/>
  <c r="A82" i="1571" s="1"/>
  <c r="A83" i="1571" s="1"/>
  <c r="A84" i="1571" s="1"/>
  <c r="A77" i="1571"/>
  <c r="AF63" i="1571"/>
  <c r="AF62" i="1571"/>
  <c r="AF65" i="1571" s="1"/>
  <c r="AA24" i="1571"/>
  <c r="Z24" i="1571"/>
  <c r="Y24" i="1571"/>
  <c r="X24" i="1571"/>
  <c r="W24" i="1571"/>
  <c r="V24" i="1571"/>
  <c r="U24" i="1571"/>
  <c r="T24" i="1571"/>
  <c r="S24" i="1571"/>
  <c r="R24" i="1571"/>
  <c r="N24" i="1571"/>
  <c r="J24" i="1571"/>
  <c r="I24" i="1571"/>
  <c r="AF23" i="1571"/>
  <c r="AB23" i="1571"/>
  <c r="Q23" i="1571"/>
  <c r="O23" i="1571"/>
  <c r="M23" i="1571"/>
  <c r="AF22" i="1571"/>
  <c r="AB22" i="1571"/>
  <c r="Q22" i="1571"/>
  <c r="P22" i="1571"/>
  <c r="AC22" i="1571" s="1"/>
  <c r="O22" i="1571"/>
  <c r="M22" i="1571"/>
  <c r="K22" i="1571"/>
  <c r="AF19" i="1571"/>
  <c r="AB19" i="1571"/>
  <c r="Q19" i="1571"/>
  <c r="P19" i="1571" s="1"/>
  <c r="AC19" i="1571" s="1"/>
  <c r="O19" i="1571"/>
  <c r="M19" i="1571"/>
  <c r="AF18" i="1571"/>
  <c r="AB18" i="1571"/>
  <c r="Q18" i="1571"/>
  <c r="P18" i="1571"/>
  <c r="AC18" i="1571" s="1"/>
  <c r="AD18" i="1571" s="1"/>
  <c r="AC14" i="16" s="1"/>
  <c r="O18" i="1571"/>
  <c r="M18" i="1571"/>
  <c r="K18" i="1571"/>
  <c r="AF17" i="1571"/>
  <c r="AB17" i="1571"/>
  <c r="Q17" i="1571"/>
  <c r="P17" i="1571"/>
  <c r="AC17" i="1571" s="1"/>
  <c r="O17" i="1571"/>
  <c r="M17" i="1571"/>
  <c r="K17" i="1571"/>
  <c r="AF16" i="1571"/>
  <c r="AB16" i="1571"/>
  <c r="Q16" i="1571"/>
  <c r="O16" i="1571"/>
  <c r="M16" i="1571"/>
  <c r="AF15" i="1571"/>
  <c r="AB15" i="1571"/>
  <c r="Q15" i="1571"/>
  <c r="P15" i="1571"/>
  <c r="AC15" i="1571" s="1"/>
  <c r="AD15" i="1571" s="1"/>
  <c r="AC11" i="16" s="1"/>
  <c r="O15" i="1571"/>
  <c r="M15" i="1571"/>
  <c r="K15" i="1571"/>
  <c r="AF14" i="1571"/>
  <c r="Q14" i="1571"/>
  <c r="P14" i="1571" s="1"/>
  <c r="AC14" i="1571" s="1"/>
  <c r="AB14" i="1571"/>
  <c r="AF13" i="1571"/>
  <c r="AB13" i="1571"/>
  <c r="Q13" i="1571"/>
  <c r="P13" i="1571"/>
  <c r="AC13" i="1571" s="1"/>
  <c r="O13" i="1571"/>
  <c r="M13" i="1571"/>
  <c r="AF12" i="1571"/>
  <c r="AB12" i="1571"/>
  <c r="Q12" i="1571"/>
  <c r="P12" i="1571" s="1"/>
  <c r="AC12" i="1571" s="1"/>
  <c r="AD12" i="1571" s="1"/>
  <c r="AC8" i="16" s="1"/>
  <c r="O12" i="1571"/>
  <c r="M12" i="1571"/>
  <c r="AF11" i="1571"/>
  <c r="AB11" i="1571"/>
  <c r="Q11" i="1571"/>
  <c r="P11" i="1571"/>
  <c r="AC11" i="1571" s="1"/>
  <c r="O11" i="1571"/>
  <c r="M11" i="1571"/>
  <c r="AF10" i="1571"/>
  <c r="AB10" i="1571"/>
  <c r="Q10" i="1571"/>
  <c r="P10" i="1571" s="1"/>
  <c r="AC10" i="1571" s="1"/>
  <c r="O10" i="1571"/>
  <c r="M10" i="1571"/>
  <c r="AF8" i="1571"/>
  <c r="AB8" i="1571"/>
  <c r="Q8" i="1571"/>
  <c r="P8" i="1571" s="1"/>
  <c r="AC8" i="1571" s="1"/>
  <c r="O8" i="1571"/>
  <c r="M8" i="1571"/>
  <c r="AF7" i="1571"/>
  <c r="AB7" i="1571"/>
  <c r="Q7" i="1571"/>
  <c r="P7" i="1571"/>
  <c r="AC7" i="1571" s="1"/>
  <c r="O7" i="1571"/>
  <c r="M7" i="1571"/>
  <c r="K7" i="1571"/>
  <c r="AF6" i="1571"/>
  <c r="AB6" i="1571"/>
  <c r="Q6" i="1571"/>
  <c r="P6" i="1571"/>
  <c r="AC6" i="1571" s="1"/>
  <c r="O6" i="1571"/>
  <c r="M6" i="1571"/>
  <c r="K6" i="1571"/>
  <c r="AB22" i="1573" l="1"/>
  <c r="AD8" i="1573"/>
  <c r="AD22" i="1573" s="1"/>
  <c r="AE14" i="1573" s="1"/>
  <c r="M22" i="1573"/>
  <c r="AD8" i="1572"/>
  <c r="P22" i="1572"/>
  <c r="M22" i="1572"/>
  <c r="AB22" i="1572"/>
  <c r="AD13" i="1572"/>
  <c r="AC22" i="1572"/>
  <c r="AD21" i="1572"/>
  <c r="AD10" i="1572"/>
  <c r="AD20" i="1571"/>
  <c r="AD10" i="1571"/>
  <c r="AC6" i="16" s="1"/>
  <c r="P23" i="1571"/>
  <c r="AC23" i="1571" s="1"/>
  <c r="AD23" i="1571" s="1"/>
  <c r="AC17" i="16" s="1"/>
  <c r="AD7" i="1571"/>
  <c r="AC4" i="16" s="1"/>
  <c r="AD22" i="1571"/>
  <c r="AC16" i="16" s="1"/>
  <c r="AD19" i="1571"/>
  <c r="AC15" i="16" s="1"/>
  <c r="P16" i="1571"/>
  <c r="AC16" i="1571" s="1"/>
  <c r="AD16" i="1571" s="1"/>
  <c r="AC12" i="16" s="1"/>
  <c r="L24" i="1571"/>
  <c r="O24" i="1571" s="1"/>
  <c r="O14" i="1571"/>
  <c r="AD9" i="1571"/>
  <c r="AD11" i="1571"/>
  <c r="AC7" i="16" s="1"/>
  <c r="Q24" i="1571"/>
  <c r="AD13" i="1571"/>
  <c r="AC9" i="16" s="1"/>
  <c r="AD8" i="1571"/>
  <c r="AC5" i="16" s="1"/>
  <c r="AD17" i="1571"/>
  <c r="AC13" i="16" s="1"/>
  <c r="K24" i="1571"/>
  <c r="AD14" i="1571"/>
  <c r="AC10" i="16" s="1"/>
  <c r="AB24" i="1571"/>
  <c r="AD6" i="1571"/>
  <c r="AC3" i="16" s="1"/>
  <c r="M14" i="1571"/>
  <c r="M24" i="1571" s="1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13" i="1570"/>
  <c r="L12" i="1570"/>
  <c r="AE19" i="1573" l="1"/>
  <c r="AE17" i="1573"/>
  <c r="AE12" i="1573"/>
  <c r="AE9" i="1573"/>
  <c r="AE8" i="1573"/>
  <c r="AE20" i="1573"/>
  <c r="AE16" i="1573"/>
  <c r="AE13" i="1573"/>
  <c r="AE10" i="1573"/>
  <c r="AE7" i="1573"/>
  <c r="AE21" i="1573"/>
  <c r="AE18" i="1573"/>
  <c r="AE15" i="1573"/>
  <c r="AE6" i="1573"/>
  <c r="AE11" i="1573"/>
  <c r="AD22" i="1572"/>
  <c r="P24" i="1571"/>
  <c r="AC24" i="1571"/>
  <c r="AD24" i="1571"/>
  <c r="K20" i="1570"/>
  <c r="K18" i="1570"/>
  <c r="K17" i="1570"/>
  <c r="K16" i="1570"/>
  <c r="K13" i="1570"/>
  <c r="K12" i="1570"/>
  <c r="K10" i="1570"/>
  <c r="K9" i="1570"/>
  <c r="K8" i="1570"/>
  <c r="A74" i="1570"/>
  <c r="A75" i="1570" s="1"/>
  <c r="A76" i="1570" s="1"/>
  <c r="A77" i="1570" s="1"/>
  <c r="A78" i="1570" s="1"/>
  <c r="A79" i="1570" s="1"/>
  <c r="A80" i="1570" s="1"/>
  <c r="A81" i="1570" s="1"/>
  <c r="AF60" i="1570"/>
  <c r="AF59" i="1570"/>
  <c r="AF62" i="1570" s="1"/>
  <c r="AA21" i="1570"/>
  <c r="Z21" i="1570"/>
  <c r="Y21" i="1570"/>
  <c r="X21" i="1570"/>
  <c r="W21" i="1570"/>
  <c r="V21" i="1570"/>
  <c r="U21" i="1570"/>
  <c r="T21" i="1570"/>
  <c r="S21" i="1570"/>
  <c r="R21" i="1570"/>
  <c r="N21" i="1570"/>
  <c r="L21" i="1570"/>
  <c r="O21" i="1570" s="1"/>
  <c r="J21" i="1570"/>
  <c r="I21" i="1570"/>
  <c r="AF20" i="1570"/>
  <c r="AB20" i="1570"/>
  <c r="Q20" i="1570"/>
  <c r="M20" i="1570"/>
  <c r="O20" i="1570"/>
  <c r="AF19" i="1570"/>
  <c r="AB19" i="1570"/>
  <c r="Q19" i="1570"/>
  <c r="P19" i="1570"/>
  <c r="AC19" i="1570" s="1"/>
  <c r="O19" i="1570"/>
  <c r="M19" i="1570"/>
  <c r="K19" i="1570"/>
  <c r="AF18" i="1570"/>
  <c r="AB18" i="1570"/>
  <c r="Q18" i="1570"/>
  <c r="P18" i="1570" s="1"/>
  <c r="AC18" i="1570" s="1"/>
  <c r="O18" i="1570"/>
  <c r="M18" i="1570"/>
  <c r="AF17" i="1570"/>
  <c r="AB17" i="1570"/>
  <c r="Q17" i="1570"/>
  <c r="M17" i="1570"/>
  <c r="O17" i="1570"/>
  <c r="AF16" i="1570"/>
  <c r="AB16" i="1570"/>
  <c r="Q16" i="1570"/>
  <c r="P16" i="1570" s="1"/>
  <c r="AC16" i="1570" s="1"/>
  <c r="O16" i="1570"/>
  <c r="M16" i="1570"/>
  <c r="AF15" i="1570"/>
  <c r="AC15" i="1570"/>
  <c r="AB15" i="1570"/>
  <c r="Q15" i="1570"/>
  <c r="P15" i="1570"/>
  <c r="O15" i="1570"/>
  <c r="M15" i="1570"/>
  <c r="K15" i="1570"/>
  <c r="AF14" i="1570"/>
  <c r="AB14" i="1570"/>
  <c r="Q14" i="1570"/>
  <c r="P14" i="1570"/>
  <c r="AC14" i="1570" s="1"/>
  <c r="O14" i="1570"/>
  <c r="M14" i="1570"/>
  <c r="K14" i="1570"/>
  <c r="AF13" i="1570"/>
  <c r="AB13" i="1570"/>
  <c r="Q13" i="1570"/>
  <c r="P13" i="1570" s="1"/>
  <c r="AC13" i="1570" s="1"/>
  <c r="O13" i="1570"/>
  <c r="M13" i="1570"/>
  <c r="AF12" i="1570"/>
  <c r="AB12" i="1570"/>
  <c r="Q12" i="1570"/>
  <c r="M12" i="1570"/>
  <c r="O12" i="1570"/>
  <c r="AF11" i="1570"/>
  <c r="AB11" i="1570"/>
  <c r="Q11" i="1570"/>
  <c r="P11" i="1570"/>
  <c r="AC11" i="1570" s="1"/>
  <c r="O11" i="1570"/>
  <c r="M11" i="1570"/>
  <c r="K11" i="1570"/>
  <c r="AF10" i="1570"/>
  <c r="AB10" i="1570"/>
  <c r="Q10" i="1570"/>
  <c r="P10" i="1570" s="1"/>
  <c r="AC10" i="1570" s="1"/>
  <c r="O10" i="1570"/>
  <c r="M10" i="1570"/>
  <c r="AF9" i="1570"/>
  <c r="AB9" i="1570"/>
  <c r="Q9" i="1570"/>
  <c r="M9" i="1570"/>
  <c r="O9" i="1570"/>
  <c r="AF8" i="1570"/>
  <c r="AB8" i="1570"/>
  <c r="Q8" i="1570"/>
  <c r="P8" i="1570" s="1"/>
  <c r="AC8" i="1570" s="1"/>
  <c r="O8" i="1570"/>
  <c r="M8" i="1570"/>
  <c r="AF7" i="1570"/>
  <c r="AB7" i="1570"/>
  <c r="Q7" i="1570"/>
  <c r="P7" i="1570"/>
  <c r="AC7" i="1570" s="1"/>
  <c r="O7" i="1570"/>
  <c r="M7" i="1570"/>
  <c r="K7" i="1570"/>
  <c r="AF6" i="1570"/>
  <c r="AB6" i="1570"/>
  <c r="Q6" i="1570"/>
  <c r="P6" i="1570"/>
  <c r="AC6" i="1570" s="1"/>
  <c r="O6" i="1570"/>
  <c r="M6" i="1570"/>
  <c r="K6" i="1570"/>
  <c r="AA18" i="16"/>
  <c r="AA17" i="16"/>
  <c r="AA16" i="16"/>
  <c r="AA15" i="16"/>
  <c r="AA14" i="16"/>
  <c r="AA13" i="16"/>
  <c r="AA12" i="16"/>
  <c r="AA11" i="16"/>
  <c r="AA10" i="16"/>
  <c r="AA9" i="16"/>
  <c r="AA8" i="16"/>
  <c r="AA7" i="16"/>
  <c r="AA6" i="16"/>
  <c r="AA5" i="16"/>
  <c r="AA4" i="16"/>
  <c r="AA3" i="16"/>
  <c r="L21" i="1569"/>
  <c r="K21" i="1569" s="1"/>
  <c r="L19" i="1569"/>
  <c r="AB19" i="1569" s="1"/>
  <c r="K19" i="1569"/>
  <c r="L18" i="1569"/>
  <c r="K18" i="1569" s="1"/>
  <c r="K17" i="1569"/>
  <c r="L14" i="1569"/>
  <c r="K14" i="1569" s="1"/>
  <c r="L13" i="1569"/>
  <c r="K13" i="1569" s="1"/>
  <c r="L11" i="1569"/>
  <c r="P11" i="1569" s="1"/>
  <c r="AC11" i="1569" s="1"/>
  <c r="L10" i="1569"/>
  <c r="AB10" i="1569" s="1"/>
  <c r="K10" i="1569"/>
  <c r="AF10" i="1569"/>
  <c r="Q10" i="1569"/>
  <c r="P10" i="1569" s="1"/>
  <c r="AC10" i="1569" s="1"/>
  <c r="O10" i="1569"/>
  <c r="M10" i="1569"/>
  <c r="L8" i="1569"/>
  <c r="M8" i="1569" s="1"/>
  <c r="K16" i="1569"/>
  <c r="K12" i="1569"/>
  <c r="K11" i="1569"/>
  <c r="K9" i="1569"/>
  <c r="A76" i="1569"/>
  <c r="A77" i="1569" s="1"/>
  <c r="A78" i="1569" s="1"/>
  <c r="A79" i="1569" s="1"/>
  <c r="A80" i="1569" s="1"/>
  <c r="A81" i="1569" s="1"/>
  <c r="A82" i="1569" s="1"/>
  <c r="A75" i="1569"/>
  <c r="AF61" i="1569"/>
  <c r="AF60" i="1569"/>
  <c r="AF63" i="1569" s="1"/>
  <c r="AA22" i="1569"/>
  <c r="Z22" i="1569"/>
  <c r="Y22" i="1569"/>
  <c r="X22" i="1569"/>
  <c r="W22" i="1569"/>
  <c r="V22" i="1569"/>
  <c r="U22" i="1569"/>
  <c r="T22" i="1569"/>
  <c r="S22" i="1569"/>
  <c r="R22" i="1569"/>
  <c r="N22" i="1569"/>
  <c r="J22" i="1569"/>
  <c r="I22" i="1569"/>
  <c r="AF21" i="1569"/>
  <c r="Q21" i="1569"/>
  <c r="AB21" i="1569"/>
  <c r="AF20" i="1569"/>
  <c r="AB20" i="1569"/>
  <c r="Q20" i="1569"/>
  <c r="P20" i="1569"/>
  <c r="AC20" i="1569" s="1"/>
  <c r="O20" i="1569"/>
  <c r="M20" i="1569"/>
  <c r="K20" i="1569"/>
  <c r="AF19" i="1569"/>
  <c r="Q19" i="1569"/>
  <c r="P19" i="1569" s="1"/>
  <c r="AC19" i="1569" s="1"/>
  <c r="O19" i="1569"/>
  <c r="M19" i="1569"/>
  <c r="AF18" i="1569"/>
  <c r="Q18" i="1569"/>
  <c r="AB18" i="1569"/>
  <c r="AF17" i="1569"/>
  <c r="AB17" i="1569"/>
  <c r="Q17" i="1569"/>
  <c r="P17" i="1569"/>
  <c r="AC17" i="1569" s="1"/>
  <c r="AD17" i="1569" s="1"/>
  <c r="M17" i="1569"/>
  <c r="O17" i="1569"/>
  <c r="AF16" i="1569"/>
  <c r="AB16" i="1569"/>
  <c r="Q16" i="1569"/>
  <c r="P16" i="1569" s="1"/>
  <c r="AC16" i="1569" s="1"/>
  <c r="O16" i="1569"/>
  <c r="M16" i="1569"/>
  <c r="AF15" i="1569"/>
  <c r="AB15" i="1569"/>
  <c r="Q15" i="1569"/>
  <c r="P15" i="1569"/>
  <c r="AC15" i="1569" s="1"/>
  <c r="O15" i="1569"/>
  <c r="M15" i="1569"/>
  <c r="K15" i="1569"/>
  <c r="AF14" i="1569"/>
  <c r="Q14" i="1569"/>
  <c r="P14" i="1569"/>
  <c r="AC14" i="1569" s="1"/>
  <c r="AF13" i="1569"/>
  <c r="AB13" i="1569"/>
  <c r="Q13" i="1569"/>
  <c r="P13" i="1569" s="1"/>
  <c r="AC13" i="1569" s="1"/>
  <c r="O13" i="1569"/>
  <c r="M13" i="1569"/>
  <c r="AF12" i="1569"/>
  <c r="AB12" i="1569"/>
  <c r="Q12" i="1569"/>
  <c r="P12" i="1569"/>
  <c r="AC12" i="1569" s="1"/>
  <c r="M12" i="1569"/>
  <c r="O12" i="1569"/>
  <c r="AF11" i="1569"/>
  <c r="Q11" i="1569"/>
  <c r="O11" i="1569"/>
  <c r="AF9" i="1569"/>
  <c r="AB9" i="1569"/>
  <c r="Q9" i="1569"/>
  <c r="P9" i="1569" s="1"/>
  <c r="AC9" i="1569" s="1"/>
  <c r="O9" i="1569"/>
  <c r="M9" i="1569"/>
  <c r="AF8" i="1569"/>
  <c r="AB8" i="1569"/>
  <c r="Q8" i="1569"/>
  <c r="P8" i="1569" s="1"/>
  <c r="AC8" i="1569" s="1"/>
  <c r="O8" i="1569"/>
  <c r="AF7" i="1569"/>
  <c r="AB7" i="1569"/>
  <c r="Q7" i="1569"/>
  <c r="P7" i="1569"/>
  <c r="AC7" i="1569" s="1"/>
  <c r="AD7" i="1569" s="1"/>
  <c r="O7" i="1569"/>
  <c r="M7" i="1569"/>
  <c r="K7" i="1569"/>
  <c r="AF6" i="1569"/>
  <c r="AB6" i="1569"/>
  <c r="Q6" i="1569"/>
  <c r="P6" i="1569"/>
  <c r="AC6" i="1569" s="1"/>
  <c r="AD6" i="1569" s="1"/>
  <c r="O6" i="1569"/>
  <c r="M6" i="1569"/>
  <c r="K6" i="1569"/>
  <c r="AE7" i="1572" l="1"/>
  <c r="AE17" i="1572"/>
  <c r="AE14" i="1572"/>
  <c r="AE16" i="1572"/>
  <c r="AE9" i="1572"/>
  <c r="AE21" i="1572"/>
  <c r="AE10" i="1572"/>
  <c r="AE18" i="1572"/>
  <c r="AE8" i="1572"/>
  <c r="AE19" i="1572"/>
  <c r="AE12" i="1572"/>
  <c r="AE20" i="1572"/>
  <c r="AE6" i="1572"/>
  <c r="AE11" i="1572"/>
  <c r="AE13" i="1572"/>
  <c r="AE15" i="1572"/>
  <c r="AE21" i="1571"/>
  <c r="AC18" i="16"/>
  <c r="AE20" i="1571"/>
  <c r="AE22" i="1571"/>
  <c r="AE9" i="1571"/>
  <c r="AE11" i="1571"/>
  <c r="AE17" i="1571"/>
  <c r="AE16" i="1571"/>
  <c r="AE15" i="1571"/>
  <c r="AE12" i="1571"/>
  <c r="AE13" i="1571"/>
  <c r="AE14" i="1571"/>
  <c r="AE19" i="1571"/>
  <c r="AE10" i="1571"/>
  <c r="AE18" i="1571"/>
  <c r="AE23" i="1571"/>
  <c r="AE7" i="1571"/>
  <c r="AE6" i="1571"/>
  <c r="AE8" i="1571"/>
  <c r="AD11" i="1570"/>
  <c r="AD16" i="1570"/>
  <c r="AD18" i="1570"/>
  <c r="AD13" i="1570"/>
  <c r="Q21" i="1570"/>
  <c r="M21" i="1570"/>
  <c r="AD7" i="1570"/>
  <c r="AD8" i="1570"/>
  <c r="AD10" i="1570"/>
  <c r="AD19" i="1570"/>
  <c r="AD15" i="1570"/>
  <c r="AB21" i="1570"/>
  <c r="AD14" i="1570"/>
  <c r="AD6" i="1570"/>
  <c r="P9" i="1570"/>
  <c r="AC9" i="1570" s="1"/>
  <c r="AD9" i="1570" s="1"/>
  <c r="P12" i="1570"/>
  <c r="AC12" i="1570" s="1"/>
  <c r="AD12" i="1570" s="1"/>
  <c r="P17" i="1570"/>
  <c r="AC17" i="1570" s="1"/>
  <c r="AD17" i="1570" s="1"/>
  <c r="P20" i="1570"/>
  <c r="AC20" i="1570" s="1"/>
  <c r="AD20" i="1570" s="1"/>
  <c r="K21" i="1570"/>
  <c r="L22" i="1569"/>
  <c r="O22" i="1569" s="1"/>
  <c r="O14" i="1569"/>
  <c r="AD10" i="1569"/>
  <c r="AD20" i="1569"/>
  <c r="AD15" i="1569"/>
  <c r="Q22" i="1569"/>
  <c r="K8" i="1569"/>
  <c r="K22" i="1569" s="1"/>
  <c r="AD8" i="1569"/>
  <c r="AD12" i="1569"/>
  <c r="AD16" i="1569"/>
  <c r="AD13" i="1569"/>
  <c r="AD19" i="1569"/>
  <c r="AD9" i="1569"/>
  <c r="O18" i="1569"/>
  <c r="O21" i="1569"/>
  <c r="M11" i="1569"/>
  <c r="AB11" i="1569"/>
  <c r="AD11" i="1569" s="1"/>
  <c r="M14" i="1569"/>
  <c r="AB14" i="1569"/>
  <c r="P18" i="1569"/>
  <c r="AC18" i="1569" s="1"/>
  <c r="P21" i="1569"/>
  <c r="AC21" i="1569" s="1"/>
  <c r="M18" i="1569"/>
  <c r="M21" i="1569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20" i="1568"/>
  <c r="M20" i="1568" s="1"/>
  <c r="L18" i="1568"/>
  <c r="O18" i="1568" s="1"/>
  <c r="L17" i="1568"/>
  <c r="O17" i="1568" s="1"/>
  <c r="K17" i="1568"/>
  <c r="L16" i="1568"/>
  <c r="L13" i="1568"/>
  <c r="AF13" i="1568"/>
  <c r="AB13" i="1568"/>
  <c r="Q13" i="1568"/>
  <c r="P13" i="1568" s="1"/>
  <c r="AC13" i="1568" s="1"/>
  <c r="AD13" i="1568" s="1"/>
  <c r="O13" i="1568"/>
  <c r="M13" i="1568"/>
  <c r="K13" i="1568"/>
  <c r="L11" i="1568"/>
  <c r="L10" i="1568"/>
  <c r="L9" i="1568"/>
  <c r="K8" i="1568"/>
  <c r="K20" i="1568"/>
  <c r="K18" i="1568"/>
  <c r="K16" i="1568"/>
  <c r="K15" i="1568"/>
  <c r="K12" i="1568"/>
  <c r="K11" i="1568"/>
  <c r="K10" i="1568"/>
  <c r="K9" i="1568"/>
  <c r="A74" i="1568"/>
  <c r="A75" i="1568" s="1"/>
  <c r="A76" i="1568" s="1"/>
  <c r="A77" i="1568" s="1"/>
  <c r="A78" i="1568" s="1"/>
  <c r="A79" i="1568" s="1"/>
  <c r="A80" i="1568" s="1"/>
  <c r="A81" i="1568" s="1"/>
  <c r="AF60" i="1568"/>
  <c r="AF62" i="1568" s="1"/>
  <c r="AF59" i="1568"/>
  <c r="AA21" i="1568"/>
  <c r="Z21" i="1568"/>
  <c r="Y21" i="1568"/>
  <c r="X21" i="1568"/>
  <c r="W21" i="1568"/>
  <c r="V21" i="1568"/>
  <c r="U21" i="1568"/>
  <c r="T21" i="1568"/>
  <c r="S21" i="1568"/>
  <c r="R21" i="1568"/>
  <c r="N21" i="1568"/>
  <c r="J21" i="1568"/>
  <c r="I21" i="1568"/>
  <c r="AF20" i="1568"/>
  <c r="AB20" i="1568"/>
  <c r="Q20" i="1568"/>
  <c r="O20" i="1568"/>
  <c r="AF19" i="1568"/>
  <c r="AB19" i="1568"/>
  <c r="Q19" i="1568"/>
  <c r="P19" i="1568"/>
  <c r="AC19" i="1568" s="1"/>
  <c r="O19" i="1568"/>
  <c r="M19" i="1568"/>
  <c r="K19" i="1568"/>
  <c r="AF18" i="1568"/>
  <c r="Q18" i="1568"/>
  <c r="AF17" i="1568"/>
  <c r="Q17" i="1568"/>
  <c r="M17" i="1568"/>
  <c r="AF16" i="1568"/>
  <c r="Q16" i="1568"/>
  <c r="AB16" i="1568"/>
  <c r="AF15" i="1568"/>
  <c r="AB15" i="1568"/>
  <c r="Q15" i="1568"/>
  <c r="P15" i="1568" s="1"/>
  <c r="AC15" i="1568" s="1"/>
  <c r="O15" i="1568"/>
  <c r="M15" i="1568"/>
  <c r="AF14" i="1568"/>
  <c r="AB14" i="1568"/>
  <c r="Q14" i="1568"/>
  <c r="P14" i="1568"/>
  <c r="AC14" i="1568" s="1"/>
  <c r="AD14" i="1568" s="1"/>
  <c r="O14" i="1568"/>
  <c r="M14" i="1568"/>
  <c r="K14" i="1568"/>
  <c r="AF12" i="1568"/>
  <c r="AB12" i="1568"/>
  <c r="Q12" i="1568"/>
  <c r="P12" i="1568"/>
  <c r="AC12" i="1568" s="1"/>
  <c r="O12" i="1568"/>
  <c r="M12" i="1568"/>
  <c r="AF11" i="1568"/>
  <c r="Q11" i="1568"/>
  <c r="P11" i="1568" s="1"/>
  <c r="AC11" i="1568" s="1"/>
  <c r="O11" i="1568"/>
  <c r="AF10" i="1568"/>
  <c r="AB10" i="1568"/>
  <c r="Q10" i="1568"/>
  <c r="M10" i="1568"/>
  <c r="O10" i="1568"/>
  <c r="AF9" i="1568"/>
  <c r="Q9" i="1568"/>
  <c r="AB9" i="1568"/>
  <c r="AF8" i="1568"/>
  <c r="AB8" i="1568"/>
  <c r="Q8" i="1568"/>
  <c r="P8" i="1568"/>
  <c r="AC8" i="1568" s="1"/>
  <c r="O8" i="1568"/>
  <c r="M8" i="1568"/>
  <c r="AF7" i="1568"/>
  <c r="AC7" i="1568"/>
  <c r="AD7" i="1568" s="1"/>
  <c r="AB7" i="1568"/>
  <c r="Q7" i="1568"/>
  <c r="P7" i="1568"/>
  <c r="O7" i="1568"/>
  <c r="M7" i="1568"/>
  <c r="K7" i="1568"/>
  <c r="AF6" i="1568"/>
  <c r="AB6" i="1568"/>
  <c r="Q6" i="1568"/>
  <c r="P6" i="1568"/>
  <c r="O6" i="1568"/>
  <c r="M6" i="1568"/>
  <c r="K6" i="1568"/>
  <c r="P21" i="1570" l="1"/>
  <c r="AD21" i="1570"/>
  <c r="AC21" i="1570"/>
  <c r="AB22" i="1569"/>
  <c r="AD18" i="1569"/>
  <c r="M22" i="1569"/>
  <c r="AD21" i="1569"/>
  <c r="AD14" i="1569"/>
  <c r="AC22" i="1569"/>
  <c r="P22" i="1569"/>
  <c r="P18" i="1568"/>
  <c r="AC18" i="1568" s="1"/>
  <c r="AB17" i="1568"/>
  <c r="Q21" i="1568"/>
  <c r="AD8" i="1568"/>
  <c r="AD12" i="1568"/>
  <c r="AD19" i="1568"/>
  <c r="AD15" i="1568"/>
  <c r="AC6" i="1568"/>
  <c r="O9" i="1568"/>
  <c r="P10" i="1568"/>
  <c r="AC10" i="1568" s="1"/>
  <c r="AD10" i="1568" s="1"/>
  <c r="O16" i="1568"/>
  <c r="P17" i="1568"/>
  <c r="AC17" i="1568" s="1"/>
  <c r="P20" i="1568"/>
  <c r="AC20" i="1568" s="1"/>
  <c r="AD20" i="1568" s="1"/>
  <c r="K21" i="1568"/>
  <c r="P9" i="1568"/>
  <c r="AC9" i="1568" s="1"/>
  <c r="M11" i="1568"/>
  <c r="AB11" i="1568"/>
  <c r="AD11" i="1568" s="1"/>
  <c r="P16" i="1568"/>
  <c r="AC16" i="1568" s="1"/>
  <c r="AD16" i="1568" s="1"/>
  <c r="M18" i="1568"/>
  <c r="AB18" i="1568"/>
  <c r="L21" i="1568"/>
  <c r="O21" i="1568" s="1"/>
  <c r="M9" i="1568"/>
  <c r="M16" i="1568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L20" i="1567"/>
  <c r="L18" i="1567"/>
  <c r="K18" i="1567"/>
  <c r="L17" i="1567"/>
  <c r="K17" i="1567" s="1"/>
  <c r="L16" i="1567"/>
  <c r="O16" i="1567" s="1"/>
  <c r="L15" i="1567"/>
  <c r="K15" i="1567" s="1"/>
  <c r="L13" i="1567"/>
  <c r="O13" i="1567" s="1"/>
  <c r="L12" i="1567"/>
  <c r="L11" i="1567"/>
  <c r="O11" i="1567" s="1"/>
  <c r="L10" i="1567"/>
  <c r="AB10" i="1567" s="1"/>
  <c r="L9" i="1567"/>
  <c r="K9" i="1567" s="1"/>
  <c r="L8" i="1567"/>
  <c r="K20" i="1567"/>
  <c r="K19" i="1567"/>
  <c r="K12" i="1567"/>
  <c r="K10" i="1567"/>
  <c r="K8" i="1567"/>
  <c r="A75" i="1567"/>
  <c r="A76" i="1567" s="1"/>
  <c r="A77" i="1567" s="1"/>
  <c r="A78" i="1567" s="1"/>
  <c r="A79" i="1567" s="1"/>
  <c r="A80" i="1567" s="1"/>
  <c r="A81" i="1567" s="1"/>
  <c r="A74" i="1567"/>
  <c r="AF60" i="1567"/>
  <c r="AF59" i="1567"/>
  <c r="AA21" i="1567"/>
  <c r="Z21" i="1567"/>
  <c r="Y21" i="1567"/>
  <c r="X21" i="1567"/>
  <c r="W21" i="1567"/>
  <c r="V21" i="1567"/>
  <c r="U21" i="1567"/>
  <c r="T21" i="1567"/>
  <c r="S21" i="1567"/>
  <c r="R21" i="1567"/>
  <c r="N21" i="1567"/>
  <c r="J21" i="1567"/>
  <c r="I21" i="1567"/>
  <c r="AF20" i="1567"/>
  <c r="Q20" i="1567"/>
  <c r="O20" i="1567"/>
  <c r="AF19" i="1567"/>
  <c r="AB19" i="1567"/>
  <c r="Q19" i="1567"/>
  <c r="P19" i="1567"/>
  <c r="AC19" i="1567" s="1"/>
  <c r="M19" i="1567"/>
  <c r="O19" i="1567"/>
  <c r="AF18" i="1567"/>
  <c r="AB18" i="1567"/>
  <c r="Q18" i="1567"/>
  <c r="M18" i="1567"/>
  <c r="O18" i="1567"/>
  <c r="AF17" i="1567"/>
  <c r="Q17" i="1567"/>
  <c r="AF16" i="1567"/>
  <c r="Q16" i="1567"/>
  <c r="P16" i="1567" s="1"/>
  <c r="AC16" i="1567" s="1"/>
  <c r="AF15" i="1567"/>
  <c r="AB15" i="1567"/>
  <c r="Q15" i="1567"/>
  <c r="M15" i="1567"/>
  <c r="O15" i="1567"/>
  <c r="AF14" i="1567"/>
  <c r="AB14" i="1567"/>
  <c r="Q14" i="1567"/>
  <c r="P14" i="1567"/>
  <c r="AC14" i="1567" s="1"/>
  <c r="AD14" i="1567" s="1"/>
  <c r="O14" i="1567"/>
  <c r="M14" i="1567"/>
  <c r="K14" i="1567"/>
  <c r="AF13" i="1567"/>
  <c r="Q13" i="1567"/>
  <c r="M13" i="1567"/>
  <c r="AF12" i="1567"/>
  <c r="Q12" i="1567"/>
  <c r="O12" i="1567"/>
  <c r="AF11" i="1567"/>
  <c r="Q11" i="1567"/>
  <c r="P11" i="1567" s="1"/>
  <c r="AC11" i="1567" s="1"/>
  <c r="AF10" i="1567"/>
  <c r="Q10" i="1567"/>
  <c r="P10" i="1567" s="1"/>
  <c r="AC10" i="1567" s="1"/>
  <c r="M10" i="1567"/>
  <c r="AF9" i="1567"/>
  <c r="Q9" i="1567"/>
  <c r="AF8" i="1567"/>
  <c r="AB8" i="1567"/>
  <c r="Q8" i="1567"/>
  <c r="P8" i="1567" s="1"/>
  <c r="AC8" i="1567" s="1"/>
  <c r="M8" i="1567"/>
  <c r="AF7" i="1567"/>
  <c r="AB7" i="1567"/>
  <c r="Q7" i="1567"/>
  <c r="P7" i="1567"/>
  <c r="AC7" i="1567" s="1"/>
  <c r="O7" i="1567"/>
  <c r="M7" i="1567"/>
  <c r="K7" i="1567"/>
  <c r="AF6" i="1567"/>
  <c r="AB6" i="1567"/>
  <c r="Q6" i="1567"/>
  <c r="P6" i="1567"/>
  <c r="AC6" i="1567" s="1"/>
  <c r="O6" i="1567"/>
  <c r="M6" i="1567"/>
  <c r="K6" i="1567"/>
  <c r="AE6" i="1570" l="1"/>
  <c r="AE16" i="1570"/>
  <c r="AE11" i="1570"/>
  <c r="AE20" i="1570"/>
  <c r="AE17" i="1570"/>
  <c r="AE12" i="1570"/>
  <c r="AE9" i="1570"/>
  <c r="AE7" i="1570"/>
  <c r="AE14" i="1570"/>
  <c r="AE18" i="1570"/>
  <c r="AE15" i="1570"/>
  <c r="AE13" i="1570"/>
  <c r="AE10" i="1570"/>
  <c r="AE8" i="1570"/>
  <c r="AE19" i="1570"/>
  <c r="AD22" i="1569"/>
  <c r="AE10" i="1569" s="1"/>
  <c r="AD18" i="1568"/>
  <c r="AD17" i="1568"/>
  <c r="M21" i="1568"/>
  <c r="AD9" i="1568"/>
  <c r="AB21" i="1568"/>
  <c r="AC21" i="1568"/>
  <c r="AD6" i="1568"/>
  <c r="P21" i="1568"/>
  <c r="AD7" i="1567"/>
  <c r="AB9" i="1567"/>
  <c r="K13" i="1567"/>
  <c r="K21" i="1567" s="1"/>
  <c r="AB13" i="1567"/>
  <c r="K16" i="1567"/>
  <c r="M11" i="1567"/>
  <c r="AF62" i="1567"/>
  <c r="P18" i="1567"/>
  <c r="AC18" i="1567" s="1"/>
  <c r="AD18" i="1567"/>
  <c r="P15" i="1567"/>
  <c r="AC15" i="1567" s="1"/>
  <c r="AD15" i="1567" s="1"/>
  <c r="O17" i="1567"/>
  <c r="P13" i="1567"/>
  <c r="AC13" i="1567" s="1"/>
  <c r="AD13" i="1567" s="1"/>
  <c r="Q21" i="1567"/>
  <c r="AB11" i="1567"/>
  <c r="AD11" i="1567" s="1"/>
  <c r="K11" i="1567"/>
  <c r="L21" i="1567"/>
  <c r="O21" i="1567" s="1"/>
  <c r="O10" i="1567"/>
  <c r="AD19" i="1567"/>
  <c r="AD10" i="1567"/>
  <c r="O9" i="1567"/>
  <c r="AD6" i="1567"/>
  <c r="O8" i="1567"/>
  <c r="AD8" i="1567" s="1"/>
  <c r="P9" i="1567"/>
  <c r="AC9" i="1567" s="1"/>
  <c r="P12" i="1567"/>
  <c r="AC12" i="1567" s="1"/>
  <c r="M16" i="1567"/>
  <c r="AB16" i="1567"/>
  <c r="AD16" i="1567" s="1"/>
  <c r="P17" i="1567"/>
  <c r="AC17" i="1567" s="1"/>
  <c r="P20" i="1567"/>
  <c r="AC20" i="1567" s="1"/>
  <c r="M9" i="1567"/>
  <c r="M12" i="1567"/>
  <c r="AB12" i="1567"/>
  <c r="M17" i="1567"/>
  <c r="AB17" i="1567"/>
  <c r="M20" i="1567"/>
  <c r="AB20" i="1567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L22" i="1566"/>
  <c r="L21" i="1566"/>
  <c r="L20" i="1566"/>
  <c r="O20" i="1566" s="1"/>
  <c r="AF20" i="1566"/>
  <c r="Q20" i="1566"/>
  <c r="M20" i="1566"/>
  <c r="K20" i="1566"/>
  <c r="L19" i="1566"/>
  <c r="K19" i="1566"/>
  <c r="K18" i="1566"/>
  <c r="L18" i="1566"/>
  <c r="AE9" i="1569" l="1"/>
  <c r="AE17" i="1569"/>
  <c r="AE21" i="1569"/>
  <c r="AE20" i="1569"/>
  <c r="AE12" i="1569"/>
  <c r="AE19" i="1569"/>
  <c r="AE16" i="1569"/>
  <c r="AE8" i="1569"/>
  <c r="AE11" i="1569"/>
  <c r="AE14" i="1569"/>
  <c r="AE13" i="1569"/>
  <c r="AE7" i="1569"/>
  <c r="AE6" i="1569"/>
  <c r="AE15" i="1569"/>
  <c r="AE18" i="1569"/>
  <c r="AD21" i="1568"/>
  <c r="M21" i="1567"/>
  <c r="AD9" i="1567"/>
  <c r="AB21" i="1567"/>
  <c r="AC21" i="1567"/>
  <c r="AD20" i="1567"/>
  <c r="AD17" i="1567"/>
  <c r="AD12" i="1567"/>
  <c r="P21" i="1567"/>
  <c r="P20" i="1566"/>
  <c r="AC20" i="1566" s="1"/>
  <c r="AB20" i="1566"/>
  <c r="AE12" i="1568" l="1"/>
  <c r="AE13" i="1568"/>
  <c r="AE14" i="1568"/>
  <c r="AE20" i="1568"/>
  <c r="AE16" i="1568"/>
  <c r="AE11" i="1568"/>
  <c r="AE17" i="1568"/>
  <c r="AE15" i="1568"/>
  <c r="AE19" i="1568"/>
  <c r="AE18" i="1568"/>
  <c r="AE9" i="1568"/>
  <c r="AE8" i="1568"/>
  <c r="AE7" i="1568"/>
  <c r="AE10" i="1568"/>
  <c r="AE6" i="1568"/>
  <c r="AD21" i="1567"/>
  <c r="AE13" i="1567" s="1"/>
  <c r="AD20" i="1566"/>
  <c r="AE15" i="1567" l="1"/>
  <c r="AE6" i="1567"/>
  <c r="AE16" i="1567"/>
  <c r="AE20" i="1567"/>
  <c r="AE14" i="1567"/>
  <c r="AE9" i="1567"/>
  <c r="AE8" i="1567"/>
  <c r="AE18" i="1567"/>
  <c r="AE7" i="1567"/>
  <c r="AE17" i="1567"/>
  <c r="AE19" i="1567"/>
  <c r="AE10" i="1567"/>
  <c r="AE12" i="1567"/>
  <c r="AE11" i="1567"/>
  <c r="AF18" i="1566"/>
  <c r="Q18" i="1566"/>
  <c r="P18" i="1566" s="1"/>
  <c r="AC18" i="1566" s="1"/>
  <c r="L17" i="1566"/>
  <c r="L16" i="1566"/>
  <c r="K16" i="1566" s="1"/>
  <c r="L15" i="1566"/>
  <c r="L12" i="1566"/>
  <c r="L10" i="1566"/>
  <c r="L9" i="1566"/>
  <c r="L8" i="1566"/>
  <c r="K8" i="1566" s="1"/>
  <c r="M18" i="1566" l="1"/>
  <c r="O18" i="1566"/>
  <c r="AB18" i="1566"/>
  <c r="AD18" i="1566" l="1"/>
  <c r="K22" i="1566" l="1"/>
  <c r="K21" i="1566"/>
  <c r="K17" i="1566"/>
  <c r="K15" i="1566"/>
  <c r="K13" i="1566"/>
  <c r="K12" i="1566"/>
  <c r="K11" i="1566"/>
  <c r="K9" i="1566"/>
  <c r="A76" i="1566"/>
  <c r="A77" i="1566" s="1"/>
  <c r="A78" i="1566" s="1"/>
  <c r="A79" i="1566" s="1"/>
  <c r="A80" i="1566" s="1"/>
  <c r="A81" i="1566" s="1"/>
  <c r="A82" i="1566" s="1"/>
  <c r="A83" i="1566" s="1"/>
  <c r="AF62" i="1566"/>
  <c r="AF61" i="1566"/>
  <c r="AA23" i="1566"/>
  <c r="Z23" i="1566"/>
  <c r="Y23" i="1566"/>
  <c r="X23" i="1566"/>
  <c r="W23" i="1566"/>
  <c r="V23" i="1566"/>
  <c r="U23" i="1566"/>
  <c r="T23" i="1566"/>
  <c r="S23" i="1566"/>
  <c r="R23" i="1566"/>
  <c r="N23" i="1566"/>
  <c r="J23" i="1566"/>
  <c r="I23" i="1566"/>
  <c r="AF22" i="1566"/>
  <c r="Q22" i="1566"/>
  <c r="P22" i="1566" s="1"/>
  <c r="AC22" i="1566" s="1"/>
  <c r="O22" i="1566"/>
  <c r="AB22" i="1566"/>
  <c r="AF21" i="1566"/>
  <c r="AB21" i="1566"/>
  <c r="Q21" i="1566"/>
  <c r="O21" i="1566"/>
  <c r="M21" i="1566"/>
  <c r="P21" i="1566"/>
  <c r="AC21" i="1566" s="1"/>
  <c r="AF19" i="1566"/>
  <c r="AB19" i="1566"/>
  <c r="Q19" i="1566"/>
  <c r="P19" i="1566" s="1"/>
  <c r="AC19" i="1566" s="1"/>
  <c r="M19" i="1566"/>
  <c r="AF17" i="1566"/>
  <c r="Q17" i="1566"/>
  <c r="P17" i="1566" s="1"/>
  <c r="AC17" i="1566" s="1"/>
  <c r="AF16" i="1566"/>
  <c r="AB16" i="1566"/>
  <c r="Q16" i="1566"/>
  <c r="P16" i="1566" s="1"/>
  <c r="AC16" i="1566" s="1"/>
  <c r="O16" i="1566"/>
  <c r="M16" i="1566"/>
  <c r="AF15" i="1566"/>
  <c r="AB15" i="1566"/>
  <c r="Q15" i="1566"/>
  <c r="M15" i="1566"/>
  <c r="P15" i="1566"/>
  <c r="AC15" i="1566" s="1"/>
  <c r="AF14" i="1566"/>
  <c r="AB14" i="1566"/>
  <c r="Q14" i="1566"/>
  <c r="P14" i="1566"/>
  <c r="AC14" i="1566" s="1"/>
  <c r="O14" i="1566"/>
  <c r="M14" i="1566"/>
  <c r="K14" i="1566"/>
  <c r="AF13" i="1566"/>
  <c r="AB13" i="1566"/>
  <c r="Q13" i="1566"/>
  <c r="M13" i="1566"/>
  <c r="P13" i="1566"/>
  <c r="AC13" i="1566" s="1"/>
  <c r="AF12" i="1566"/>
  <c r="Q12" i="1566"/>
  <c r="P12" i="1566" s="1"/>
  <c r="AC12" i="1566" s="1"/>
  <c r="AF11" i="1566"/>
  <c r="AB11" i="1566"/>
  <c r="Q11" i="1566"/>
  <c r="P11" i="1566" s="1"/>
  <c r="AC11" i="1566" s="1"/>
  <c r="M11" i="1566"/>
  <c r="AF10" i="1566"/>
  <c r="AB10" i="1566"/>
  <c r="Q10" i="1566"/>
  <c r="P10" i="1566" s="1"/>
  <c r="AC10" i="1566" s="1"/>
  <c r="O10" i="1566"/>
  <c r="M10" i="1566"/>
  <c r="K10" i="1566"/>
  <c r="AF9" i="1566"/>
  <c r="AB9" i="1566"/>
  <c r="Q9" i="1566"/>
  <c r="P9" i="1566" s="1"/>
  <c r="AC9" i="1566" s="1"/>
  <c r="O9" i="1566"/>
  <c r="M9" i="1566"/>
  <c r="AF8" i="1566"/>
  <c r="AB8" i="1566"/>
  <c r="Q8" i="1566"/>
  <c r="M8" i="1566"/>
  <c r="L23" i="1566"/>
  <c r="AF7" i="1566"/>
  <c r="AB7" i="1566"/>
  <c r="Q7" i="1566"/>
  <c r="P7" i="1566"/>
  <c r="AC7" i="1566" s="1"/>
  <c r="O7" i="1566"/>
  <c r="M7" i="1566"/>
  <c r="K7" i="1566"/>
  <c r="AF6" i="1566"/>
  <c r="AB6" i="1566"/>
  <c r="Q6" i="1566"/>
  <c r="P6" i="1566"/>
  <c r="AC6" i="1566" s="1"/>
  <c r="O6" i="1566"/>
  <c r="M6" i="1566"/>
  <c r="K6" i="1566"/>
  <c r="AD21" i="1566" l="1"/>
  <c r="AF64" i="1566"/>
  <c r="AD7" i="1566"/>
  <c r="O23" i="1566"/>
  <c r="AD14" i="1566"/>
  <c r="AD16" i="1566"/>
  <c r="AD22" i="1566"/>
  <c r="AD10" i="1566"/>
  <c r="AD9" i="1566"/>
  <c r="Q23" i="1566"/>
  <c r="AD6" i="1566"/>
  <c r="O8" i="1566"/>
  <c r="O11" i="1566"/>
  <c r="AD11" i="1566" s="1"/>
  <c r="M12" i="1566"/>
  <c r="AB12" i="1566"/>
  <c r="O13" i="1566"/>
  <c r="AD13" i="1566" s="1"/>
  <c r="O15" i="1566"/>
  <c r="AD15" i="1566" s="1"/>
  <c r="M17" i="1566"/>
  <c r="AB17" i="1566"/>
  <c r="O19" i="1566"/>
  <c r="AD19" i="1566" s="1"/>
  <c r="P8" i="1566"/>
  <c r="AC8" i="1566" s="1"/>
  <c r="AD8" i="1566" s="1"/>
  <c r="K23" i="1566"/>
  <c r="O12" i="1566"/>
  <c r="O17" i="1566"/>
  <c r="M22" i="1566"/>
  <c r="M23" i="1566" l="1"/>
  <c r="AB23" i="1566"/>
  <c r="AD17" i="1566"/>
  <c r="AD12" i="1566"/>
  <c r="P23" i="1566"/>
  <c r="AC23" i="1566"/>
  <c r="AD23" i="1566" l="1"/>
  <c r="AE20" i="1566" s="1"/>
  <c r="AE19" i="1566" l="1"/>
  <c r="AE18" i="1566"/>
  <c r="AE21" i="1566"/>
  <c r="AE10" i="1566"/>
  <c r="AE22" i="1566"/>
  <c r="AE14" i="1566"/>
  <c r="AE6" i="1566"/>
  <c r="AE11" i="1566"/>
  <c r="AE17" i="1566"/>
  <c r="AE7" i="1566"/>
  <c r="AE8" i="1566"/>
  <c r="AE16" i="1566"/>
  <c r="AE9" i="1566"/>
  <c r="AE12" i="1566"/>
  <c r="AE13" i="1566"/>
  <c r="AE15" i="1566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22" i="1565"/>
  <c r="L21" i="1565"/>
  <c r="K21" i="1565" s="1"/>
  <c r="L20" i="1565"/>
  <c r="L19" i="1565"/>
  <c r="L17" i="1565"/>
  <c r="O17" i="1565" s="1"/>
  <c r="L15" i="1565"/>
  <c r="K15" i="1565" s="1"/>
  <c r="AF15" i="1565"/>
  <c r="Q15" i="1565"/>
  <c r="P15" i="1565"/>
  <c r="AC15" i="1565" s="1"/>
  <c r="L14" i="1565"/>
  <c r="L13" i="1565"/>
  <c r="K13" i="1565" s="1"/>
  <c r="AF13" i="1565"/>
  <c r="Q13" i="1565"/>
  <c r="P13" i="1565"/>
  <c r="AC13" i="1565" s="1"/>
  <c r="M13" i="1565"/>
  <c r="L11" i="1565"/>
  <c r="L9" i="1565"/>
  <c r="L8" i="1565"/>
  <c r="K8" i="1565" s="1"/>
  <c r="K22" i="1565"/>
  <c r="K20" i="1565"/>
  <c r="K19" i="1565"/>
  <c r="K18" i="1565"/>
  <c r="K14" i="1565"/>
  <c r="K12" i="1565"/>
  <c r="K11" i="1565"/>
  <c r="K9" i="1565"/>
  <c r="A77" i="1565"/>
  <c r="A78" i="1565" s="1"/>
  <c r="A79" i="1565" s="1"/>
  <c r="A80" i="1565" s="1"/>
  <c r="A81" i="1565" s="1"/>
  <c r="A82" i="1565" s="1"/>
  <c r="A83" i="1565" s="1"/>
  <c r="A76" i="1565"/>
  <c r="AF62" i="1565"/>
  <c r="AF61" i="1565"/>
  <c r="AF64" i="1565" s="1"/>
  <c r="AA23" i="1565"/>
  <c r="Z23" i="1565"/>
  <c r="Y23" i="1565"/>
  <c r="X23" i="1565"/>
  <c r="W23" i="1565"/>
  <c r="V23" i="1565"/>
  <c r="U23" i="1565"/>
  <c r="T23" i="1565"/>
  <c r="S23" i="1565"/>
  <c r="R23" i="1565"/>
  <c r="N23" i="1565"/>
  <c r="J23" i="1565"/>
  <c r="I23" i="1565"/>
  <c r="AF22" i="1565"/>
  <c r="Q22" i="1565"/>
  <c r="O22" i="1565"/>
  <c r="AF21" i="1565"/>
  <c r="Q21" i="1565"/>
  <c r="AF20" i="1565"/>
  <c r="Q20" i="1565"/>
  <c r="O20" i="1565"/>
  <c r="AF19" i="1565"/>
  <c r="Q19" i="1565"/>
  <c r="P19" i="1565"/>
  <c r="AC19" i="1565" s="1"/>
  <c r="AB19" i="1565"/>
  <c r="AF18" i="1565"/>
  <c r="Q18" i="1565"/>
  <c r="P18" i="1565"/>
  <c r="AC18" i="1565" s="1"/>
  <c r="O18" i="1565"/>
  <c r="AB18" i="1565"/>
  <c r="AF17" i="1565"/>
  <c r="Q17" i="1565"/>
  <c r="AF16" i="1565"/>
  <c r="AB16" i="1565"/>
  <c r="Q16" i="1565"/>
  <c r="P16" i="1565"/>
  <c r="AC16" i="1565" s="1"/>
  <c r="O16" i="1565"/>
  <c r="M16" i="1565"/>
  <c r="K16" i="1565"/>
  <c r="AF14" i="1565"/>
  <c r="Q14" i="1565"/>
  <c r="AB14" i="1565"/>
  <c r="AF12" i="1565"/>
  <c r="AB12" i="1565"/>
  <c r="Q12" i="1565"/>
  <c r="P12" i="1565" s="1"/>
  <c r="AC12" i="1565" s="1"/>
  <c r="O12" i="1565"/>
  <c r="M12" i="1565"/>
  <c r="AF11" i="1565"/>
  <c r="Q11" i="1565"/>
  <c r="O11" i="1565"/>
  <c r="AF10" i="1565"/>
  <c r="AB10" i="1565"/>
  <c r="Q10" i="1565"/>
  <c r="P10" i="1565"/>
  <c r="AC10" i="1565" s="1"/>
  <c r="O10" i="1565"/>
  <c r="M10" i="1565"/>
  <c r="K10" i="1565"/>
  <c r="AF9" i="1565"/>
  <c r="AB9" i="1565"/>
  <c r="Q9" i="1565"/>
  <c r="P9" i="1565" s="1"/>
  <c r="AC9" i="1565" s="1"/>
  <c r="O9" i="1565"/>
  <c r="M9" i="1565"/>
  <c r="AF8" i="1565"/>
  <c r="Q8" i="1565"/>
  <c r="AB8" i="1565"/>
  <c r="AF7" i="1565"/>
  <c r="AB7" i="1565"/>
  <c r="Q7" i="1565"/>
  <c r="P7" i="1565"/>
  <c r="AC7" i="1565" s="1"/>
  <c r="O7" i="1565"/>
  <c r="M7" i="1565"/>
  <c r="K7" i="1565"/>
  <c r="AF6" i="1565"/>
  <c r="AB6" i="1565"/>
  <c r="Q6" i="1565"/>
  <c r="P6" i="1565"/>
  <c r="AC6" i="1565" s="1"/>
  <c r="O6" i="1565"/>
  <c r="M6" i="1565"/>
  <c r="K6" i="1565"/>
  <c r="P21" i="1565" l="1"/>
  <c r="AC21" i="1565" s="1"/>
  <c r="AB13" i="1565"/>
  <c r="AB15" i="1565"/>
  <c r="AB21" i="1565"/>
  <c r="P17" i="1565"/>
  <c r="AC17" i="1565" s="1"/>
  <c r="K17" i="1565"/>
  <c r="M17" i="1565"/>
  <c r="AB17" i="1565"/>
  <c r="O15" i="1565"/>
  <c r="AD15" i="1565" s="1"/>
  <c r="M15" i="1565"/>
  <c r="P14" i="1565"/>
  <c r="AC14" i="1565" s="1"/>
  <c r="O14" i="1565"/>
  <c r="O13" i="1565"/>
  <c r="AD13" i="1565" s="1"/>
  <c r="AD7" i="1565"/>
  <c r="Q23" i="1565"/>
  <c r="AD10" i="1565"/>
  <c r="AD16" i="1565"/>
  <c r="AD9" i="1565"/>
  <c r="AD12" i="1565"/>
  <c r="AD18" i="1565"/>
  <c r="M8" i="1565"/>
  <c r="AB11" i="1565"/>
  <c r="AB20" i="1565"/>
  <c r="AB22" i="1565"/>
  <c r="L23" i="1565"/>
  <c r="O23" i="1565" s="1"/>
  <c r="AD6" i="1565"/>
  <c r="O8" i="1565"/>
  <c r="P8" i="1565"/>
  <c r="AC8" i="1565" s="1"/>
  <c r="P11" i="1565"/>
  <c r="AC11" i="1565" s="1"/>
  <c r="M14" i="1565"/>
  <c r="M18" i="1565"/>
  <c r="O19" i="1565"/>
  <c r="AD19" i="1565" s="1"/>
  <c r="P20" i="1565"/>
  <c r="AC20" i="1565" s="1"/>
  <c r="O21" i="1565"/>
  <c r="P22" i="1565"/>
  <c r="AC22" i="1565" s="1"/>
  <c r="M11" i="1565"/>
  <c r="M20" i="1565"/>
  <c r="M22" i="1565"/>
  <c r="M19" i="1565"/>
  <c r="M21" i="1565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L21" i="1564"/>
  <c r="K21" i="1564" s="1"/>
  <c r="L20" i="1564"/>
  <c r="K20" i="1564" s="1"/>
  <c r="AF19" i="1564"/>
  <c r="AB19" i="1564"/>
  <c r="Q19" i="1564"/>
  <c r="P19" i="1564" s="1"/>
  <c r="AC19" i="1564" s="1"/>
  <c r="AD19" i="1564" s="1"/>
  <c r="O19" i="1564"/>
  <c r="M19" i="1564"/>
  <c r="K19" i="1564"/>
  <c r="L18" i="1564"/>
  <c r="L17" i="1564"/>
  <c r="K17" i="1564"/>
  <c r="L16" i="1564"/>
  <c r="L15" i="1564"/>
  <c r="L13" i="1564"/>
  <c r="K13" i="1564" s="1"/>
  <c r="L12" i="1564"/>
  <c r="L11" i="1564"/>
  <c r="K10" i="1564"/>
  <c r="L9" i="1564"/>
  <c r="L8" i="1564"/>
  <c r="K8" i="1564" s="1"/>
  <c r="AD14" i="1565" l="1"/>
  <c r="AD21" i="1565"/>
  <c r="AD17" i="1565"/>
  <c r="AD11" i="1565"/>
  <c r="AB23" i="1565"/>
  <c r="M23" i="1565"/>
  <c r="AD22" i="1565"/>
  <c r="AC23" i="1565"/>
  <c r="AD20" i="1565"/>
  <c r="K23" i="1565"/>
  <c r="AD8" i="1565"/>
  <c r="P23" i="1565"/>
  <c r="K16" i="1564"/>
  <c r="K15" i="1564"/>
  <c r="K12" i="1564"/>
  <c r="K9" i="1564"/>
  <c r="A76" i="1564"/>
  <c r="A77" i="1564" s="1"/>
  <c r="A78" i="1564" s="1"/>
  <c r="A79" i="1564" s="1"/>
  <c r="A80" i="1564" s="1"/>
  <c r="A81" i="1564" s="1"/>
  <c r="A82" i="1564" s="1"/>
  <c r="A75" i="1564"/>
  <c r="AF61" i="1564"/>
  <c r="AF60" i="1564"/>
  <c r="AF63" i="1564" s="1"/>
  <c r="AA22" i="1564"/>
  <c r="Z22" i="1564"/>
  <c r="Y22" i="1564"/>
  <c r="X22" i="1564"/>
  <c r="W22" i="1564"/>
  <c r="V22" i="1564"/>
  <c r="U22" i="1564"/>
  <c r="T22" i="1564"/>
  <c r="S22" i="1564"/>
  <c r="R22" i="1564"/>
  <c r="N22" i="1564"/>
  <c r="J22" i="1564"/>
  <c r="I22" i="1564"/>
  <c r="AF21" i="1564"/>
  <c r="AB21" i="1564"/>
  <c r="Q21" i="1564"/>
  <c r="P21" i="1564" s="1"/>
  <c r="AC21" i="1564" s="1"/>
  <c r="AD21" i="1564" s="1"/>
  <c r="O21" i="1564"/>
  <c r="M21" i="1564"/>
  <c r="AF20" i="1564"/>
  <c r="AB20" i="1564"/>
  <c r="Q20" i="1564"/>
  <c r="P20" i="1564" s="1"/>
  <c r="AC20" i="1564" s="1"/>
  <c r="O20" i="1564"/>
  <c r="M20" i="1564"/>
  <c r="AF18" i="1564"/>
  <c r="AB18" i="1564"/>
  <c r="Q18" i="1564"/>
  <c r="P18" i="1564" s="1"/>
  <c r="AC18" i="1564" s="1"/>
  <c r="O18" i="1564"/>
  <c r="M18" i="1564"/>
  <c r="K18" i="1564"/>
  <c r="AF17" i="1564"/>
  <c r="AB17" i="1564"/>
  <c r="Q17" i="1564"/>
  <c r="P17" i="1564" s="1"/>
  <c r="AC17" i="1564" s="1"/>
  <c r="O17" i="1564"/>
  <c r="M17" i="1564"/>
  <c r="AF16" i="1564"/>
  <c r="AB16" i="1564"/>
  <c r="Q16" i="1564"/>
  <c r="P16" i="1564" s="1"/>
  <c r="AC16" i="1564" s="1"/>
  <c r="O16" i="1564"/>
  <c r="M16" i="1564"/>
  <c r="AF15" i="1564"/>
  <c r="Q15" i="1564"/>
  <c r="O15" i="1564"/>
  <c r="L22" i="1564"/>
  <c r="O22" i="1564" s="1"/>
  <c r="AF14" i="1564"/>
  <c r="AB14" i="1564"/>
  <c r="Q14" i="1564"/>
  <c r="P14" i="1564"/>
  <c r="AC14" i="1564" s="1"/>
  <c r="O14" i="1564"/>
  <c r="M14" i="1564"/>
  <c r="K14" i="1564"/>
  <c r="AF13" i="1564"/>
  <c r="AB13" i="1564"/>
  <c r="Q13" i="1564"/>
  <c r="P13" i="1564" s="1"/>
  <c r="AC13" i="1564" s="1"/>
  <c r="O13" i="1564"/>
  <c r="M13" i="1564"/>
  <c r="AF12" i="1564"/>
  <c r="AB12" i="1564"/>
  <c r="Q12" i="1564"/>
  <c r="P12" i="1564"/>
  <c r="AC12" i="1564" s="1"/>
  <c r="O12" i="1564"/>
  <c r="M12" i="1564"/>
  <c r="AF11" i="1564"/>
  <c r="AB11" i="1564"/>
  <c r="Q11" i="1564"/>
  <c r="P11" i="1564" s="1"/>
  <c r="AC11" i="1564" s="1"/>
  <c r="O11" i="1564"/>
  <c r="M11" i="1564"/>
  <c r="K11" i="1564"/>
  <c r="AF10" i="1564"/>
  <c r="AB10" i="1564"/>
  <c r="Q10" i="1564"/>
  <c r="P10" i="1564"/>
  <c r="AC10" i="1564" s="1"/>
  <c r="O10" i="1564"/>
  <c r="M10" i="1564"/>
  <c r="AF9" i="1564"/>
  <c r="AB9" i="1564"/>
  <c r="Q9" i="1564"/>
  <c r="P9" i="1564" s="1"/>
  <c r="AC9" i="1564" s="1"/>
  <c r="O9" i="1564"/>
  <c r="M9" i="1564"/>
  <c r="AF8" i="1564"/>
  <c r="AB8" i="1564"/>
  <c r="Q8" i="1564"/>
  <c r="P8" i="1564" s="1"/>
  <c r="AC8" i="1564" s="1"/>
  <c r="O8" i="1564"/>
  <c r="M8" i="1564"/>
  <c r="AF7" i="1564"/>
  <c r="AC7" i="1564"/>
  <c r="AB7" i="1564"/>
  <c r="Q7" i="1564"/>
  <c r="P7" i="1564"/>
  <c r="O7" i="1564"/>
  <c r="M7" i="1564"/>
  <c r="K7" i="1564"/>
  <c r="AF6" i="1564"/>
  <c r="AC6" i="1564"/>
  <c r="AB6" i="1564"/>
  <c r="Q6" i="1564"/>
  <c r="P6" i="1564"/>
  <c r="O6" i="1564"/>
  <c r="M6" i="1564"/>
  <c r="K6" i="1564"/>
  <c r="AD23" i="1565" l="1"/>
  <c r="AE15" i="1565" s="1"/>
  <c r="AD20" i="1564"/>
  <c r="AD18" i="1564"/>
  <c r="AD12" i="1564"/>
  <c r="AD11" i="1564"/>
  <c r="Q22" i="1564"/>
  <c r="AD8" i="1564"/>
  <c r="AD17" i="1564"/>
  <c r="AD7" i="1564"/>
  <c r="AD9" i="1564"/>
  <c r="AD16" i="1564"/>
  <c r="AD10" i="1564"/>
  <c r="AD14" i="1564"/>
  <c r="AD13" i="1564"/>
  <c r="M15" i="1564"/>
  <c r="M22" i="1564" s="1"/>
  <c r="AB15" i="1564"/>
  <c r="AB22" i="1564" s="1"/>
  <c r="AD6" i="1564"/>
  <c r="K22" i="1564"/>
  <c r="P15" i="1564"/>
  <c r="AC15" i="1564" s="1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L15" i="1563"/>
  <c r="AB15" i="1563" s="1"/>
  <c r="K13" i="1563"/>
  <c r="L12" i="1563"/>
  <c r="K20" i="1563"/>
  <c r="K19" i="1563"/>
  <c r="K18" i="1563"/>
  <c r="K17" i="1563"/>
  <c r="K16" i="1563"/>
  <c r="K15" i="1563"/>
  <c r="K12" i="1563"/>
  <c r="K8" i="1563"/>
  <c r="A75" i="1563"/>
  <c r="A76" i="1563" s="1"/>
  <c r="A77" i="1563" s="1"/>
  <c r="A78" i="1563" s="1"/>
  <c r="A79" i="1563" s="1"/>
  <c r="A80" i="1563" s="1"/>
  <c r="A81" i="1563" s="1"/>
  <c r="A74" i="1563"/>
  <c r="AF60" i="1563"/>
  <c r="AF59" i="1563"/>
  <c r="AF62" i="1563" s="1"/>
  <c r="AA21" i="1563"/>
  <c r="Z21" i="1563"/>
  <c r="Y21" i="1563"/>
  <c r="X21" i="1563"/>
  <c r="W21" i="1563"/>
  <c r="V21" i="1563"/>
  <c r="U21" i="1563"/>
  <c r="T21" i="1563"/>
  <c r="S21" i="1563"/>
  <c r="R21" i="1563"/>
  <c r="N21" i="1563"/>
  <c r="J21" i="1563"/>
  <c r="I21" i="1563"/>
  <c r="AF20" i="1563"/>
  <c r="Q20" i="1563"/>
  <c r="O20" i="1563"/>
  <c r="AF19" i="1563"/>
  <c r="AB19" i="1563"/>
  <c r="Q19" i="1563"/>
  <c r="P19" i="1563"/>
  <c r="AC19" i="1563" s="1"/>
  <c r="M19" i="1563"/>
  <c r="O19" i="1563"/>
  <c r="AF18" i="1563"/>
  <c r="AB18" i="1563"/>
  <c r="Q18" i="1563"/>
  <c r="O18" i="1563"/>
  <c r="M18" i="1563"/>
  <c r="P18" i="1563"/>
  <c r="AC18" i="1563" s="1"/>
  <c r="AF17" i="1563"/>
  <c r="AB17" i="1563"/>
  <c r="Q17" i="1563"/>
  <c r="P17" i="1563" s="1"/>
  <c r="AC17" i="1563" s="1"/>
  <c r="O17" i="1563"/>
  <c r="M17" i="1563"/>
  <c r="AF16" i="1563"/>
  <c r="AB16" i="1563"/>
  <c r="Q16" i="1563"/>
  <c r="P16" i="1563" s="1"/>
  <c r="AC16" i="1563" s="1"/>
  <c r="AD16" i="1563" s="1"/>
  <c r="O16" i="1563"/>
  <c r="M16" i="1563"/>
  <c r="AF15" i="1563"/>
  <c r="Q15" i="1563"/>
  <c r="O15" i="1563"/>
  <c r="M15" i="1563"/>
  <c r="AF14" i="1563"/>
  <c r="AB14" i="1563"/>
  <c r="Q14" i="1563"/>
  <c r="P14" i="1563"/>
  <c r="AC14" i="1563" s="1"/>
  <c r="AD14" i="1563" s="1"/>
  <c r="O14" i="1563"/>
  <c r="M14" i="1563"/>
  <c r="K14" i="1563"/>
  <c r="AF13" i="1563"/>
  <c r="AB13" i="1563"/>
  <c r="Q13" i="1563"/>
  <c r="P13" i="1563" s="1"/>
  <c r="AC13" i="1563" s="1"/>
  <c r="O13" i="1563"/>
  <c r="M13" i="1563"/>
  <c r="AF12" i="1563"/>
  <c r="AB12" i="1563"/>
  <c r="Q12" i="1563"/>
  <c r="P12" i="1563" s="1"/>
  <c r="AC12" i="1563" s="1"/>
  <c r="AD12" i="1563" s="1"/>
  <c r="O12" i="1563"/>
  <c r="M12" i="1563"/>
  <c r="AF11" i="1563"/>
  <c r="AB11" i="1563"/>
  <c r="Q11" i="1563"/>
  <c r="P11" i="1563"/>
  <c r="AC11" i="1563" s="1"/>
  <c r="AD11" i="1563" s="1"/>
  <c r="O11" i="1563"/>
  <c r="M11" i="1563"/>
  <c r="K11" i="1563"/>
  <c r="AF10" i="1563"/>
  <c r="AB10" i="1563"/>
  <c r="Q10" i="1563"/>
  <c r="P10" i="1563"/>
  <c r="AC10" i="1563" s="1"/>
  <c r="AD10" i="1563" s="1"/>
  <c r="O10" i="1563"/>
  <c r="M10" i="1563"/>
  <c r="K10" i="1563"/>
  <c r="AF9" i="1563"/>
  <c r="AB9" i="1563"/>
  <c r="Q9" i="1563"/>
  <c r="P9" i="1563"/>
  <c r="AC9" i="1563" s="1"/>
  <c r="O9" i="1563"/>
  <c r="M9" i="1563"/>
  <c r="K9" i="1563"/>
  <c r="AF8" i="1563"/>
  <c r="AB8" i="1563"/>
  <c r="Q8" i="1563"/>
  <c r="P8" i="1563"/>
  <c r="AC8" i="1563" s="1"/>
  <c r="O8" i="1563"/>
  <c r="M8" i="1563"/>
  <c r="L21" i="1563"/>
  <c r="O21" i="1563" s="1"/>
  <c r="AF7" i="1563"/>
  <c r="AC7" i="1563"/>
  <c r="AD7" i="1563" s="1"/>
  <c r="AB7" i="1563"/>
  <c r="Q7" i="1563"/>
  <c r="P7" i="1563"/>
  <c r="O7" i="1563"/>
  <c r="M7" i="1563"/>
  <c r="K7" i="1563"/>
  <c r="AF6" i="1563"/>
  <c r="AB6" i="1563"/>
  <c r="Q6" i="1563"/>
  <c r="P6" i="1563"/>
  <c r="AC6" i="1563" s="1"/>
  <c r="O6" i="1563"/>
  <c r="M6" i="1563"/>
  <c r="K6" i="1563"/>
  <c r="AE13" i="1565" l="1"/>
  <c r="AE8" i="1565"/>
  <c r="AE12" i="1565"/>
  <c r="AE22" i="1565"/>
  <c r="AE21" i="1565"/>
  <c r="AE16" i="1565"/>
  <c r="AE17" i="1565"/>
  <c r="AE7" i="1565"/>
  <c r="AE14" i="1565"/>
  <c r="AE6" i="1565"/>
  <c r="AE11" i="1565"/>
  <c r="AE10" i="1565"/>
  <c r="AE18" i="1565"/>
  <c r="AE9" i="1565"/>
  <c r="AE20" i="1565"/>
  <c r="AE19" i="1565"/>
  <c r="P22" i="1564"/>
  <c r="AD15" i="1564"/>
  <c r="AD22" i="1564" s="1"/>
  <c r="AE19" i="1564" s="1"/>
  <c r="AC22" i="1564"/>
  <c r="P15" i="1563"/>
  <c r="AC15" i="1563" s="1"/>
  <c r="AD15" i="1563" s="1"/>
  <c r="AD13" i="1563"/>
  <c r="Q21" i="1563"/>
  <c r="AD17" i="1563"/>
  <c r="AD8" i="1563"/>
  <c r="AD9" i="1563"/>
  <c r="AD18" i="1563"/>
  <c r="AD19" i="1563"/>
  <c r="AD6" i="1563"/>
  <c r="P20" i="1563"/>
  <c r="AC20" i="1563" s="1"/>
  <c r="AC21" i="1563" s="1"/>
  <c r="K21" i="1563"/>
  <c r="M20" i="1563"/>
  <c r="M21" i="1563" s="1"/>
  <c r="AB20" i="1563"/>
  <c r="AB21" i="1563" s="1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L20" i="1562"/>
  <c r="K20" i="1562" s="1"/>
  <c r="L19" i="1562"/>
  <c r="K19" i="1562"/>
  <c r="L18" i="1562"/>
  <c r="P18" i="1562" s="1"/>
  <c r="AC18" i="1562" s="1"/>
  <c r="L16" i="1562"/>
  <c r="AB16" i="1562" s="1"/>
  <c r="L15" i="1562"/>
  <c r="K15" i="1562" s="1"/>
  <c r="L13" i="1562"/>
  <c r="AB13" i="1562" s="1"/>
  <c r="L12" i="1562"/>
  <c r="M12" i="1562" s="1"/>
  <c r="L8" i="1562"/>
  <c r="P8" i="1562" s="1"/>
  <c r="AC8" i="1562" s="1"/>
  <c r="K18" i="1562"/>
  <c r="K17" i="1562"/>
  <c r="K16" i="1562"/>
  <c r="K13" i="1562"/>
  <c r="K12" i="1562"/>
  <c r="K11" i="1562"/>
  <c r="K10" i="1562"/>
  <c r="K9" i="1562"/>
  <c r="K8" i="1562"/>
  <c r="A75" i="1562"/>
  <c r="A76" i="1562" s="1"/>
  <c r="A77" i="1562" s="1"/>
  <c r="A78" i="1562" s="1"/>
  <c r="A79" i="1562" s="1"/>
  <c r="A80" i="1562" s="1"/>
  <c r="A81" i="1562" s="1"/>
  <c r="A74" i="1562"/>
  <c r="AF60" i="1562"/>
  <c r="AF59" i="1562"/>
  <c r="AF62" i="1562" s="1"/>
  <c r="AA21" i="1562"/>
  <c r="Z21" i="1562"/>
  <c r="Y21" i="1562"/>
  <c r="X21" i="1562"/>
  <c r="W21" i="1562"/>
  <c r="V21" i="1562"/>
  <c r="U21" i="1562"/>
  <c r="T21" i="1562"/>
  <c r="S21" i="1562"/>
  <c r="R21" i="1562"/>
  <c r="N21" i="1562"/>
  <c r="J21" i="1562"/>
  <c r="I21" i="1562"/>
  <c r="AF20" i="1562"/>
  <c r="Q20" i="1562"/>
  <c r="AF19" i="1562"/>
  <c r="AB19" i="1562"/>
  <c r="Q19" i="1562"/>
  <c r="P19" i="1562" s="1"/>
  <c r="AC19" i="1562" s="1"/>
  <c r="O19" i="1562"/>
  <c r="M19" i="1562"/>
  <c r="AF18" i="1562"/>
  <c r="AB18" i="1562"/>
  <c r="Q18" i="1562"/>
  <c r="O18" i="1562"/>
  <c r="M18" i="1562"/>
  <c r="AF17" i="1562"/>
  <c r="AB17" i="1562"/>
  <c r="Q17" i="1562"/>
  <c r="P17" i="1562" s="1"/>
  <c r="AC17" i="1562" s="1"/>
  <c r="O17" i="1562"/>
  <c r="M17" i="1562"/>
  <c r="AF16" i="1562"/>
  <c r="Q16" i="1562"/>
  <c r="P16" i="1562"/>
  <c r="AC16" i="1562" s="1"/>
  <c r="O16" i="1562"/>
  <c r="AF15" i="1562"/>
  <c r="AB15" i="1562"/>
  <c r="Q15" i="1562"/>
  <c r="M15" i="1562"/>
  <c r="AF14" i="1562"/>
  <c r="AC14" i="1562"/>
  <c r="AB14" i="1562"/>
  <c r="Q14" i="1562"/>
  <c r="P14" i="1562"/>
  <c r="O14" i="1562"/>
  <c r="M14" i="1562"/>
  <c r="K14" i="1562"/>
  <c r="AF13" i="1562"/>
  <c r="Q13" i="1562"/>
  <c r="P13" i="1562"/>
  <c r="AC13" i="1562" s="1"/>
  <c r="O13" i="1562"/>
  <c r="AF12" i="1562"/>
  <c r="Q12" i="1562"/>
  <c r="P12" i="1562" s="1"/>
  <c r="AC12" i="1562" s="1"/>
  <c r="O12" i="1562"/>
  <c r="AF11" i="1562"/>
  <c r="Q11" i="1562"/>
  <c r="P11" i="1562"/>
  <c r="AC11" i="1562" s="1"/>
  <c r="O11" i="1562"/>
  <c r="AB11" i="1562"/>
  <c r="AF10" i="1562"/>
  <c r="AB10" i="1562"/>
  <c r="Q10" i="1562"/>
  <c r="P10" i="1562"/>
  <c r="AC10" i="1562" s="1"/>
  <c r="AD10" i="1562" s="1"/>
  <c r="O10" i="1562"/>
  <c r="M10" i="1562"/>
  <c r="AF9" i="1562"/>
  <c r="Q9" i="1562"/>
  <c r="O9" i="1562"/>
  <c r="AF8" i="1562"/>
  <c r="Q8" i="1562"/>
  <c r="AB8" i="1562"/>
  <c r="AF7" i="1562"/>
  <c r="AC7" i="1562"/>
  <c r="AD7" i="1562" s="1"/>
  <c r="AB7" i="1562"/>
  <c r="Q7" i="1562"/>
  <c r="P7" i="1562"/>
  <c r="O7" i="1562"/>
  <c r="M7" i="1562"/>
  <c r="K7" i="1562"/>
  <c r="AF6" i="1562"/>
  <c r="AC6" i="1562"/>
  <c r="AB6" i="1562"/>
  <c r="Q6" i="1562"/>
  <c r="P6" i="1562"/>
  <c r="O6" i="1562"/>
  <c r="M6" i="1562"/>
  <c r="K6" i="1562"/>
  <c r="AE17" i="1564" l="1"/>
  <c r="AE9" i="1564"/>
  <c r="AE7" i="1564"/>
  <c r="AE13" i="1564"/>
  <c r="AE18" i="1564"/>
  <c r="AE16" i="1564"/>
  <c r="AE14" i="1564"/>
  <c r="AE12" i="1564"/>
  <c r="AE20" i="1564"/>
  <c r="AE15" i="1564"/>
  <c r="AE10" i="1564"/>
  <c r="AE8" i="1564"/>
  <c r="AE6" i="1564"/>
  <c r="AE21" i="1564"/>
  <c r="AE11" i="1564"/>
  <c r="P21" i="1563"/>
  <c r="AD20" i="1563"/>
  <c r="AD21" i="1563"/>
  <c r="O20" i="1562"/>
  <c r="AD17" i="1562"/>
  <c r="P15" i="1562"/>
  <c r="AC15" i="1562" s="1"/>
  <c r="AD15" i="1562" s="1"/>
  <c r="O15" i="1562"/>
  <c r="M13" i="1562"/>
  <c r="AB12" i="1562"/>
  <c r="AD12" i="1562"/>
  <c r="Q21" i="1562"/>
  <c r="AD13" i="1562"/>
  <c r="AD14" i="1562"/>
  <c r="AD18" i="1562"/>
  <c r="AD19" i="1562"/>
  <c r="AD16" i="1562"/>
  <c r="AD11" i="1562"/>
  <c r="M8" i="1562"/>
  <c r="AD6" i="1562"/>
  <c r="O8" i="1562"/>
  <c r="AD8" i="1562" s="1"/>
  <c r="K21" i="1562"/>
  <c r="P9" i="1562"/>
  <c r="AC9" i="1562" s="1"/>
  <c r="M11" i="1562"/>
  <c r="M16" i="1562"/>
  <c r="P20" i="1562"/>
  <c r="AC20" i="1562" s="1"/>
  <c r="AB9" i="1562"/>
  <c r="M20" i="1562"/>
  <c r="AB20" i="1562"/>
  <c r="L21" i="1562"/>
  <c r="O21" i="1562" s="1"/>
  <c r="M9" i="1562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S5" i="16"/>
  <c r="S4" i="16"/>
  <c r="S3" i="16"/>
  <c r="L20" i="1561"/>
  <c r="K20" i="1561" s="1"/>
  <c r="L18" i="1561"/>
  <c r="K17" i="1561"/>
  <c r="L16" i="1561"/>
  <c r="M16" i="1561" s="1"/>
  <c r="L15" i="1561"/>
  <c r="K15" i="1561" s="1"/>
  <c r="K13" i="1561"/>
  <c r="P14" i="1561"/>
  <c r="L11" i="1561"/>
  <c r="L10" i="1561"/>
  <c r="P10" i="1561" s="1"/>
  <c r="AC10" i="1561" s="1"/>
  <c r="L9" i="1561"/>
  <c r="O9" i="1561" s="1"/>
  <c r="L8" i="1561"/>
  <c r="K8" i="1561" s="1"/>
  <c r="K19" i="1561"/>
  <c r="K18" i="1561"/>
  <c r="K16" i="1561"/>
  <c r="K12" i="1561"/>
  <c r="K11" i="1561"/>
  <c r="K10" i="1561"/>
  <c r="A74" i="1561"/>
  <c r="A75" i="1561" s="1"/>
  <c r="A76" i="1561" s="1"/>
  <c r="A77" i="1561" s="1"/>
  <c r="A78" i="1561" s="1"/>
  <c r="A79" i="1561" s="1"/>
  <c r="A80" i="1561" s="1"/>
  <c r="A81" i="1561" s="1"/>
  <c r="AF60" i="1561"/>
  <c r="AF59" i="1561"/>
  <c r="AF62" i="1561" s="1"/>
  <c r="AA21" i="1561"/>
  <c r="Z21" i="1561"/>
  <c r="Y21" i="1561"/>
  <c r="X21" i="1561"/>
  <c r="W21" i="1561"/>
  <c r="V21" i="1561"/>
  <c r="U21" i="1561"/>
  <c r="T21" i="1561"/>
  <c r="S21" i="1561"/>
  <c r="R21" i="1561"/>
  <c r="N21" i="1561"/>
  <c r="J21" i="1561"/>
  <c r="I21" i="1561"/>
  <c r="AF20" i="1561"/>
  <c r="Q20" i="1561"/>
  <c r="AF19" i="1561"/>
  <c r="AB19" i="1561"/>
  <c r="Q19" i="1561"/>
  <c r="P19" i="1561" s="1"/>
  <c r="AC19" i="1561" s="1"/>
  <c r="O19" i="1561"/>
  <c r="M19" i="1561"/>
  <c r="AF18" i="1561"/>
  <c r="Q18" i="1561"/>
  <c r="P18" i="1561"/>
  <c r="AC18" i="1561" s="1"/>
  <c r="AF17" i="1561"/>
  <c r="AB17" i="1561"/>
  <c r="Q17" i="1561"/>
  <c r="P17" i="1561" s="1"/>
  <c r="AC17" i="1561" s="1"/>
  <c r="O17" i="1561"/>
  <c r="M17" i="1561"/>
  <c r="AF16" i="1561"/>
  <c r="AB16" i="1561"/>
  <c r="Q16" i="1561"/>
  <c r="O16" i="1561"/>
  <c r="AF15" i="1561"/>
  <c r="Q15" i="1561"/>
  <c r="M15" i="1561"/>
  <c r="AF14" i="1561"/>
  <c r="AB14" i="1561"/>
  <c r="Q14" i="1561"/>
  <c r="AC14" i="1561"/>
  <c r="O14" i="1561"/>
  <c r="M14" i="1561"/>
  <c r="K14" i="1561"/>
  <c r="AF13" i="1561"/>
  <c r="AB13" i="1561"/>
  <c r="Q13" i="1561"/>
  <c r="P13" i="1561" s="1"/>
  <c r="AC13" i="1561" s="1"/>
  <c r="O13" i="1561"/>
  <c r="M13" i="1561"/>
  <c r="AF12" i="1561"/>
  <c r="Q12" i="1561"/>
  <c r="P12" i="1561" s="1"/>
  <c r="AC12" i="1561" s="1"/>
  <c r="AF11" i="1561"/>
  <c r="Q11" i="1561"/>
  <c r="O11" i="1561"/>
  <c r="AF10" i="1561"/>
  <c r="AB10" i="1561"/>
  <c r="Q10" i="1561"/>
  <c r="O10" i="1561"/>
  <c r="M10" i="1561"/>
  <c r="AF9" i="1561"/>
  <c r="AB9" i="1561"/>
  <c r="Q9" i="1561"/>
  <c r="P9" i="1561" s="1"/>
  <c r="AC9" i="1561" s="1"/>
  <c r="M9" i="1561"/>
  <c r="AF8" i="1561"/>
  <c r="Q8" i="1561"/>
  <c r="P8" i="1561" s="1"/>
  <c r="AC8" i="1561" s="1"/>
  <c r="AF7" i="1561"/>
  <c r="AB7" i="1561"/>
  <c r="Q7" i="1561"/>
  <c r="P7" i="1561"/>
  <c r="AC7" i="1561" s="1"/>
  <c r="O7" i="1561"/>
  <c r="M7" i="1561"/>
  <c r="K7" i="1561"/>
  <c r="AF6" i="1561"/>
  <c r="AC6" i="1561"/>
  <c r="AB6" i="1561"/>
  <c r="Q6" i="1561"/>
  <c r="P6" i="1561"/>
  <c r="O6" i="1561"/>
  <c r="M6" i="1561"/>
  <c r="K6" i="1561"/>
  <c r="AE18" i="1563" l="1"/>
  <c r="AE15" i="1563"/>
  <c r="AE12" i="1563"/>
  <c r="AE7" i="1563"/>
  <c r="AE11" i="1563"/>
  <c r="AE9" i="1563"/>
  <c r="AE19" i="1563"/>
  <c r="AE16" i="1563"/>
  <c r="AE13" i="1563"/>
  <c r="AE10" i="1563"/>
  <c r="AE8" i="1563"/>
  <c r="AE20" i="1563"/>
  <c r="AE6" i="1563"/>
  <c r="AE17" i="1563"/>
  <c r="AE14" i="1563"/>
  <c r="AB21" i="1562"/>
  <c r="M21" i="1562"/>
  <c r="AC21" i="1562"/>
  <c r="P21" i="1562"/>
  <c r="AD20" i="1562"/>
  <c r="AD9" i="1562"/>
  <c r="AD21" i="1562" s="1"/>
  <c r="AB20" i="1561"/>
  <c r="O20" i="1561"/>
  <c r="M20" i="1561"/>
  <c r="P20" i="1561"/>
  <c r="AC20" i="1561" s="1"/>
  <c r="AD14" i="1561"/>
  <c r="AD7" i="1561"/>
  <c r="P16" i="1561"/>
  <c r="AC16" i="1561" s="1"/>
  <c r="AD16" i="1561" s="1"/>
  <c r="AB15" i="1561"/>
  <c r="O15" i="1561"/>
  <c r="P15" i="1561"/>
  <c r="AC15" i="1561" s="1"/>
  <c r="AD15" i="1561" s="1"/>
  <c r="AD13" i="1561"/>
  <c r="P11" i="1561"/>
  <c r="Q21" i="1561"/>
  <c r="AD9" i="1561"/>
  <c r="K9" i="1561"/>
  <c r="K21" i="1561" s="1"/>
  <c r="AD10" i="1561"/>
  <c r="AD19" i="1561"/>
  <c r="AD17" i="1561"/>
  <c r="AB8" i="1561"/>
  <c r="M12" i="1561"/>
  <c r="AB12" i="1561"/>
  <c r="M18" i="1561"/>
  <c r="AB18" i="1561"/>
  <c r="AD6" i="1561"/>
  <c r="O8" i="1561"/>
  <c r="M11" i="1561"/>
  <c r="AB11" i="1561"/>
  <c r="O12" i="1561"/>
  <c r="O18" i="1561"/>
  <c r="L21" i="1561"/>
  <c r="O21" i="1561" s="1"/>
  <c r="M8" i="1561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L20" i="1560"/>
  <c r="K20" i="1560" s="1"/>
  <c r="L19" i="1560"/>
  <c r="K17" i="1560"/>
  <c r="AF17" i="1560"/>
  <c r="Q17" i="1560"/>
  <c r="P17" i="1560" s="1"/>
  <c r="AC17" i="1560" s="1"/>
  <c r="AB17" i="1560"/>
  <c r="L16" i="1560"/>
  <c r="K16" i="1560" s="1"/>
  <c r="L12" i="1560"/>
  <c r="M12" i="1560" s="1"/>
  <c r="L11" i="1560"/>
  <c r="K11" i="1560"/>
  <c r="L10" i="1560"/>
  <c r="O10" i="1560" s="1"/>
  <c r="L9" i="1560"/>
  <c r="K9" i="1560" s="1"/>
  <c r="L8" i="1560"/>
  <c r="K8" i="1560" s="1"/>
  <c r="K21" i="1560"/>
  <c r="K19" i="1560"/>
  <c r="K15" i="1560"/>
  <c r="K13" i="1560"/>
  <c r="K12" i="1560"/>
  <c r="A75" i="1560"/>
  <c r="A76" i="1560" s="1"/>
  <c r="A77" i="1560" s="1"/>
  <c r="A78" i="1560" s="1"/>
  <c r="A79" i="1560" s="1"/>
  <c r="A80" i="1560" s="1"/>
  <c r="A81" i="1560" s="1"/>
  <c r="A82" i="1560" s="1"/>
  <c r="AF61" i="1560"/>
  <c r="AF60" i="1560"/>
  <c r="AA22" i="1560"/>
  <c r="Z22" i="1560"/>
  <c r="Y22" i="1560"/>
  <c r="X22" i="1560"/>
  <c r="W22" i="1560"/>
  <c r="V22" i="1560"/>
  <c r="U22" i="1560"/>
  <c r="T22" i="1560"/>
  <c r="S22" i="1560"/>
  <c r="R22" i="1560"/>
  <c r="N22" i="1560"/>
  <c r="J22" i="1560"/>
  <c r="I22" i="1560"/>
  <c r="AF21" i="1560"/>
  <c r="AB21" i="1560"/>
  <c r="Q21" i="1560"/>
  <c r="O21" i="1560"/>
  <c r="M21" i="1560"/>
  <c r="P21" i="1560"/>
  <c r="AC21" i="1560" s="1"/>
  <c r="AF20" i="1560"/>
  <c r="Q20" i="1560"/>
  <c r="AF19" i="1560"/>
  <c r="Q19" i="1560"/>
  <c r="P19" i="1560"/>
  <c r="AC19" i="1560" s="1"/>
  <c r="O19" i="1560"/>
  <c r="AF18" i="1560"/>
  <c r="AB18" i="1560"/>
  <c r="Q18" i="1560"/>
  <c r="P18" i="1560"/>
  <c r="AC18" i="1560" s="1"/>
  <c r="O18" i="1560"/>
  <c r="M18" i="1560"/>
  <c r="K18" i="1560"/>
  <c r="AF16" i="1560"/>
  <c r="Q16" i="1560"/>
  <c r="AF15" i="1560"/>
  <c r="Q15" i="1560"/>
  <c r="P15" i="1560"/>
  <c r="AC15" i="1560" s="1"/>
  <c r="AF14" i="1560"/>
  <c r="AB14" i="1560"/>
  <c r="Q14" i="1560"/>
  <c r="P14" i="1560"/>
  <c r="AC14" i="1560" s="1"/>
  <c r="O14" i="1560"/>
  <c r="M14" i="1560"/>
  <c r="K14" i="1560"/>
  <c r="AF13" i="1560"/>
  <c r="AB13" i="1560"/>
  <c r="Q13" i="1560"/>
  <c r="M13" i="1560"/>
  <c r="P13" i="1560"/>
  <c r="AC13" i="1560" s="1"/>
  <c r="AF12" i="1560"/>
  <c r="Q12" i="1560"/>
  <c r="O12" i="1560"/>
  <c r="AF11" i="1560"/>
  <c r="AB11" i="1560"/>
  <c r="Q11" i="1560"/>
  <c r="P11" i="1560" s="1"/>
  <c r="AC11" i="1560" s="1"/>
  <c r="O11" i="1560"/>
  <c r="M11" i="1560"/>
  <c r="AF10" i="1560"/>
  <c r="AB10" i="1560"/>
  <c r="Q10" i="1560"/>
  <c r="P10" i="1560"/>
  <c r="AC10" i="1560" s="1"/>
  <c r="M10" i="1560"/>
  <c r="K10" i="1560"/>
  <c r="AF9" i="1560"/>
  <c r="AB9" i="1560"/>
  <c r="Q9" i="1560"/>
  <c r="M9" i="1560"/>
  <c r="AF8" i="1560"/>
  <c r="Q8" i="1560"/>
  <c r="AF7" i="1560"/>
  <c r="AB7" i="1560"/>
  <c r="Q7" i="1560"/>
  <c r="P7" i="1560"/>
  <c r="AC7" i="1560" s="1"/>
  <c r="O7" i="1560"/>
  <c r="M7" i="1560"/>
  <c r="K7" i="1560"/>
  <c r="AF6" i="1560"/>
  <c r="AB6" i="1560"/>
  <c r="Q6" i="1560"/>
  <c r="P6" i="1560"/>
  <c r="O6" i="1560"/>
  <c r="M6" i="1560"/>
  <c r="K6" i="1560"/>
  <c r="AE13" i="1562" l="1"/>
  <c r="AE11" i="1562"/>
  <c r="AE9" i="1562"/>
  <c r="AE19" i="1562"/>
  <c r="AE20" i="1562"/>
  <c r="AE17" i="1562"/>
  <c r="AE14" i="1562"/>
  <c r="AE12" i="1562"/>
  <c r="AE18" i="1562"/>
  <c r="AE15" i="1562"/>
  <c r="AE10" i="1562"/>
  <c r="AE16" i="1562"/>
  <c r="AE7" i="1562"/>
  <c r="AE8" i="1562"/>
  <c r="AE6" i="1562"/>
  <c r="AD20" i="1561"/>
  <c r="P21" i="1561"/>
  <c r="M21" i="1561"/>
  <c r="AD12" i="1561"/>
  <c r="AC11" i="1561"/>
  <c r="AC21" i="1561" s="1"/>
  <c r="AD18" i="1561"/>
  <c r="AB21" i="1561"/>
  <c r="AD8" i="1561"/>
  <c r="AB20" i="1560"/>
  <c r="O17" i="1560"/>
  <c r="AD17" i="1560" s="1"/>
  <c r="M17" i="1560"/>
  <c r="AB16" i="1560"/>
  <c r="M16" i="1560"/>
  <c r="P16" i="1560"/>
  <c r="AC16" i="1560" s="1"/>
  <c r="P12" i="1560"/>
  <c r="AC12" i="1560" s="1"/>
  <c r="AB12" i="1560"/>
  <c r="O8" i="1560"/>
  <c r="AD7" i="1560"/>
  <c r="P8" i="1560"/>
  <c r="AC8" i="1560" s="1"/>
  <c r="AD8" i="1560" s="1"/>
  <c r="AD21" i="1560"/>
  <c r="AF63" i="1560"/>
  <c r="Q22" i="1560"/>
  <c r="M8" i="1560"/>
  <c r="AB8" i="1560"/>
  <c r="L22" i="1560"/>
  <c r="O22" i="1560" s="1"/>
  <c r="AD18" i="1560"/>
  <c r="AD10" i="1560"/>
  <c r="AD14" i="1560"/>
  <c r="AD11" i="1560"/>
  <c r="O9" i="1560"/>
  <c r="O13" i="1560"/>
  <c r="AD13" i="1560" s="1"/>
  <c r="M15" i="1560"/>
  <c r="AB15" i="1560"/>
  <c r="O16" i="1560"/>
  <c r="AD16" i="1560" s="1"/>
  <c r="M19" i="1560"/>
  <c r="AB19" i="1560"/>
  <c r="AD19" i="1560" s="1"/>
  <c r="O20" i="1560"/>
  <c r="K22" i="1560"/>
  <c r="P9" i="1560"/>
  <c r="AC9" i="1560" s="1"/>
  <c r="O15" i="1560"/>
  <c r="P20" i="1560"/>
  <c r="AC20" i="1560" s="1"/>
  <c r="AC6" i="1560"/>
  <c r="M20" i="1560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22" i="1559"/>
  <c r="L21" i="1559"/>
  <c r="L20" i="1559"/>
  <c r="K20" i="1559"/>
  <c r="L18" i="1559"/>
  <c r="M18" i="1559" s="1"/>
  <c r="L17" i="1559"/>
  <c r="AB17" i="1559" s="1"/>
  <c r="L15" i="1559"/>
  <c r="K15" i="1559"/>
  <c r="L12" i="1559"/>
  <c r="AB12" i="1559" s="1"/>
  <c r="AF12" i="1559"/>
  <c r="Q12" i="1559"/>
  <c r="P12" i="1559" s="1"/>
  <c r="AC12" i="1559" s="1"/>
  <c r="O12" i="1559"/>
  <c r="K12" i="1559"/>
  <c r="K11" i="1559"/>
  <c r="K9" i="1559"/>
  <c r="AF9" i="1559"/>
  <c r="Q9" i="1559"/>
  <c r="P9" i="1559" s="1"/>
  <c r="AC9" i="1559" s="1"/>
  <c r="AB9" i="1559"/>
  <c r="L10" i="1559"/>
  <c r="M10" i="1559" s="1"/>
  <c r="K10" i="1559"/>
  <c r="L8" i="1559"/>
  <c r="K22" i="1559"/>
  <c r="K21" i="1559"/>
  <c r="K18" i="1559"/>
  <c r="K17" i="1559"/>
  <c r="K14" i="1559"/>
  <c r="K13" i="1559"/>
  <c r="A77" i="1559"/>
  <c r="A78" i="1559" s="1"/>
  <c r="A79" i="1559" s="1"/>
  <c r="A80" i="1559" s="1"/>
  <c r="A81" i="1559" s="1"/>
  <c r="A82" i="1559" s="1"/>
  <c r="A83" i="1559" s="1"/>
  <c r="A76" i="1559"/>
  <c r="AF62" i="1559"/>
  <c r="AF61" i="1559"/>
  <c r="AF64" i="1559" s="1"/>
  <c r="AA23" i="1559"/>
  <c r="Z23" i="1559"/>
  <c r="Y23" i="1559"/>
  <c r="X23" i="1559"/>
  <c r="W23" i="1559"/>
  <c r="V23" i="1559"/>
  <c r="U23" i="1559"/>
  <c r="T23" i="1559"/>
  <c r="S23" i="1559"/>
  <c r="R23" i="1559"/>
  <c r="N23" i="1559"/>
  <c r="J23" i="1559"/>
  <c r="I23" i="1559"/>
  <c r="AF22" i="1559"/>
  <c r="Q22" i="1559"/>
  <c r="O22" i="1559"/>
  <c r="AF21" i="1559"/>
  <c r="Q21" i="1559"/>
  <c r="P21" i="1559"/>
  <c r="AC21" i="1559" s="1"/>
  <c r="AB21" i="1559"/>
  <c r="AF20" i="1559"/>
  <c r="Q20" i="1559"/>
  <c r="O20" i="1559"/>
  <c r="AB20" i="1559"/>
  <c r="AF19" i="1559"/>
  <c r="AB19" i="1559"/>
  <c r="Q19" i="1559"/>
  <c r="P19" i="1559"/>
  <c r="AC19" i="1559" s="1"/>
  <c r="O19" i="1559"/>
  <c r="M19" i="1559"/>
  <c r="K19" i="1559"/>
  <c r="AF18" i="1559"/>
  <c r="Q18" i="1559"/>
  <c r="P18" i="1559"/>
  <c r="AC18" i="1559" s="1"/>
  <c r="AF17" i="1559"/>
  <c r="Q17" i="1559"/>
  <c r="P17" i="1559"/>
  <c r="AC17" i="1559" s="1"/>
  <c r="O17" i="1559"/>
  <c r="AF16" i="1559"/>
  <c r="AB16" i="1559"/>
  <c r="Q16" i="1559"/>
  <c r="P16" i="1559"/>
  <c r="AC16" i="1559" s="1"/>
  <c r="O16" i="1559"/>
  <c r="M16" i="1559"/>
  <c r="K16" i="1559"/>
  <c r="AF15" i="1559"/>
  <c r="Q15" i="1559"/>
  <c r="P15" i="1559"/>
  <c r="AC15" i="1559" s="1"/>
  <c r="AB15" i="1559"/>
  <c r="AF14" i="1559"/>
  <c r="Q14" i="1559"/>
  <c r="P14" i="1559" s="1"/>
  <c r="AC14" i="1559" s="1"/>
  <c r="O14" i="1559"/>
  <c r="AB14" i="1559"/>
  <c r="AF13" i="1559"/>
  <c r="AB13" i="1559"/>
  <c r="Q13" i="1559"/>
  <c r="P13" i="1559"/>
  <c r="AC13" i="1559" s="1"/>
  <c r="O13" i="1559"/>
  <c r="M13" i="1559"/>
  <c r="AF11" i="1559"/>
  <c r="Q11" i="1559"/>
  <c r="M11" i="1559"/>
  <c r="AF10" i="1559"/>
  <c r="Q10" i="1559"/>
  <c r="P10" i="1559" s="1"/>
  <c r="AC10" i="1559" s="1"/>
  <c r="AF8" i="1559"/>
  <c r="Q8" i="1559"/>
  <c r="AF7" i="1559"/>
  <c r="AC7" i="1559"/>
  <c r="AD7" i="1559" s="1"/>
  <c r="AB7" i="1559"/>
  <c r="Q7" i="1559"/>
  <c r="P7" i="1559"/>
  <c r="O7" i="1559"/>
  <c r="M7" i="1559"/>
  <c r="K7" i="1559"/>
  <c r="AF6" i="1559"/>
  <c r="AB6" i="1559"/>
  <c r="Q6" i="1559"/>
  <c r="P6" i="1559"/>
  <c r="O6" i="1559"/>
  <c r="M6" i="1559"/>
  <c r="K6" i="1559"/>
  <c r="AD11" i="1561" l="1"/>
  <c r="AD21" i="1561"/>
  <c r="AE19" i="1561" s="1"/>
  <c r="AD12" i="1560"/>
  <c r="AD15" i="1560"/>
  <c r="M22" i="1560"/>
  <c r="AD9" i="1560"/>
  <c r="AD20" i="1560"/>
  <c r="AB22" i="1560"/>
  <c r="P22" i="1560"/>
  <c r="AC22" i="1560"/>
  <c r="AD6" i="1560"/>
  <c r="P20" i="1559"/>
  <c r="AC20" i="1559" s="1"/>
  <c r="AD12" i="1559"/>
  <c r="L23" i="1559"/>
  <c r="O23" i="1559" s="1"/>
  <c r="M12" i="1559"/>
  <c r="Q23" i="1559"/>
  <c r="O9" i="1559"/>
  <c r="AD9" i="1559" s="1"/>
  <c r="P8" i="1559"/>
  <c r="AC8" i="1559" s="1"/>
  <c r="AD16" i="1559"/>
  <c r="M9" i="1559"/>
  <c r="O8" i="1559"/>
  <c r="K8" i="1559"/>
  <c r="K23" i="1559" s="1"/>
  <c r="AD13" i="1559"/>
  <c r="AD19" i="1559"/>
  <c r="AD20" i="1559"/>
  <c r="AD14" i="1559"/>
  <c r="AD17" i="1559"/>
  <c r="AB11" i="1559"/>
  <c r="AB10" i="1559"/>
  <c r="O11" i="1559"/>
  <c r="AB18" i="1559"/>
  <c r="AC6" i="1559"/>
  <c r="M8" i="1559"/>
  <c r="AB8" i="1559"/>
  <c r="O10" i="1559"/>
  <c r="P11" i="1559"/>
  <c r="AC11" i="1559" s="1"/>
  <c r="M14" i="1559"/>
  <c r="O15" i="1559"/>
  <c r="AD15" i="1559" s="1"/>
  <c r="M17" i="1559"/>
  <c r="O18" i="1559"/>
  <c r="M20" i="1559"/>
  <c r="O21" i="1559"/>
  <c r="AD21" i="1559" s="1"/>
  <c r="P22" i="1559"/>
  <c r="AC22" i="1559" s="1"/>
  <c r="M22" i="1559"/>
  <c r="AB22" i="1559"/>
  <c r="M15" i="1559"/>
  <c r="M21" i="1559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20" i="1558"/>
  <c r="O20" i="1558" s="1"/>
  <c r="L19" i="1558"/>
  <c r="L18" i="1558"/>
  <c r="AB18" i="1558" s="1"/>
  <c r="L16" i="1558"/>
  <c r="M16" i="1558" s="1"/>
  <c r="K16" i="1558"/>
  <c r="L15" i="1558"/>
  <c r="L13" i="1558"/>
  <c r="AB13" i="1558" s="1"/>
  <c r="L12" i="1558"/>
  <c r="L11" i="1558"/>
  <c r="K11" i="1558" s="1"/>
  <c r="L10" i="1558"/>
  <c r="K10" i="1558" s="1"/>
  <c r="L9" i="1558"/>
  <c r="K9" i="1558" s="1"/>
  <c r="L8" i="1558"/>
  <c r="K8" i="1558" s="1"/>
  <c r="K19" i="1558"/>
  <c r="K18" i="1558"/>
  <c r="K15" i="1558"/>
  <c r="K14" i="1558"/>
  <c r="K12" i="1558"/>
  <c r="A74" i="1558"/>
  <c r="A75" i="1558" s="1"/>
  <c r="A76" i="1558" s="1"/>
  <c r="A77" i="1558" s="1"/>
  <c r="A78" i="1558" s="1"/>
  <c r="A79" i="1558" s="1"/>
  <c r="A80" i="1558" s="1"/>
  <c r="A81" i="1558" s="1"/>
  <c r="AF60" i="1558"/>
  <c r="AF59" i="1558"/>
  <c r="AF62" i="1558" s="1"/>
  <c r="AA21" i="1558"/>
  <c r="Z21" i="1558"/>
  <c r="Y21" i="1558"/>
  <c r="X21" i="1558"/>
  <c r="W21" i="1558"/>
  <c r="V21" i="1558"/>
  <c r="U21" i="1558"/>
  <c r="T21" i="1558"/>
  <c r="S21" i="1558"/>
  <c r="R21" i="1558"/>
  <c r="N21" i="1558"/>
  <c r="J21" i="1558"/>
  <c r="I21" i="1558"/>
  <c r="AF20" i="1558"/>
  <c r="AB20" i="1558"/>
  <c r="Q20" i="1558"/>
  <c r="P20" i="1558" s="1"/>
  <c r="AC20" i="1558" s="1"/>
  <c r="M20" i="1558"/>
  <c r="K20" i="1558"/>
  <c r="AF19" i="1558"/>
  <c r="Q19" i="1558"/>
  <c r="P19" i="1558" s="1"/>
  <c r="AC19" i="1558" s="1"/>
  <c r="O19" i="1558"/>
  <c r="AF18" i="1558"/>
  <c r="Q18" i="1558"/>
  <c r="M18" i="1558"/>
  <c r="AF17" i="1558"/>
  <c r="AB17" i="1558"/>
  <c r="Q17" i="1558"/>
  <c r="P17" i="1558"/>
  <c r="AC17" i="1558" s="1"/>
  <c r="O17" i="1558"/>
  <c r="M17" i="1558"/>
  <c r="K17" i="1558"/>
  <c r="AF16" i="1558"/>
  <c r="AB16" i="1558"/>
  <c r="Q16" i="1558"/>
  <c r="P16" i="1558"/>
  <c r="AC16" i="1558" s="1"/>
  <c r="O16" i="1558"/>
  <c r="AF15" i="1558"/>
  <c r="Q15" i="1558"/>
  <c r="O15" i="1558"/>
  <c r="AF14" i="1558"/>
  <c r="AB14" i="1558"/>
  <c r="Q14" i="1558"/>
  <c r="P14" i="1558"/>
  <c r="AC14" i="1558" s="1"/>
  <c r="O14" i="1558"/>
  <c r="M14" i="1558"/>
  <c r="AF13" i="1558"/>
  <c r="Q13" i="1558"/>
  <c r="AF12" i="1558"/>
  <c r="AB12" i="1558"/>
  <c r="Q12" i="1558"/>
  <c r="P12" i="1558"/>
  <c r="AC12" i="1558" s="1"/>
  <c r="O12" i="1558"/>
  <c r="M12" i="1558"/>
  <c r="AF11" i="1558"/>
  <c r="AB11" i="1558"/>
  <c r="Q11" i="1558"/>
  <c r="O11" i="1558"/>
  <c r="M11" i="1558"/>
  <c r="AF10" i="1558"/>
  <c r="AB10" i="1558"/>
  <c r="Q10" i="1558"/>
  <c r="O10" i="1558"/>
  <c r="M10" i="1558"/>
  <c r="AF9" i="1558"/>
  <c r="Q9" i="1558"/>
  <c r="O9" i="1558"/>
  <c r="AF8" i="1558"/>
  <c r="Q8" i="1558"/>
  <c r="AF7" i="1558"/>
  <c r="AB7" i="1558"/>
  <c r="Q7" i="1558"/>
  <c r="P7" i="1558"/>
  <c r="AC7" i="1558" s="1"/>
  <c r="O7" i="1558"/>
  <c r="M7" i="1558"/>
  <c r="K7" i="1558"/>
  <c r="AF6" i="1558"/>
  <c r="AB6" i="1558"/>
  <c r="Q6" i="1558"/>
  <c r="P6" i="1558"/>
  <c r="O6" i="1558"/>
  <c r="M6" i="1558"/>
  <c r="K6" i="1558"/>
  <c r="AE12" i="1561" l="1"/>
  <c r="AE17" i="1561"/>
  <c r="AE15" i="1561"/>
  <c r="AE9" i="1561"/>
  <c r="AE6" i="1561"/>
  <c r="AE18" i="1561"/>
  <c r="AE20" i="1561"/>
  <c r="AE14" i="1561"/>
  <c r="AE16" i="1561"/>
  <c r="AE8" i="1561"/>
  <c r="AE13" i="1561"/>
  <c r="AE11" i="1561"/>
  <c r="AE10" i="1561"/>
  <c r="AE7" i="1561"/>
  <c r="AD22" i="1560"/>
  <c r="AD10" i="1559"/>
  <c r="M23" i="1559"/>
  <c r="AB23" i="1559"/>
  <c r="AD22" i="1559"/>
  <c r="AD18" i="1559"/>
  <c r="AC23" i="1559"/>
  <c r="AD6" i="1559"/>
  <c r="P23" i="1559"/>
  <c r="AD8" i="1559"/>
  <c r="AD11" i="1559"/>
  <c r="O18" i="1558"/>
  <c r="AD18" i="1558" s="1"/>
  <c r="P10" i="1558"/>
  <c r="AC10" i="1558" s="1"/>
  <c r="AD20" i="1558"/>
  <c r="P18" i="1558"/>
  <c r="AC18" i="1558" s="1"/>
  <c r="O13" i="1558"/>
  <c r="K13" i="1558"/>
  <c r="P13" i="1558"/>
  <c r="AC13" i="1558" s="1"/>
  <c r="AD13" i="1558" s="1"/>
  <c r="M13" i="1558"/>
  <c r="P11" i="1558"/>
  <c r="AC11" i="1558" s="1"/>
  <c r="AD11" i="1558" s="1"/>
  <c r="AD14" i="1558"/>
  <c r="AD7" i="1558"/>
  <c r="AD17" i="1558"/>
  <c r="AD10" i="1558"/>
  <c r="L21" i="1558"/>
  <c r="O21" i="1558" s="1"/>
  <c r="Q21" i="1558"/>
  <c r="AD12" i="1558"/>
  <c r="M9" i="1558"/>
  <c r="AB9" i="1558"/>
  <c r="P9" i="1558"/>
  <c r="AC9" i="1558" s="1"/>
  <c r="AD16" i="1558"/>
  <c r="O8" i="1558"/>
  <c r="P8" i="1558"/>
  <c r="AC8" i="1558" s="1"/>
  <c r="P15" i="1558"/>
  <c r="AC15" i="1558" s="1"/>
  <c r="M19" i="1558"/>
  <c r="AB19" i="1558"/>
  <c r="AD19" i="1558" s="1"/>
  <c r="AC6" i="1558"/>
  <c r="M8" i="1558"/>
  <c r="AB8" i="1558"/>
  <c r="M15" i="1558"/>
  <c r="AB15" i="1558"/>
  <c r="O18" i="16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K14" i="1557"/>
  <c r="L21" i="1557"/>
  <c r="L20" i="1557"/>
  <c r="K20" i="1557"/>
  <c r="AF19" i="1557"/>
  <c r="Q19" i="1557"/>
  <c r="P19" i="1557"/>
  <c r="AC19" i="1557" s="1"/>
  <c r="L19" i="1557"/>
  <c r="AB19" i="1557" s="1"/>
  <c r="K19" i="1557"/>
  <c r="O20" i="1557"/>
  <c r="L17" i="1557"/>
  <c r="O17" i="1557" s="1"/>
  <c r="K17" i="1557"/>
  <c r="L16" i="1557"/>
  <c r="K15" i="1557"/>
  <c r="L12" i="1557"/>
  <c r="AB12" i="1557" s="1"/>
  <c r="L11" i="1557"/>
  <c r="K11" i="1557"/>
  <c r="L9" i="1557"/>
  <c r="AB9" i="1557" s="1"/>
  <c r="L8" i="1557"/>
  <c r="O8" i="1557" s="1"/>
  <c r="K21" i="1557"/>
  <c r="K13" i="1557"/>
  <c r="K12" i="1557"/>
  <c r="K10" i="1557"/>
  <c r="K9" i="1557"/>
  <c r="A77" i="1557"/>
  <c r="A78" i="1557" s="1"/>
  <c r="A79" i="1557" s="1"/>
  <c r="A80" i="1557" s="1"/>
  <c r="A81" i="1557" s="1"/>
  <c r="A82" i="1557" s="1"/>
  <c r="A83" i="1557" s="1"/>
  <c r="A76" i="1557"/>
  <c r="AF62" i="1557"/>
  <c r="AF61" i="1557"/>
  <c r="AF64" i="1557" s="1"/>
  <c r="AA23" i="1557"/>
  <c r="Z23" i="1557"/>
  <c r="Y23" i="1557"/>
  <c r="X23" i="1557"/>
  <c r="W23" i="1557"/>
  <c r="V23" i="1557"/>
  <c r="U23" i="1557"/>
  <c r="T23" i="1557"/>
  <c r="S23" i="1557"/>
  <c r="R23" i="1557"/>
  <c r="N23" i="1557"/>
  <c r="J23" i="1557"/>
  <c r="I23" i="1557"/>
  <c r="AF22" i="1557"/>
  <c r="AB22" i="1557"/>
  <c r="Q22" i="1557"/>
  <c r="P22" i="1557"/>
  <c r="AC22" i="1557" s="1"/>
  <c r="AD22" i="1557" s="1"/>
  <c r="O22" i="1557"/>
  <c r="M22" i="1557"/>
  <c r="K22" i="1557"/>
  <c r="AF21" i="1557"/>
  <c r="AB21" i="1557"/>
  <c r="Q21" i="1557"/>
  <c r="P21" i="1557"/>
  <c r="AC21" i="1557" s="1"/>
  <c r="AD21" i="1557" s="1"/>
  <c r="O21" i="1557"/>
  <c r="M21" i="1557"/>
  <c r="AF20" i="1557"/>
  <c r="Q20" i="1557"/>
  <c r="AF18" i="1557"/>
  <c r="AB18" i="1557"/>
  <c r="Q18" i="1557"/>
  <c r="P18" i="1557"/>
  <c r="AC18" i="1557" s="1"/>
  <c r="AD18" i="1557" s="1"/>
  <c r="O18" i="1557"/>
  <c r="M18" i="1557"/>
  <c r="K18" i="1557"/>
  <c r="AF17" i="1557"/>
  <c r="AB17" i="1557"/>
  <c r="Q17" i="1557"/>
  <c r="P17" i="1557" s="1"/>
  <c r="AC17" i="1557" s="1"/>
  <c r="M17" i="1557"/>
  <c r="AF16" i="1557"/>
  <c r="AB16" i="1557"/>
  <c r="Q16" i="1557"/>
  <c r="P16" i="1557" s="1"/>
  <c r="AC16" i="1557" s="1"/>
  <c r="O16" i="1557"/>
  <c r="M16" i="1557"/>
  <c r="K16" i="1557"/>
  <c r="AF15" i="1557"/>
  <c r="AB15" i="1557"/>
  <c r="Q15" i="1557"/>
  <c r="P15" i="1557" s="1"/>
  <c r="AC15" i="1557" s="1"/>
  <c r="AD15" i="1557" s="1"/>
  <c r="O15" i="1557"/>
  <c r="M15" i="1557"/>
  <c r="AF14" i="1557"/>
  <c r="AB14" i="1557"/>
  <c r="Q14" i="1557"/>
  <c r="P14" i="1557"/>
  <c r="AC14" i="1557" s="1"/>
  <c r="O14" i="1557"/>
  <c r="M14" i="1557"/>
  <c r="AF13" i="1557"/>
  <c r="AB13" i="1557"/>
  <c r="Q13" i="1557"/>
  <c r="P13" i="1557" s="1"/>
  <c r="AC13" i="1557" s="1"/>
  <c r="O13" i="1557"/>
  <c r="M13" i="1557"/>
  <c r="AF12" i="1557"/>
  <c r="Q12" i="1557"/>
  <c r="P12" i="1557" s="1"/>
  <c r="AC12" i="1557" s="1"/>
  <c r="O12" i="1557"/>
  <c r="AF11" i="1557"/>
  <c r="AB11" i="1557"/>
  <c r="Q11" i="1557"/>
  <c r="P11" i="1557" s="1"/>
  <c r="AC11" i="1557" s="1"/>
  <c r="O11" i="1557"/>
  <c r="M11" i="1557"/>
  <c r="AF10" i="1557"/>
  <c r="AB10" i="1557"/>
  <c r="Q10" i="1557"/>
  <c r="P10" i="1557" s="1"/>
  <c r="AC10" i="1557" s="1"/>
  <c r="O10" i="1557"/>
  <c r="M10" i="1557"/>
  <c r="AF9" i="1557"/>
  <c r="Q9" i="1557"/>
  <c r="P9" i="1557"/>
  <c r="AC9" i="1557" s="1"/>
  <c r="O9" i="1557"/>
  <c r="AF8" i="1557"/>
  <c r="AB8" i="1557"/>
  <c r="Q8" i="1557"/>
  <c r="P8" i="1557" s="1"/>
  <c r="AC8" i="1557" s="1"/>
  <c r="M8" i="1557"/>
  <c r="K8" i="1557"/>
  <c r="AF7" i="1557"/>
  <c r="AB7" i="1557"/>
  <c r="Q7" i="1557"/>
  <c r="P7" i="1557"/>
  <c r="AC7" i="1557" s="1"/>
  <c r="AD7" i="1557" s="1"/>
  <c r="O7" i="1557"/>
  <c r="M7" i="1557"/>
  <c r="K7" i="1557"/>
  <c r="AF6" i="1557"/>
  <c r="AB6" i="1557"/>
  <c r="Q6" i="1557"/>
  <c r="P6" i="1557"/>
  <c r="AC6" i="1557" s="1"/>
  <c r="O6" i="1557"/>
  <c r="M6" i="1557"/>
  <c r="K6" i="1557"/>
  <c r="AE12" i="1560" l="1"/>
  <c r="AE17" i="1560"/>
  <c r="AE9" i="1560"/>
  <c r="AE21" i="1560"/>
  <c r="AE6" i="1560"/>
  <c r="AE15" i="1560"/>
  <c r="AE8" i="1560"/>
  <c r="AE19" i="1560"/>
  <c r="AE18" i="1560"/>
  <c r="AE16" i="1560"/>
  <c r="AE20" i="1560"/>
  <c r="AE14" i="1560"/>
  <c r="AE7" i="1560"/>
  <c r="AE10" i="1560"/>
  <c r="AE11" i="1560"/>
  <c r="AE13" i="1560"/>
  <c r="AD23" i="1559"/>
  <c r="AE12" i="1559" s="1"/>
  <c r="AB21" i="1558"/>
  <c r="AD8" i="1558"/>
  <c r="M21" i="1558"/>
  <c r="AD9" i="1558"/>
  <c r="P21" i="1558"/>
  <c r="AC21" i="1558"/>
  <c r="AD6" i="1558"/>
  <c r="AD15" i="1558"/>
  <c r="K21" i="1558"/>
  <c r="O19" i="1557"/>
  <c r="AD19" i="1557" s="1"/>
  <c r="AD11" i="1557"/>
  <c r="M19" i="1557"/>
  <c r="AD17" i="1557"/>
  <c r="AD16" i="1557"/>
  <c r="AD13" i="1557"/>
  <c r="AD12" i="1557"/>
  <c r="M12" i="1557"/>
  <c r="AD9" i="1557"/>
  <c r="M9" i="1557"/>
  <c r="Q23" i="1557"/>
  <c r="AD8" i="1557"/>
  <c r="AD14" i="1557"/>
  <c r="AD10" i="1557"/>
  <c r="AD6" i="1557"/>
  <c r="M20" i="1557"/>
  <c r="L23" i="1557"/>
  <c r="O23" i="1557" s="1"/>
  <c r="K23" i="1557"/>
  <c r="P20" i="1557"/>
  <c r="AC20" i="1557" s="1"/>
  <c r="AB20" i="1557"/>
  <c r="AB23" i="1557" s="1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19" i="1556"/>
  <c r="K19" i="1556" s="1"/>
  <c r="K21" i="1556"/>
  <c r="K20" i="1556"/>
  <c r="K16" i="1556"/>
  <c r="K14" i="1556"/>
  <c r="K13" i="1556"/>
  <c r="K12" i="1556"/>
  <c r="K11" i="1556"/>
  <c r="K10" i="1556"/>
  <c r="K9" i="1556"/>
  <c r="K8" i="1556"/>
  <c r="A76" i="1556"/>
  <c r="A77" i="1556" s="1"/>
  <c r="A78" i="1556" s="1"/>
  <c r="A79" i="1556" s="1"/>
  <c r="A80" i="1556" s="1"/>
  <c r="A81" i="1556" s="1"/>
  <c r="A82" i="1556" s="1"/>
  <c r="A75" i="1556"/>
  <c r="AF61" i="1556"/>
  <c r="AF60" i="1556"/>
  <c r="AF63" i="1556" s="1"/>
  <c r="AA22" i="1556"/>
  <c r="Z22" i="1556"/>
  <c r="Y22" i="1556"/>
  <c r="X22" i="1556"/>
  <c r="W22" i="1556"/>
  <c r="V22" i="1556"/>
  <c r="U22" i="1556"/>
  <c r="T22" i="1556"/>
  <c r="S22" i="1556"/>
  <c r="R22" i="1556"/>
  <c r="N22" i="1556"/>
  <c r="J22" i="1556"/>
  <c r="I22" i="1556"/>
  <c r="AF21" i="1556"/>
  <c r="Q21" i="1556"/>
  <c r="O21" i="1556"/>
  <c r="AF20" i="1556"/>
  <c r="Q20" i="1556"/>
  <c r="P20" i="1556"/>
  <c r="AC20" i="1556" s="1"/>
  <c r="AB20" i="1556"/>
  <c r="AF19" i="1556"/>
  <c r="Q19" i="1556"/>
  <c r="P19" i="1556"/>
  <c r="AC19" i="1556" s="1"/>
  <c r="AB19" i="1556"/>
  <c r="AF18" i="1556"/>
  <c r="AB18" i="1556"/>
  <c r="Q18" i="1556"/>
  <c r="P18" i="1556"/>
  <c r="AC18" i="1556" s="1"/>
  <c r="O18" i="1556"/>
  <c r="M18" i="1556"/>
  <c r="K18" i="1556"/>
  <c r="AF17" i="1556"/>
  <c r="AB17" i="1556"/>
  <c r="Q17" i="1556"/>
  <c r="P17" i="1556"/>
  <c r="AC17" i="1556" s="1"/>
  <c r="AD17" i="1556" s="1"/>
  <c r="O17" i="1556"/>
  <c r="M17" i="1556"/>
  <c r="K17" i="1556"/>
  <c r="AF16" i="1556"/>
  <c r="AB16" i="1556"/>
  <c r="Q16" i="1556"/>
  <c r="P16" i="1556"/>
  <c r="AC16" i="1556" s="1"/>
  <c r="O16" i="1556"/>
  <c r="M16" i="1556"/>
  <c r="AF15" i="1556"/>
  <c r="AC15" i="1556"/>
  <c r="AB15" i="1556"/>
  <c r="Q15" i="1556"/>
  <c r="P15" i="1556"/>
  <c r="O15" i="1556"/>
  <c r="M15" i="1556"/>
  <c r="K15" i="1556"/>
  <c r="AF14" i="1556"/>
  <c r="Q14" i="1556"/>
  <c r="O14" i="1556"/>
  <c r="P14" i="1556"/>
  <c r="AC14" i="1556" s="1"/>
  <c r="AF13" i="1556"/>
  <c r="AB13" i="1556"/>
  <c r="Q13" i="1556"/>
  <c r="P13" i="1556" s="1"/>
  <c r="AC13" i="1556" s="1"/>
  <c r="O13" i="1556"/>
  <c r="M13" i="1556"/>
  <c r="AF12" i="1556"/>
  <c r="Q12" i="1556"/>
  <c r="O12" i="1556"/>
  <c r="AF11" i="1556"/>
  <c r="AB11" i="1556"/>
  <c r="Q11" i="1556"/>
  <c r="P11" i="1556"/>
  <c r="AC11" i="1556" s="1"/>
  <c r="O11" i="1556"/>
  <c r="M11" i="1556"/>
  <c r="AF10" i="1556"/>
  <c r="AB10" i="1556"/>
  <c r="Q10" i="1556"/>
  <c r="P10" i="1556" s="1"/>
  <c r="AC10" i="1556" s="1"/>
  <c r="O10" i="1556"/>
  <c r="M10" i="1556"/>
  <c r="AF9" i="1556"/>
  <c r="AB9" i="1556"/>
  <c r="Q9" i="1556"/>
  <c r="P9" i="1556"/>
  <c r="AC9" i="1556" s="1"/>
  <c r="M9" i="1556"/>
  <c r="O9" i="1556"/>
  <c r="AF8" i="1556"/>
  <c r="Q8" i="1556"/>
  <c r="O8" i="1556"/>
  <c r="L22" i="1556"/>
  <c r="O22" i="1556" s="1"/>
  <c r="AF7" i="1556"/>
  <c r="AB7" i="1556"/>
  <c r="Q7" i="1556"/>
  <c r="P7" i="1556"/>
  <c r="AC7" i="1556" s="1"/>
  <c r="AD7" i="1556" s="1"/>
  <c r="O7" i="1556"/>
  <c r="M7" i="1556"/>
  <c r="K7" i="1556"/>
  <c r="AF6" i="1556"/>
  <c r="AB6" i="1556"/>
  <c r="Q6" i="1556"/>
  <c r="P6" i="1556"/>
  <c r="O6" i="1556"/>
  <c r="M6" i="1556"/>
  <c r="K6" i="1556"/>
  <c r="M18" i="16"/>
  <c r="M17" i="16"/>
  <c r="M16" i="16"/>
  <c r="M15" i="16"/>
  <c r="M14" i="16"/>
  <c r="M13" i="16"/>
  <c r="M12" i="16"/>
  <c r="M11" i="16"/>
  <c r="M10" i="16"/>
  <c r="M9" i="16"/>
  <c r="M8" i="16"/>
  <c r="M7" i="16"/>
  <c r="M6" i="16"/>
  <c r="M5" i="16"/>
  <c r="M4" i="16"/>
  <c r="M3" i="16"/>
  <c r="L21" i="1555"/>
  <c r="K21" i="1555" s="1"/>
  <c r="L20" i="1555"/>
  <c r="AB20" i="1555" s="1"/>
  <c r="L19" i="1555"/>
  <c r="K19" i="1555" s="1"/>
  <c r="L16" i="1555"/>
  <c r="L14" i="1555"/>
  <c r="L13" i="1555"/>
  <c r="L12" i="1555"/>
  <c r="AB12" i="1555" s="1"/>
  <c r="K11" i="1555"/>
  <c r="AF11" i="1555"/>
  <c r="AB11" i="1555"/>
  <c r="Q11" i="1555"/>
  <c r="P11" i="1555" s="1"/>
  <c r="AC11" i="1555" s="1"/>
  <c r="O11" i="1555"/>
  <c r="M11" i="1555"/>
  <c r="L9" i="1555"/>
  <c r="K9" i="1555" s="1"/>
  <c r="L8" i="1555"/>
  <c r="K8" i="1555" s="1"/>
  <c r="K18" i="1555"/>
  <c r="K14" i="1555"/>
  <c r="K13" i="1555"/>
  <c r="K12" i="1555"/>
  <c r="K10" i="1555"/>
  <c r="A75" i="1555"/>
  <c r="A76" i="1555" s="1"/>
  <c r="A77" i="1555" s="1"/>
  <c r="A78" i="1555" s="1"/>
  <c r="A79" i="1555" s="1"/>
  <c r="A80" i="1555" s="1"/>
  <c r="A81" i="1555" s="1"/>
  <c r="A82" i="1555" s="1"/>
  <c r="AF61" i="1555"/>
  <c r="AF63" i="1555" s="1"/>
  <c r="AF60" i="1555"/>
  <c r="AA22" i="1555"/>
  <c r="Z22" i="1555"/>
  <c r="Y22" i="1555"/>
  <c r="X22" i="1555"/>
  <c r="W22" i="1555"/>
  <c r="V22" i="1555"/>
  <c r="U22" i="1555"/>
  <c r="T22" i="1555"/>
  <c r="S22" i="1555"/>
  <c r="R22" i="1555"/>
  <c r="N22" i="1555"/>
  <c r="J22" i="1555"/>
  <c r="I22" i="1555"/>
  <c r="AF21" i="1555"/>
  <c r="AB21" i="1555"/>
  <c r="Q21" i="1555"/>
  <c r="P21" i="1555" s="1"/>
  <c r="AC21" i="1555" s="1"/>
  <c r="M21" i="1555"/>
  <c r="O21" i="1555"/>
  <c r="AF20" i="1555"/>
  <c r="Q20" i="1555"/>
  <c r="AF19" i="1555"/>
  <c r="AB19" i="1555"/>
  <c r="Q19" i="1555"/>
  <c r="P19" i="1555"/>
  <c r="AC19" i="1555" s="1"/>
  <c r="M19" i="1555"/>
  <c r="O19" i="1555"/>
  <c r="AF18" i="1555"/>
  <c r="Q18" i="1555"/>
  <c r="O18" i="1555"/>
  <c r="P18" i="1555"/>
  <c r="AC18" i="1555" s="1"/>
  <c r="AF17" i="1555"/>
  <c r="AB17" i="1555"/>
  <c r="Q17" i="1555"/>
  <c r="P17" i="1555"/>
  <c r="AC17" i="1555" s="1"/>
  <c r="O17" i="1555"/>
  <c r="M17" i="1555"/>
  <c r="K17" i="1555"/>
  <c r="AF16" i="1555"/>
  <c r="AB16" i="1555"/>
  <c r="Q16" i="1555"/>
  <c r="O16" i="1555"/>
  <c r="AF15" i="1555"/>
  <c r="AB15" i="1555"/>
  <c r="Q15" i="1555"/>
  <c r="P15" i="1555"/>
  <c r="AC15" i="1555" s="1"/>
  <c r="O15" i="1555"/>
  <c r="M15" i="1555"/>
  <c r="K15" i="1555"/>
  <c r="AF14" i="1555"/>
  <c r="AB14" i="1555"/>
  <c r="Q14" i="1555"/>
  <c r="P14" i="1555" s="1"/>
  <c r="AC14" i="1555" s="1"/>
  <c r="O14" i="1555"/>
  <c r="M14" i="1555"/>
  <c r="AF13" i="1555"/>
  <c r="Q13" i="1555"/>
  <c r="O13" i="1555"/>
  <c r="P13" i="1555"/>
  <c r="AC13" i="1555" s="1"/>
  <c r="AF12" i="1555"/>
  <c r="Q12" i="1555"/>
  <c r="P12" i="1555" s="1"/>
  <c r="AC12" i="1555" s="1"/>
  <c r="O12" i="1555"/>
  <c r="AF10" i="1555"/>
  <c r="AB10" i="1555"/>
  <c r="Q10" i="1555"/>
  <c r="P10" i="1555" s="1"/>
  <c r="AC10" i="1555" s="1"/>
  <c r="M10" i="1555"/>
  <c r="O10" i="1555"/>
  <c r="AF9" i="1555"/>
  <c r="Q9" i="1555"/>
  <c r="O9" i="1555"/>
  <c r="AF8" i="1555"/>
  <c r="AB8" i="1555"/>
  <c r="Q8" i="1555"/>
  <c r="O8" i="1555"/>
  <c r="M8" i="1555"/>
  <c r="AF7" i="1555"/>
  <c r="AC7" i="1555"/>
  <c r="AB7" i="1555"/>
  <c r="Q7" i="1555"/>
  <c r="P7" i="1555"/>
  <c r="O7" i="1555"/>
  <c r="M7" i="1555"/>
  <c r="K7" i="1555"/>
  <c r="AF6" i="1555"/>
  <c r="AC6" i="1555"/>
  <c r="AB6" i="1555"/>
  <c r="Q6" i="1555"/>
  <c r="P6" i="1555"/>
  <c r="O6" i="1555"/>
  <c r="M6" i="1555"/>
  <c r="K6" i="1555"/>
  <c r="AE20" i="1559" l="1"/>
  <c r="AE9" i="1559"/>
  <c r="AE10" i="1559"/>
  <c r="AE6" i="1559"/>
  <c r="AE11" i="1559"/>
  <c r="AE7" i="1559"/>
  <c r="AE13" i="1559"/>
  <c r="AE15" i="1559"/>
  <c r="AE22" i="1559"/>
  <c r="AE8" i="1559"/>
  <c r="AE16" i="1559"/>
  <c r="AE18" i="1559"/>
  <c r="AE17" i="1559"/>
  <c r="AE14" i="1559"/>
  <c r="AE19" i="1559"/>
  <c r="AE21" i="1559"/>
  <c r="AD21" i="1558"/>
  <c r="AE19" i="1558" s="1"/>
  <c r="AD20" i="1557"/>
  <c r="AD23" i="1557" s="1"/>
  <c r="M23" i="1557"/>
  <c r="P23" i="1557"/>
  <c r="AC23" i="1557"/>
  <c r="O19" i="1556"/>
  <c r="Q22" i="1556"/>
  <c r="AD10" i="1556"/>
  <c r="AD15" i="1556"/>
  <c r="AD16" i="1556"/>
  <c r="AD9" i="1556"/>
  <c r="AD11" i="1556"/>
  <c r="AD13" i="1556"/>
  <c r="AD18" i="1556"/>
  <c r="AD19" i="1556"/>
  <c r="AC6" i="1556"/>
  <c r="M8" i="1556"/>
  <c r="AB8" i="1556"/>
  <c r="P12" i="1556"/>
  <c r="AC12" i="1556" s="1"/>
  <c r="M14" i="1556"/>
  <c r="AB14" i="1556"/>
  <c r="AD14" i="1556" s="1"/>
  <c r="M19" i="1556"/>
  <c r="O20" i="1556"/>
  <c r="AD20" i="1556" s="1"/>
  <c r="P21" i="1556"/>
  <c r="AC21" i="1556" s="1"/>
  <c r="P8" i="1556"/>
  <c r="AC8" i="1556" s="1"/>
  <c r="M12" i="1556"/>
  <c r="AB12" i="1556"/>
  <c r="M21" i="1556"/>
  <c r="AB21" i="1556"/>
  <c r="M20" i="1556"/>
  <c r="K20" i="1555"/>
  <c r="AD19" i="1555"/>
  <c r="P16" i="1555"/>
  <c r="AC16" i="1555" s="1"/>
  <c r="M16" i="1555"/>
  <c r="K16" i="1555"/>
  <c r="M12" i="1555"/>
  <c r="AD11" i="1555"/>
  <c r="AD7" i="1555"/>
  <c r="AD12" i="1555"/>
  <c r="AD15" i="1555"/>
  <c r="P9" i="1555"/>
  <c r="AC9" i="1555" s="1"/>
  <c r="Q22" i="1555"/>
  <c r="P8" i="1555"/>
  <c r="AC8" i="1555" s="1"/>
  <c r="AD8" i="1555" s="1"/>
  <c r="AD14" i="1555"/>
  <c r="AD17" i="1555"/>
  <c r="AD10" i="1555"/>
  <c r="AD16" i="1555"/>
  <c r="AD21" i="1555"/>
  <c r="O20" i="1555"/>
  <c r="M9" i="1555"/>
  <c r="AB9" i="1555"/>
  <c r="M13" i="1555"/>
  <c r="AB13" i="1555"/>
  <c r="AD13" i="1555" s="1"/>
  <c r="M18" i="1555"/>
  <c r="AB18" i="1555"/>
  <c r="AD18" i="1555" s="1"/>
  <c r="P20" i="1555"/>
  <c r="AC20" i="1555" s="1"/>
  <c r="AD20" i="1555" s="1"/>
  <c r="L22" i="1555"/>
  <c r="O22" i="1555" s="1"/>
  <c r="AD6" i="1555"/>
  <c r="K22" i="1555"/>
  <c r="M20" i="1555"/>
  <c r="L18" i="16"/>
  <c r="L17" i="16"/>
  <c r="L16" i="16"/>
  <c r="L15" i="16"/>
  <c r="L14" i="16"/>
  <c r="L13" i="16"/>
  <c r="L12" i="16"/>
  <c r="L11" i="16"/>
  <c r="L10" i="16"/>
  <c r="L20" i="1554"/>
  <c r="K20" i="1554"/>
  <c r="L19" i="1554"/>
  <c r="K19" i="1554" s="1"/>
  <c r="L18" i="1554"/>
  <c r="K18" i="1554" s="1"/>
  <c r="L17" i="1554"/>
  <c r="L15" i="1554"/>
  <c r="AB15" i="1554" s="1"/>
  <c r="K13" i="1554"/>
  <c r="L12" i="1554"/>
  <c r="AB12" i="1554" s="1"/>
  <c r="K11" i="1554"/>
  <c r="AF11" i="1554"/>
  <c r="Q11" i="1554"/>
  <c r="P11" i="1554" s="1"/>
  <c r="AC11" i="1554" s="1"/>
  <c r="AB11" i="1554"/>
  <c r="L10" i="1554"/>
  <c r="K10" i="1554"/>
  <c r="L9" i="1554"/>
  <c r="K9" i="1554" s="1"/>
  <c r="L8" i="1554"/>
  <c r="K8" i="1554" s="1"/>
  <c r="K17" i="1554"/>
  <c r="K16" i="1554"/>
  <c r="A74" i="1554"/>
  <c r="A75" i="1554" s="1"/>
  <c r="A76" i="1554" s="1"/>
  <c r="A77" i="1554" s="1"/>
  <c r="A78" i="1554" s="1"/>
  <c r="A79" i="1554" s="1"/>
  <c r="A80" i="1554" s="1"/>
  <c r="A81" i="1554" s="1"/>
  <c r="AF60" i="1554"/>
  <c r="AF59" i="1554"/>
  <c r="AA21" i="1554"/>
  <c r="Z21" i="1554"/>
  <c r="Y21" i="1554"/>
  <c r="X21" i="1554"/>
  <c r="W21" i="1554"/>
  <c r="V21" i="1554"/>
  <c r="U21" i="1554"/>
  <c r="T21" i="1554"/>
  <c r="S21" i="1554"/>
  <c r="R21" i="1554"/>
  <c r="N21" i="1554"/>
  <c r="J21" i="1554"/>
  <c r="I21" i="1554"/>
  <c r="AF20" i="1554"/>
  <c r="AB20" i="1554"/>
  <c r="Q20" i="1554"/>
  <c r="P20" i="1554" s="1"/>
  <c r="AC20" i="1554" s="1"/>
  <c r="O20" i="1554"/>
  <c r="M20" i="1554"/>
  <c r="AF19" i="1554"/>
  <c r="AB19" i="1554"/>
  <c r="Q19" i="1554"/>
  <c r="AF18" i="1554"/>
  <c r="Q18" i="1554"/>
  <c r="AF17" i="1554"/>
  <c r="AB17" i="1554"/>
  <c r="Q17" i="1554"/>
  <c r="P17" i="1554" s="1"/>
  <c r="AC17" i="1554" s="1"/>
  <c r="M17" i="1554"/>
  <c r="AF16" i="1554"/>
  <c r="AB16" i="1554"/>
  <c r="Q16" i="1554"/>
  <c r="P16" i="1554" s="1"/>
  <c r="AC16" i="1554" s="1"/>
  <c r="O16" i="1554"/>
  <c r="M16" i="1554"/>
  <c r="AF15" i="1554"/>
  <c r="Q15" i="1554"/>
  <c r="P15" i="1554" s="1"/>
  <c r="AC15" i="1554" s="1"/>
  <c r="AF14" i="1554"/>
  <c r="AB14" i="1554"/>
  <c r="Q14" i="1554"/>
  <c r="P14" i="1554"/>
  <c r="AC14" i="1554" s="1"/>
  <c r="O14" i="1554"/>
  <c r="M14" i="1554"/>
  <c r="K14" i="1554"/>
  <c r="AF13" i="1554"/>
  <c r="AB13" i="1554"/>
  <c r="Q13" i="1554"/>
  <c r="P13" i="1554" s="1"/>
  <c r="AC13" i="1554" s="1"/>
  <c r="O13" i="1554"/>
  <c r="M13" i="1554"/>
  <c r="AF12" i="1554"/>
  <c r="Q12" i="1554"/>
  <c r="O12" i="1554"/>
  <c r="AF10" i="1554"/>
  <c r="AB10" i="1554"/>
  <c r="Q10" i="1554"/>
  <c r="P10" i="1554" s="1"/>
  <c r="AC10" i="1554" s="1"/>
  <c r="O10" i="1554"/>
  <c r="M10" i="1554"/>
  <c r="AF9" i="1554"/>
  <c r="Q9" i="1554"/>
  <c r="P9" i="1554" s="1"/>
  <c r="AC9" i="1554" s="1"/>
  <c r="AF8" i="1554"/>
  <c r="Q8" i="1554"/>
  <c r="O8" i="1554"/>
  <c r="AF7" i="1554"/>
  <c r="AB7" i="1554"/>
  <c r="Q7" i="1554"/>
  <c r="P7" i="1554"/>
  <c r="AC7" i="1554" s="1"/>
  <c r="O7" i="1554"/>
  <c r="M7" i="1554"/>
  <c r="K7" i="1554"/>
  <c r="AF6" i="1554"/>
  <c r="AB6" i="1554"/>
  <c r="Q6" i="1554"/>
  <c r="P6" i="1554"/>
  <c r="AC6" i="1554" s="1"/>
  <c r="O6" i="1554"/>
  <c r="M6" i="1554"/>
  <c r="K6" i="1554"/>
  <c r="AE10" i="1558" l="1"/>
  <c r="AE13" i="1558"/>
  <c r="AE6" i="1558"/>
  <c r="AE16" i="1558"/>
  <c r="AE15" i="1558"/>
  <c r="AE14" i="1558"/>
  <c r="AE9" i="1558"/>
  <c r="AE18" i="1558"/>
  <c r="AE20" i="1558"/>
  <c r="AE17" i="1558"/>
  <c r="AE11" i="1558"/>
  <c r="AE7" i="1558"/>
  <c r="AE8" i="1558"/>
  <c r="AE12" i="1558"/>
  <c r="AE16" i="1557"/>
  <c r="AE19" i="1557"/>
  <c r="AE14" i="1557"/>
  <c r="AE8" i="1557"/>
  <c r="AE18" i="1557"/>
  <c r="AE13" i="1557"/>
  <c r="AE7" i="1557"/>
  <c r="AE15" i="1557"/>
  <c r="AE10" i="1557"/>
  <c r="AE21" i="1557"/>
  <c r="AE20" i="1557"/>
  <c r="AE9" i="1557"/>
  <c r="AE17" i="1557"/>
  <c r="AE12" i="1557"/>
  <c r="AE6" i="1557"/>
  <c r="AE11" i="1557"/>
  <c r="AE22" i="1557"/>
  <c r="AB22" i="1556"/>
  <c r="AD8" i="1556"/>
  <c r="AD12" i="1556"/>
  <c r="M22" i="1556"/>
  <c r="AC22" i="1556"/>
  <c r="AD6" i="1556"/>
  <c r="K22" i="1556"/>
  <c r="P22" i="1556"/>
  <c r="AD21" i="1556"/>
  <c r="AB22" i="1555"/>
  <c r="AC22" i="1555"/>
  <c r="M22" i="1555"/>
  <c r="AD9" i="1555"/>
  <c r="AD22" i="1555" s="1"/>
  <c r="AE11" i="1555" s="1"/>
  <c r="P22" i="1555"/>
  <c r="O9" i="1554"/>
  <c r="K15" i="1554"/>
  <c r="P19" i="1554"/>
  <c r="AC19" i="1554" s="1"/>
  <c r="AF62" i="1554"/>
  <c r="AB9" i="1554"/>
  <c r="M9" i="1554"/>
  <c r="M19" i="1554"/>
  <c r="AD13" i="1554"/>
  <c r="AD16" i="1554"/>
  <c r="AB8" i="1554"/>
  <c r="O15" i="1554"/>
  <c r="P18" i="1554"/>
  <c r="AC18" i="1554" s="1"/>
  <c r="M15" i="1554"/>
  <c r="AD7" i="1554"/>
  <c r="L4" i="16" s="1"/>
  <c r="P12" i="1554"/>
  <c r="AC12" i="1554" s="1"/>
  <c r="AD12" i="1554" s="1"/>
  <c r="L9" i="16" s="1"/>
  <c r="K12" i="1554"/>
  <c r="M12" i="1554"/>
  <c r="O11" i="1554"/>
  <c r="AD11" i="1554" s="1"/>
  <c r="L8" i="16" s="1"/>
  <c r="AD15" i="1554"/>
  <c r="AD20" i="1554"/>
  <c r="M11" i="1554"/>
  <c r="Q21" i="1554"/>
  <c r="AD10" i="1554"/>
  <c r="L7" i="16" s="1"/>
  <c r="AD14" i="1554"/>
  <c r="AD9" i="1554"/>
  <c r="L6" i="16" s="1"/>
  <c r="AD6" i="1554"/>
  <c r="L3" i="16" s="1"/>
  <c r="P8" i="1554"/>
  <c r="AC8" i="1554" s="1"/>
  <c r="O17" i="1554"/>
  <c r="AD17" i="1554" s="1"/>
  <c r="M18" i="1554"/>
  <c r="AB18" i="1554"/>
  <c r="O19" i="1554"/>
  <c r="AD19" i="1554" s="1"/>
  <c r="O18" i="1554"/>
  <c r="L21" i="1554"/>
  <c r="O21" i="1554" s="1"/>
  <c r="M8" i="1554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L21" i="1553"/>
  <c r="L20" i="1553"/>
  <c r="K20" i="1553" s="1"/>
  <c r="AF20" i="1553"/>
  <c r="Q20" i="1553"/>
  <c r="AF19" i="1553"/>
  <c r="AB19" i="1553"/>
  <c r="Q19" i="1553"/>
  <c r="P19" i="1553" s="1"/>
  <c r="AC19" i="1553" s="1"/>
  <c r="O19" i="1553"/>
  <c r="M19" i="1553"/>
  <c r="K19" i="1553"/>
  <c r="L18" i="1553"/>
  <c r="K18" i="1553" s="1"/>
  <c r="L16" i="1553"/>
  <c r="AB16" i="1553" s="1"/>
  <c r="K14" i="1553"/>
  <c r="AF14" i="1553"/>
  <c r="Q14" i="1553"/>
  <c r="P14" i="1553" s="1"/>
  <c r="AC14" i="1553" s="1"/>
  <c r="AB14" i="1553"/>
  <c r="L13" i="1553"/>
  <c r="L12" i="1553"/>
  <c r="K12" i="1553" s="1"/>
  <c r="L9" i="1553"/>
  <c r="L8" i="1553"/>
  <c r="O8" i="1553" s="1"/>
  <c r="K21" i="1553"/>
  <c r="K17" i="1553"/>
  <c r="K11" i="1553"/>
  <c r="K10" i="1553"/>
  <c r="K9" i="1553"/>
  <c r="A76" i="1553"/>
  <c r="A77" i="1553" s="1"/>
  <c r="A78" i="1553" s="1"/>
  <c r="A79" i="1553" s="1"/>
  <c r="A80" i="1553" s="1"/>
  <c r="A81" i="1553" s="1"/>
  <c r="A82" i="1553" s="1"/>
  <c r="A83" i="1553" s="1"/>
  <c r="AF62" i="1553"/>
  <c r="AF61" i="1553"/>
  <c r="AF64" i="1553" s="1"/>
  <c r="AA23" i="1553"/>
  <c r="Z23" i="1553"/>
  <c r="Y23" i="1553"/>
  <c r="X23" i="1553"/>
  <c r="W23" i="1553"/>
  <c r="V23" i="1553"/>
  <c r="U23" i="1553"/>
  <c r="T23" i="1553"/>
  <c r="S23" i="1553"/>
  <c r="R23" i="1553"/>
  <c r="N23" i="1553"/>
  <c r="J23" i="1553"/>
  <c r="I23" i="1553"/>
  <c r="AF22" i="1553"/>
  <c r="AB22" i="1553"/>
  <c r="Q22" i="1553"/>
  <c r="P22" i="1553"/>
  <c r="AC22" i="1553" s="1"/>
  <c r="O22" i="1553"/>
  <c r="M22" i="1553"/>
  <c r="K22" i="1553"/>
  <c r="AF21" i="1553"/>
  <c r="AB21" i="1553"/>
  <c r="Q21" i="1553"/>
  <c r="P21" i="1553" s="1"/>
  <c r="AC21" i="1553" s="1"/>
  <c r="M21" i="1553"/>
  <c r="AF18" i="1553"/>
  <c r="Q18" i="1553"/>
  <c r="AF17" i="1553"/>
  <c r="AB17" i="1553"/>
  <c r="Q17" i="1553"/>
  <c r="P17" i="1553" s="1"/>
  <c r="AC17" i="1553" s="1"/>
  <c r="O17" i="1553"/>
  <c r="M17" i="1553"/>
  <c r="AF16" i="1553"/>
  <c r="Q16" i="1553"/>
  <c r="P16" i="1553" s="1"/>
  <c r="AC16" i="1553" s="1"/>
  <c r="O16" i="1553"/>
  <c r="M16" i="1553"/>
  <c r="K16" i="1553"/>
  <c r="AF15" i="1553"/>
  <c r="AB15" i="1553"/>
  <c r="Q15" i="1553"/>
  <c r="P15" i="1553"/>
  <c r="AC15" i="1553" s="1"/>
  <c r="O15" i="1553"/>
  <c r="M15" i="1553"/>
  <c r="K15" i="1553"/>
  <c r="AF13" i="1553"/>
  <c r="Q13" i="1553"/>
  <c r="AF12" i="1553"/>
  <c r="Q12" i="1553"/>
  <c r="O12" i="1553"/>
  <c r="AF11" i="1553"/>
  <c r="Q11" i="1553"/>
  <c r="P11" i="1553" s="1"/>
  <c r="AC11" i="1553" s="1"/>
  <c r="O11" i="1553"/>
  <c r="AB11" i="1553"/>
  <c r="AF10" i="1553"/>
  <c r="AB10" i="1553"/>
  <c r="Q10" i="1553"/>
  <c r="P10" i="1553" s="1"/>
  <c r="AC10" i="1553" s="1"/>
  <c r="O10" i="1553"/>
  <c r="M10" i="1553"/>
  <c r="AF9" i="1553"/>
  <c r="Q9" i="1553"/>
  <c r="O9" i="1553"/>
  <c r="AF8" i="1553"/>
  <c r="Q8" i="1553"/>
  <c r="P8" i="1553" s="1"/>
  <c r="AC8" i="1553" s="1"/>
  <c r="AB8" i="1553"/>
  <c r="AF7" i="1553"/>
  <c r="AB7" i="1553"/>
  <c r="Q7" i="1553"/>
  <c r="P7" i="1553"/>
  <c r="AC7" i="1553" s="1"/>
  <c r="O7" i="1553"/>
  <c r="M7" i="1553"/>
  <c r="K7" i="1553"/>
  <c r="AF6" i="1553"/>
  <c r="AB6" i="1553"/>
  <c r="Q6" i="1553"/>
  <c r="P6" i="1553"/>
  <c r="AC6" i="1553" s="1"/>
  <c r="O6" i="1553"/>
  <c r="M6" i="1553"/>
  <c r="K6" i="1553"/>
  <c r="AD22" i="1556" l="1"/>
  <c r="AE8" i="1556" s="1"/>
  <c r="AE19" i="1555"/>
  <c r="AE16" i="1555"/>
  <c r="AE10" i="1555"/>
  <c r="AE20" i="1555"/>
  <c r="AE14" i="1555"/>
  <c r="AE21" i="1555"/>
  <c r="AE17" i="1555"/>
  <c r="AE12" i="1555"/>
  <c r="AE8" i="1555"/>
  <c r="AE18" i="1555"/>
  <c r="AE15" i="1555"/>
  <c r="AE13" i="1555"/>
  <c r="AE9" i="1555"/>
  <c r="AE6" i="1555"/>
  <c r="AE7" i="1555"/>
  <c r="K21" i="1554"/>
  <c r="AD8" i="1554"/>
  <c r="L5" i="16" s="1"/>
  <c r="P21" i="1554"/>
  <c r="AD18" i="1554"/>
  <c r="M21" i="1554"/>
  <c r="AB21" i="1554"/>
  <c r="AC21" i="1554"/>
  <c r="M20" i="1553"/>
  <c r="AB20" i="1553"/>
  <c r="O20" i="1553"/>
  <c r="P20" i="1553"/>
  <c r="AC20" i="1553" s="1"/>
  <c r="AD19" i="1553"/>
  <c r="O18" i="1553"/>
  <c r="M18" i="1553"/>
  <c r="AB18" i="1553"/>
  <c r="P18" i="1553"/>
  <c r="AC18" i="1553" s="1"/>
  <c r="P12" i="1553"/>
  <c r="AC12" i="1553" s="1"/>
  <c r="K8" i="1553"/>
  <c r="O14" i="1553"/>
  <c r="AD14" i="1553" s="1"/>
  <c r="AD7" i="1553"/>
  <c r="M14" i="1553"/>
  <c r="P13" i="1553"/>
  <c r="AC13" i="1553" s="1"/>
  <c r="K13" i="1553"/>
  <c r="AD10" i="1553"/>
  <c r="AD22" i="1553"/>
  <c r="P9" i="1553"/>
  <c r="AC9" i="1553" s="1"/>
  <c r="Q23" i="1553"/>
  <c r="AD15" i="1553"/>
  <c r="AD16" i="1553"/>
  <c r="AD17" i="1553"/>
  <c r="AD6" i="1553"/>
  <c r="AD8" i="1553"/>
  <c r="AD11" i="1553"/>
  <c r="M13" i="1553"/>
  <c r="AB13" i="1553"/>
  <c r="O21" i="1553"/>
  <c r="AD21" i="1553" s="1"/>
  <c r="M9" i="1553"/>
  <c r="AB9" i="1553"/>
  <c r="M12" i="1553"/>
  <c r="AB12" i="1553"/>
  <c r="O13" i="1553"/>
  <c r="L23" i="1553"/>
  <c r="O23" i="1553" s="1"/>
  <c r="M8" i="1553"/>
  <c r="M11" i="1553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1" i="1552"/>
  <c r="K21" i="1552" s="1"/>
  <c r="K18" i="1552"/>
  <c r="K17" i="1552"/>
  <c r="L14" i="1552"/>
  <c r="K14" i="1552" s="1"/>
  <c r="L13" i="1552"/>
  <c r="AB13" i="1552" s="1"/>
  <c r="L12" i="1552"/>
  <c r="L11" i="1552"/>
  <c r="K11" i="1552" s="1"/>
  <c r="AF11" i="1552"/>
  <c r="Q11" i="1552"/>
  <c r="P11" i="1552" s="1"/>
  <c r="AC11" i="1552" s="1"/>
  <c r="O11" i="1552"/>
  <c r="L10" i="1552"/>
  <c r="K10" i="1552" s="1"/>
  <c r="L9" i="1552"/>
  <c r="L8" i="1552"/>
  <c r="O8" i="1552" s="1"/>
  <c r="K19" i="1552"/>
  <c r="K9" i="1552"/>
  <c r="A76" i="1552"/>
  <c r="A77" i="1552" s="1"/>
  <c r="A78" i="1552" s="1"/>
  <c r="A79" i="1552" s="1"/>
  <c r="A80" i="1552" s="1"/>
  <c r="A81" i="1552" s="1"/>
  <c r="A82" i="1552" s="1"/>
  <c r="A83" i="1552" s="1"/>
  <c r="AF62" i="1552"/>
  <c r="AF64" i="1552" s="1"/>
  <c r="AF61" i="1552"/>
  <c r="AA23" i="1552"/>
  <c r="Z23" i="1552"/>
  <c r="Y23" i="1552"/>
  <c r="X23" i="1552"/>
  <c r="W23" i="1552"/>
  <c r="V23" i="1552"/>
  <c r="U23" i="1552"/>
  <c r="T23" i="1552"/>
  <c r="S23" i="1552"/>
  <c r="R23" i="1552"/>
  <c r="N23" i="1552"/>
  <c r="J23" i="1552"/>
  <c r="I23" i="1552"/>
  <c r="AF22" i="1552"/>
  <c r="AB22" i="1552"/>
  <c r="Q22" i="1552"/>
  <c r="P22" i="1552"/>
  <c r="AC22" i="1552" s="1"/>
  <c r="O22" i="1552"/>
  <c r="M22" i="1552"/>
  <c r="K22" i="1552"/>
  <c r="AF21" i="1552"/>
  <c r="AB21" i="1552"/>
  <c r="Q21" i="1552"/>
  <c r="P21" i="1552" s="1"/>
  <c r="AC21" i="1552" s="1"/>
  <c r="M21" i="1552"/>
  <c r="AF20" i="1552"/>
  <c r="AB20" i="1552"/>
  <c r="Q20" i="1552"/>
  <c r="P20" i="1552"/>
  <c r="AC20" i="1552" s="1"/>
  <c r="O20" i="1552"/>
  <c r="M20" i="1552"/>
  <c r="K20" i="1552"/>
  <c r="AF19" i="1552"/>
  <c r="Q19" i="1552"/>
  <c r="O19" i="1552"/>
  <c r="AB19" i="1552"/>
  <c r="AF18" i="1552"/>
  <c r="AB18" i="1552"/>
  <c r="Q18" i="1552"/>
  <c r="P18" i="1552" s="1"/>
  <c r="AC18" i="1552" s="1"/>
  <c r="O18" i="1552"/>
  <c r="M18" i="1552"/>
  <c r="AF17" i="1552"/>
  <c r="AB17" i="1552"/>
  <c r="Q17" i="1552"/>
  <c r="P17" i="1552" s="1"/>
  <c r="AC17" i="1552" s="1"/>
  <c r="O17" i="1552"/>
  <c r="M17" i="1552"/>
  <c r="AF16" i="1552"/>
  <c r="AB16" i="1552"/>
  <c r="Q16" i="1552"/>
  <c r="P16" i="1552"/>
  <c r="AC16" i="1552" s="1"/>
  <c r="O16" i="1552"/>
  <c r="M16" i="1552"/>
  <c r="K16" i="1552"/>
  <c r="AF15" i="1552"/>
  <c r="AB15" i="1552"/>
  <c r="Q15" i="1552"/>
  <c r="P15" i="1552"/>
  <c r="AC15" i="1552" s="1"/>
  <c r="O15" i="1552"/>
  <c r="M15" i="1552"/>
  <c r="K15" i="1552"/>
  <c r="AF14" i="1552"/>
  <c r="AB14" i="1552"/>
  <c r="Q14" i="1552"/>
  <c r="P14" i="1552" s="1"/>
  <c r="AC14" i="1552" s="1"/>
  <c r="O14" i="1552"/>
  <c r="M14" i="1552"/>
  <c r="AF13" i="1552"/>
  <c r="Q13" i="1552"/>
  <c r="AF12" i="1552"/>
  <c r="Q12" i="1552"/>
  <c r="M12" i="1552"/>
  <c r="AF10" i="1552"/>
  <c r="Q10" i="1552"/>
  <c r="P10" i="1552" s="1"/>
  <c r="AC10" i="1552" s="1"/>
  <c r="AF9" i="1552"/>
  <c r="AB9" i="1552"/>
  <c r="Q9" i="1552"/>
  <c r="P9" i="1552" s="1"/>
  <c r="AC9" i="1552" s="1"/>
  <c r="M9" i="1552"/>
  <c r="O9" i="1552"/>
  <c r="AF8" i="1552"/>
  <c r="Q8" i="1552"/>
  <c r="AF7" i="1552"/>
  <c r="AB7" i="1552"/>
  <c r="Q7" i="1552"/>
  <c r="P7" i="1552"/>
  <c r="AC7" i="1552" s="1"/>
  <c r="O7" i="1552"/>
  <c r="M7" i="1552"/>
  <c r="K7" i="1552"/>
  <c r="AF6" i="1552"/>
  <c r="AB6" i="1552"/>
  <c r="Q6" i="1552"/>
  <c r="P6" i="1552"/>
  <c r="AC6" i="1552" s="1"/>
  <c r="O6" i="1552"/>
  <c r="M6" i="1552"/>
  <c r="K6" i="1552"/>
  <c r="AE7" i="1556" l="1"/>
  <c r="AE11" i="1556"/>
  <c r="AE14" i="1556"/>
  <c r="AE18" i="1556"/>
  <c r="AE16" i="1556"/>
  <c r="AE20" i="1556"/>
  <c r="AE6" i="1556"/>
  <c r="AE19" i="1556"/>
  <c r="AE12" i="1556"/>
  <c r="AE13" i="1556"/>
  <c r="AE9" i="1556"/>
  <c r="AE15" i="1556"/>
  <c r="AE10" i="1556"/>
  <c r="AE21" i="1556"/>
  <c r="AE17" i="1556"/>
  <c r="AD21" i="1554"/>
  <c r="AE11" i="1554" s="1"/>
  <c r="AD20" i="1553"/>
  <c r="AD12" i="1553"/>
  <c r="AD18" i="1553"/>
  <c r="K23" i="1553"/>
  <c r="AD13" i="1553"/>
  <c r="AC23" i="1553"/>
  <c r="AD9" i="1553"/>
  <c r="P23" i="1553"/>
  <c r="M23" i="1553"/>
  <c r="AB23" i="1553"/>
  <c r="O13" i="1552"/>
  <c r="K8" i="1552"/>
  <c r="AB8" i="1552"/>
  <c r="AD16" i="1552"/>
  <c r="K13" i="1552"/>
  <c r="P12" i="1552"/>
  <c r="AC12" i="1552" s="1"/>
  <c r="O12" i="1552"/>
  <c r="AB12" i="1552"/>
  <c r="K12" i="1552"/>
  <c r="AD15" i="1552"/>
  <c r="AD14" i="1552"/>
  <c r="M11" i="1552"/>
  <c r="AB11" i="1552"/>
  <c r="AD11" i="1552" s="1"/>
  <c r="AD18" i="1552"/>
  <c r="AD20" i="1552"/>
  <c r="AD22" i="1552"/>
  <c r="Q23" i="1552"/>
  <c r="AD17" i="1552"/>
  <c r="AD7" i="1552"/>
  <c r="AD6" i="1552"/>
  <c r="AD9" i="1552"/>
  <c r="K23" i="1552"/>
  <c r="P8" i="1552"/>
  <c r="AC8" i="1552" s="1"/>
  <c r="AD8" i="1552" s="1"/>
  <c r="M10" i="1552"/>
  <c r="AB10" i="1552"/>
  <c r="P13" i="1552"/>
  <c r="AC13" i="1552" s="1"/>
  <c r="AD13" i="1552" s="1"/>
  <c r="P19" i="1552"/>
  <c r="AC19" i="1552" s="1"/>
  <c r="AD19" i="1552" s="1"/>
  <c r="O21" i="1552"/>
  <c r="AD21" i="1552" s="1"/>
  <c r="O10" i="1552"/>
  <c r="L23" i="1552"/>
  <c r="O23" i="1552" s="1"/>
  <c r="M8" i="1552"/>
  <c r="M13" i="1552"/>
  <c r="M19" i="1552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AE19" i="1554" l="1"/>
  <c r="AE7" i="1554"/>
  <c r="AE18" i="1554"/>
  <c r="AE9" i="1554"/>
  <c r="AE12" i="1554"/>
  <c r="AE20" i="1554"/>
  <c r="AE6" i="1554"/>
  <c r="AE15" i="1554"/>
  <c r="AE10" i="1554"/>
  <c r="AE17" i="1554"/>
  <c r="AE16" i="1554"/>
  <c r="AE13" i="1554"/>
  <c r="AE8" i="1554"/>
  <c r="AE14" i="1554"/>
  <c r="AD23" i="1553"/>
  <c r="AE20" i="1553" s="1"/>
  <c r="AD12" i="1552"/>
  <c r="M23" i="1552"/>
  <c r="AD10" i="1552"/>
  <c r="AB23" i="1552"/>
  <c r="P23" i="1552"/>
  <c r="AC23" i="1552"/>
  <c r="L21" i="1551"/>
  <c r="O21" i="1551" s="1"/>
  <c r="L19" i="1551"/>
  <c r="K19" i="1551" s="1"/>
  <c r="AF18" i="1551"/>
  <c r="Q18" i="1551"/>
  <c r="P18" i="1551" s="1"/>
  <c r="AC18" i="1551" s="1"/>
  <c r="M18" i="1551"/>
  <c r="L18" i="1551"/>
  <c r="AB18" i="1551" s="1"/>
  <c r="K18" i="1551"/>
  <c r="K16" i="1551"/>
  <c r="K15" i="1551"/>
  <c r="L12" i="1551"/>
  <c r="L11" i="1551"/>
  <c r="O11" i="1551" s="1"/>
  <c r="L10" i="1551"/>
  <c r="O10" i="1551" s="1"/>
  <c r="L9" i="1551"/>
  <c r="AB9" i="1551" s="1"/>
  <c r="L8" i="1551"/>
  <c r="AB8" i="1551" s="1"/>
  <c r="K21" i="1551"/>
  <c r="K17" i="1551"/>
  <c r="K13" i="1551"/>
  <c r="K12" i="1551"/>
  <c r="K10" i="1551"/>
  <c r="K8" i="1551"/>
  <c r="A77" i="1551"/>
  <c r="A78" i="1551" s="1"/>
  <c r="A79" i="1551" s="1"/>
  <c r="A80" i="1551" s="1"/>
  <c r="A81" i="1551" s="1"/>
  <c r="A82" i="1551" s="1"/>
  <c r="A83" i="1551" s="1"/>
  <c r="A76" i="1551"/>
  <c r="AF62" i="1551"/>
  <c r="AF61" i="1551"/>
  <c r="AF64" i="1551" s="1"/>
  <c r="AA23" i="1551"/>
  <c r="Z23" i="1551"/>
  <c r="Y23" i="1551"/>
  <c r="X23" i="1551"/>
  <c r="W23" i="1551"/>
  <c r="V23" i="1551"/>
  <c r="U23" i="1551"/>
  <c r="T23" i="1551"/>
  <c r="S23" i="1551"/>
  <c r="R23" i="1551"/>
  <c r="N23" i="1551"/>
  <c r="J23" i="1551"/>
  <c r="I23" i="1551"/>
  <c r="AF22" i="1551"/>
  <c r="AB22" i="1551"/>
  <c r="Q22" i="1551"/>
  <c r="P22" i="1551"/>
  <c r="AC22" i="1551" s="1"/>
  <c r="AD22" i="1551" s="1"/>
  <c r="O22" i="1551"/>
  <c r="M22" i="1551"/>
  <c r="K22" i="1551"/>
  <c r="AF21" i="1551"/>
  <c r="Q21" i="1551"/>
  <c r="P21" i="1551"/>
  <c r="AC21" i="1551" s="1"/>
  <c r="AB21" i="1551"/>
  <c r="AF20" i="1551"/>
  <c r="AC20" i="1551"/>
  <c r="AB20" i="1551"/>
  <c r="Q20" i="1551"/>
  <c r="P20" i="1551"/>
  <c r="O20" i="1551"/>
  <c r="M20" i="1551"/>
  <c r="K20" i="1551"/>
  <c r="AF19" i="1551"/>
  <c r="Q19" i="1551"/>
  <c r="AF17" i="1551"/>
  <c r="AB17" i="1551"/>
  <c r="Q17" i="1551"/>
  <c r="P17" i="1551"/>
  <c r="AC17" i="1551" s="1"/>
  <c r="O17" i="1551"/>
  <c r="M17" i="1551"/>
  <c r="AF16" i="1551"/>
  <c r="Q16" i="1551"/>
  <c r="O16" i="1551"/>
  <c r="AF15" i="1551"/>
  <c r="AB15" i="1551"/>
  <c r="Q15" i="1551"/>
  <c r="P15" i="1551"/>
  <c r="AC15" i="1551" s="1"/>
  <c r="O15" i="1551"/>
  <c r="M15" i="1551"/>
  <c r="AF14" i="1551"/>
  <c r="AB14" i="1551"/>
  <c r="Q14" i="1551"/>
  <c r="P14" i="1551"/>
  <c r="AC14" i="1551" s="1"/>
  <c r="AD14" i="1551" s="1"/>
  <c r="O14" i="1551"/>
  <c r="M14" i="1551"/>
  <c r="K14" i="1551"/>
  <c r="AF13" i="1551"/>
  <c r="Q13" i="1551"/>
  <c r="P13" i="1551"/>
  <c r="AC13" i="1551" s="1"/>
  <c r="AB13" i="1551"/>
  <c r="AF12" i="1551"/>
  <c r="AB12" i="1551"/>
  <c r="Q12" i="1551"/>
  <c r="O12" i="1551"/>
  <c r="M12" i="1551"/>
  <c r="AF11" i="1551"/>
  <c r="Q11" i="1551"/>
  <c r="AF10" i="1551"/>
  <c r="Q10" i="1551"/>
  <c r="AF9" i="1551"/>
  <c r="Q9" i="1551"/>
  <c r="P9" i="1551" s="1"/>
  <c r="AC9" i="1551" s="1"/>
  <c r="AF8" i="1551"/>
  <c r="Q8" i="1551"/>
  <c r="P8" i="1551"/>
  <c r="AC8" i="1551" s="1"/>
  <c r="O8" i="1551"/>
  <c r="AF7" i="1551"/>
  <c r="AB7" i="1551"/>
  <c r="Q7" i="1551"/>
  <c r="P7" i="1551"/>
  <c r="AC7" i="1551" s="1"/>
  <c r="AD7" i="1551" s="1"/>
  <c r="O7" i="1551"/>
  <c r="M7" i="1551"/>
  <c r="K7" i="1551"/>
  <c r="AF6" i="1551"/>
  <c r="AB6" i="1551"/>
  <c r="Q6" i="1551"/>
  <c r="P6" i="1551"/>
  <c r="O6" i="1551"/>
  <c r="M6" i="1551"/>
  <c r="K6" i="1551"/>
  <c r="AE10" i="1553" l="1"/>
  <c r="AE19" i="1553"/>
  <c r="AE9" i="1553"/>
  <c r="AE22" i="1553"/>
  <c r="AE11" i="1553"/>
  <c r="AE16" i="1553"/>
  <c r="AE13" i="1553"/>
  <c r="AE15" i="1553"/>
  <c r="AE6" i="1553"/>
  <c r="AE17" i="1553"/>
  <c r="AE7" i="1553"/>
  <c r="AE12" i="1553"/>
  <c r="AE8" i="1553"/>
  <c r="AE18" i="1553"/>
  <c r="AE21" i="1553"/>
  <c r="AE14" i="1553"/>
  <c r="AD23" i="1552"/>
  <c r="AE11" i="1552" s="1"/>
  <c r="P19" i="1551"/>
  <c r="AC19" i="1551" s="1"/>
  <c r="O18" i="1551"/>
  <c r="AD18" i="1551" s="1"/>
  <c r="P12" i="1551"/>
  <c r="AC12" i="1551" s="1"/>
  <c r="AD12" i="1551" s="1"/>
  <c r="AB19" i="1551"/>
  <c r="P11" i="1551"/>
  <c r="AC11" i="1551" s="1"/>
  <c r="AB11" i="1551"/>
  <c r="M11" i="1551"/>
  <c r="K11" i="1551"/>
  <c r="Q23" i="1551"/>
  <c r="L23" i="1551"/>
  <c r="O23" i="1551" s="1"/>
  <c r="K9" i="1551"/>
  <c r="M8" i="1551"/>
  <c r="AD15" i="1551"/>
  <c r="AD8" i="1551"/>
  <c r="AD17" i="1551"/>
  <c r="AD20" i="1551"/>
  <c r="AD21" i="1551"/>
  <c r="M10" i="1551"/>
  <c r="AB16" i="1551"/>
  <c r="AC6" i="1551"/>
  <c r="O9" i="1551"/>
  <c r="AD9" i="1551" s="1"/>
  <c r="K23" i="1551"/>
  <c r="P10" i="1551"/>
  <c r="AC10" i="1551" s="1"/>
  <c r="AD10" i="1551" s="1"/>
  <c r="O13" i="1551"/>
  <c r="AD13" i="1551" s="1"/>
  <c r="P16" i="1551"/>
  <c r="AC16" i="1551" s="1"/>
  <c r="O19" i="1551"/>
  <c r="M21" i="1551"/>
  <c r="AB10" i="1551"/>
  <c r="M16" i="1551"/>
  <c r="M9" i="1551"/>
  <c r="M13" i="1551"/>
  <c r="M19" i="1551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K21" i="1550"/>
  <c r="L20" i="1550"/>
  <c r="AB20" i="1550" s="1"/>
  <c r="L18" i="1550"/>
  <c r="K18" i="1550"/>
  <c r="K17" i="1550"/>
  <c r="AF17" i="1550"/>
  <c r="Q17" i="1550"/>
  <c r="AB17" i="1550"/>
  <c r="L16" i="1550"/>
  <c r="L13" i="1550"/>
  <c r="K13" i="1550"/>
  <c r="L12" i="1550"/>
  <c r="L11" i="1550"/>
  <c r="L10" i="1550"/>
  <c r="K10" i="1550"/>
  <c r="L9" i="1550"/>
  <c r="L8" i="1550"/>
  <c r="K8" i="1550"/>
  <c r="K15" i="1550"/>
  <c r="K14" i="1550"/>
  <c r="K12" i="1550"/>
  <c r="K11" i="1550"/>
  <c r="K9" i="1550"/>
  <c r="A75" i="1550"/>
  <c r="A76" i="1550" s="1"/>
  <c r="A77" i="1550" s="1"/>
  <c r="A78" i="1550" s="1"/>
  <c r="A79" i="1550" s="1"/>
  <c r="A80" i="1550" s="1"/>
  <c r="A81" i="1550" s="1"/>
  <c r="A82" i="1550" s="1"/>
  <c r="AF61" i="1550"/>
  <c r="AF63" i="1550" s="1"/>
  <c r="AF60" i="1550"/>
  <c r="AA22" i="1550"/>
  <c r="Z22" i="1550"/>
  <c r="Y22" i="1550"/>
  <c r="X22" i="1550"/>
  <c r="W22" i="1550"/>
  <c r="V22" i="1550"/>
  <c r="U22" i="1550"/>
  <c r="T22" i="1550"/>
  <c r="S22" i="1550"/>
  <c r="R22" i="1550"/>
  <c r="N22" i="1550"/>
  <c r="J22" i="1550"/>
  <c r="I22" i="1550"/>
  <c r="AF21" i="1550"/>
  <c r="AB21" i="1550"/>
  <c r="Q21" i="1550"/>
  <c r="P21" i="1550"/>
  <c r="AC21" i="1550" s="1"/>
  <c r="O21" i="1550"/>
  <c r="M21" i="1550"/>
  <c r="AF20" i="1550"/>
  <c r="Q20" i="1550"/>
  <c r="AF19" i="1550"/>
  <c r="AB19" i="1550"/>
  <c r="Q19" i="1550"/>
  <c r="P19" i="1550"/>
  <c r="AC19" i="1550" s="1"/>
  <c r="O19" i="1550"/>
  <c r="M19" i="1550"/>
  <c r="K19" i="1550"/>
  <c r="AF18" i="1550"/>
  <c r="AB18" i="1550"/>
  <c r="Q18" i="1550"/>
  <c r="P18" i="1550" s="1"/>
  <c r="AC18" i="1550" s="1"/>
  <c r="O18" i="1550"/>
  <c r="M18" i="1550"/>
  <c r="AF16" i="1550"/>
  <c r="Q16" i="1550"/>
  <c r="AF15" i="1550"/>
  <c r="AB15" i="1550"/>
  <c r="Q15" i="1550"/>
  <c r="P15" i="1550" s="1"/>
  <c r="AC15" i="1550" s="1"/>
  <c r="O15" i="1550"/>
  <c r="M15" i="1550"/>
  <c r="AF14" i="1550"/>
  <c r="AB14" i="1550"/>
  <c r="Q14" i="1550"/>
  <c r="P14" i="1550" s="1"/>
  <c r="AC14" i="1550" s="1"/>
  <c r="O14" i="1550"/>
  <c r="M14" i="1550"/>
  <c r="AF13" i="1550"/>
  <c r="AB13" i="1550"/>
  <c r="Q13" i="1550"/>
  <c r="P13" i="1550" s="1"/>
  <c r="AC13" i="1550" s="1"/>
  <c r="O13" i="1550"/>
  <c r="M13" i="1550"/>
  <c r="AF12" i="1550"/>
  <c r="Q12" i="1550"/>
  <c r="O12" i="1550"/>
  <c r="AB12" i="1550"/>
  <c r="AF11" i="1550"/>
  <c r="AB11" i="1550"/>
  <c r="Q11" i="1550"/>
  <c r="P11" i="1550" s="1"/>
  <c r="AC11" i="1550" s="1"/>
  <c r="M11" i="1550"/>
  <c r="O11" i="1550"/>
  <c r="AF10" i="1550"/>
  <c r="Q10" i="1550"/>
  <c r="P10" i="1550" s="1"/>
  <c r="AC10" i="1550" s="1"/>
  <c r="AF9" i="1550"/>
  <c r="AB9" i="1550"/>
  <c r="Q9" i="1550"/>
  <c r="P9" i="1550"/>
  <c r="AC9" i="1550" s="1"/>
  <c r="O9" i="1550"/>
  <c r="M9" i="1550"/>
  <c r="AF8" i="1550"/>
  <c r="Q8" i="1550"/>
  <c r="O8" i="1550"/>
  <c r="AB8" i="1550"/>
  <c r="AF7" i="1550"/>
  <c r="AB7" i="1550"/>
  <c r="Q7" i="1550"/>
  <c r="P7" i="1550"/>
  <c r="AC7" i="1550" s="1"/>
  <c r="AD7" i="1550" s="1"/>
  <c r="O7" i="1550"/>
  <c r="M7" i="1550"/>
  <c r="K7" i="1550"/>
  <c r="AF6" i="1550"/>
  <c r="AB6" i="1550"/>
  <c r="Q6" i="1550"/>
  <c r="P6" i="1550"/>
  <c r="AC6" i="1550" s="1"/>
  <c r="O6" i="1550"/>
  <c r="M6" i="1550"/>
  <c r="K6" i="1550"/>
  <c r="AE16" i="1552" l="1"/>
  <c r="AE9" i="1552"/>
  <c r="AE17" i="1552"/>
  <c r="AE7" i="1552"/>
  <c r="AE22" i="1552"/>
  <c r="AE20" i="1552"/>
  <c r="AE19" i="1552"/>
  <c r="AE12" i="1552"/>
  <c r="AE10" i="1552"/>
  <c r="AE13" i="1552"/>
  <c r="AE18" i="1552"/>
  <c r="AE6" i="1552"/>
  <c r="AE14" i="1552"/>
  <c r="AE15" i="1552"/>
  <c r="AE8" i="1552"/>
  <c r="AE21" i="1552"/>
  <c r="AD19" i="1551"/>
  <c r="AD16" i="1551"/>
  <c r="AD11" i="1551"/>
  <c r="M23" i="1551"/>
  <c r="AB23" i="1551"/>
  <c r="P23" i="1551"/>
  <c r="AC23" i="1551"/>
  <c r="AD6" i="1551"/>
  <c r="O20" i="1550"/>
  <c r="K20" i="1550"/>
  <c r="O17" i="1550"/>
  <c r="P17" i="1550"/>
  <c r="AC17" i="1550" s="1"/>
  <c r="AD17" i="1550" s="1"/>
  <c r="AD15" i="1550"/>
  <c r="AD18" i="1550"/>
  <c r="M17" i="1550"/>
  <c r="P16" i="1550"/>
  <c r="AC16" i="1550" s="1"/>
  <c r="O16" i="1550"/>
  <c r="K16" i="1550"/>
  <c r="AB16" i="1550"/>
  <c r="M16" i="1550"/>
  <c r="AD13" i="1550"/>
  <c r="Q22" i="1550"/>
  <c r="AD9" i="1550"/>
  <c r="AD14" i="1550"/>
  <c r="AD19" i="1550"/>
  <c r="AD21" i="1550"/>
  <c r="AD6" i="1550"/>
  <c r="AD11" i="1550"/>
  <c r="K22" i="1550"/>
  <c r="P8" i="1550"/>
  <c r="AC8" i="1550" s="1"/>
  <c r="AD8" i="1550" s="1"/>
  <c r="M10" i="1550"/>
  <c r="AB10" i="1550"/>
  <c r="AB22" i="1550" s="1"/>
  <c r="P12" i="1550"/>
  <c r="AC12" i="1550" s="1"/>
  <c r="AD12" i="1550" s="1"/>
  <c r="P20" i="1550"/>
  <c r="AC20" i="1550" s="1"/>
  <c r="AD20" i="1550" s="1"/>
  <c r="O10" i="1550"/>
  <c r="L22" i="1550"/>
  <c r="O22" i="1550" s="1"/>
  <c r="M8" i="1550"/>
  <c r="M12" i="1550"/>
  <c r="M20" i="1550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D23" i="1551" l="1"/>
  <c r="AE9" i="1551" s="1"/>
  <c r="AD16" i="1550"/>
  <c r="M22" i="1550"/>
  <c r="AD10" i="1550"/>
  <c r="AD22" i="1550" s="1"/>
  <c r="AE17" i="1550" s="1"/>
  <c r="P22" i="1550"/>
  <c r="AC22" i="1550"/>
  <c r="L20" i="1549"/>
  <c r="L19" i="1549"/>
  <c r="M19" i="1549" s="1"/>
  <c r="L16" i="1549"/>
  <c r="AB16" i="1549" s="1"/>
  <c r="L12" i="1549"/>
  <c r="K12" i="1549" s="1"/>
  <c r="L11" i="1549"/>
  <c r="O11" i="1549" s="1"/>
  <c r="L10" i="1549"/>
  <c r="O10" i="1549" s="1"/>
  <c r="L9" i="1549"/>
  <c r="O9" i="1549" s="1"/>
  <c r="L8" i="1549"/>
  <c r="O8" i="1549" s="1"/>
  <c r="K20" i="1549"/>
  <c r="K18" i="1549"/>
  <c r="K16" i="1549"/>
  <c r="K15" i="1549"/>
  <c r="K14" i="1549"/>
  <c r="K13" i="1549"/>
  <c r="K8" i="1549"/>
  <c r="A74" i="1549"/>
  <c r="A75" i="1549" s="1"/>
  <c r="A76" i="1549" s="1"/>
  <c r="A77" i="1549" s="1"/>
  <c r="A78" i="1549" s="1"/>
  <c r="A79" i="1549" s="1"/>
  <c r="A80" i="1549" s="1"/>
  <c r="A81" i="1549" s="1"/>
  <c r="AF60" i="1549"/>
  <c r="AF59" i="1549"/>
  <c r="AF62" i="1549" s="1"/>
  <c r="AA21" i="1549"/>
  <c r="Z21" i="1549"/>
  <c r="Y21" i="1549"/>
  <c r="X21" i="1549"/>
  <c r="W21" i="1549"/>
  <c r="V21" i="1549"/>
  <c r="U21" i="1549"/>
  <c r="T21" i="1549"/>
  <c r="S21" i="1549"/>
  <c r="R21" i="1549"/>
  <c r="N21" i="1549"/>
  <c r="J21" i="1549"/>
  <c r="I21" i="1549"/>
  <c r="AF20" i="1549"/>
  <c r="Q20" i="1549"/>
  <c r="O20" i="1549"/>
  <c r="AF19" i="1549"/>
  <c r="Q19" i="1549"/>
  <c r="P19" i="1549"/>
  <c r="AC19" i="1549" s="1"/>
  <c r="AF18" i="1549"/>
  <c r="Q18" i="1549"/>
  <c r="P18" i="1549"/>
  <c r="AC18" i="1549" s="1"/>
  <c r="AF17" i="1549"/>
  <c r="AB17" i="1549"/>
  <c r="Q17" i="1549"/>
  <c r="P17" i="1549"/>
  <c r="AC17" i="1549" s="1"/>
  <c r="O17" i="1549"/>
  <c r="M17" i="1549"/>
  <c r="K17" i="1549"/>
  <c r="AF16" i="1549"/>
  <c r="Q16" i="1549"/>
  <c r="AF15" i="1549"/>
  <c r="Q15" i="1549"/>
  <c r="P15" i="1549"/>
  <c r="AC15" i="1549" s="1"/>
  <c r="AF14" i="1549"/>
  <c r="AB14" i="1549"/>
  <c r="Q14" i="1549"/>
  <c r="P14" i="1549" s="1"/>
  <c r="AC14" i="1549" s="1"/>
  <c r="AD14" i="1549" s="1"/>
  <c r="O14" i="1549"/>
  <c r="M14" i="1549"/>
  <c r="AF13" i="1549"/>
  <c r="AB13" i="1549"/>
  <c r="Q13" i="1549"/>
  <c r="P13" i="1549"/>
  <c r="AC13" i="1549" s="1"/>
  <c r="O13" i="1549"/>
  <c r="M13" i="1549"/>
  <c r="AF12" i="1549"/>
  <c r="Q12" i="1549"/>
  <c r="O12" i="1549"/>
  <c r="M12" i="1549"/>
  <c r="AF11" i="1549"/>
  <c r="Q11" i="1549"/>
  <c r="P11" i="1549" s="1"/>
  <c r="AC11" i="1549" s="1"/>
  <c r="AF10" i="1549"/>
  <c r="Q10" i="1549"/>
  <c r="P10" i="1549" s="1"/>
  <c r="AC10" i="1549" s="1"/>
  <c r="AF9" i="1549"/>
  <c r="Q9" i="1549"/>
  <c r="P9" i="1549"/>
  <c r="AC9" i="1549" s="1"/>
  <c r="AF8" i="1549"/>
  <c r="Q8" i="1549"/>
  <c r="AF7" i="1549"/>
  <c r="AB7" i="1549"/>
  <c r="Q7" i="1549"/>
  <c r="P7" i="1549"/>
  <c r="AC7" i="1549" s="1"/>
  <c r="O7" i="1549"/>
  <c r="M7" i="1549"/>
  <c r="K7" i="1549"/>
  <c r="AF6" i="1549"/>
  <c r="AB6" i="1549"/>
  <c r="Q6" i="1549"/>
  <c r="P6" i="1549"/>
  <c r="AC6" i="1549" s="1"/>
  <c r="O6" i="1549"/>
  <c r="M6" i="1549"/>
  <c r="K6" i="1549"/>
  <c r="AE7" i="1551" l="1"/>
  <c r="AE21" i="1551"/>
  <c r="AE18" i="1551"/>
  <c r="AE14" i="1551"/>
  <c r="AE15" i="1551"/>
  <c r="AE20" i="1551"/>
  <c r="AE12" i="1551"/>
  <c r="AE10" i="1551"/>
  <c r="AE6" i="1551"/>
  <c r="AE17" i="1551"/>
  <c r="AE13" i="1551"/>
  <c r="AE16" i="1551"/>
  <c r="AE8" i="1551"/>
  <c r="AE11" i="1551"/>
  <c r="AE22" i="1551"/>
  <c r="AE19" i="1551"/>
  <c r="AE19" i="1550"/>
  <c r="AE16" i="1550"/>
  <c r="AE11" i="1550"/>
  <c r="AE7" i="1550"/>
  <c r="AE20" i="1550"/>
  <c r="AE14" i="1550"/>
  <c r="AE12" i="1550"/>
  <c r="AE8" i="1550"/>
  <c r="AE10" i="1550"/>
  <c r="AE15" i="1550"/>
  <c r="AE13" i="1550"/>
  <c r="AE21" i="1550"/>
  <c r="AE18" i="1550"/>
  <c r="AE9" i="1550"/>
  <c r="AE6" i="1550"/>
  <c r="O19" i="1549"/>
  <c r="AB19" i="1549"/>
  <c r="K19" i="1549"/>
  <c r="AB8" i="1549"/>
  <c r="K9" i="1549"/>
  <c r="K11" i="1549"/>
  <c r="K10" i="1549"/>
  <c r="K21" i="1549" s="1"/>
  <c r="P12" i="1549"/>
  <c r="AC12" i="1549" s="1"/>
  <c r="AB12" i="1549"/>
  <c r="M11" i="1549"/>
  <c r="AB11" i="1549"/>
  <c r="AD11" i="1549" s="1"/>
  <c r="Q21" i="1549"/>
  <c r="L21" i="1549"/>
  <c r="O21" i="1549" s="1"/>
  <c r="M9" i="1549"/>
  <c r="AB9" i="1549"/>
  <c r="AD9" i="1549" s="1"/>
  <c r="M8" i="1549"/>
  <c r="AD7" i="1549"/>
  <c r="AD19" i="1549"/>
  <c r="AD17" i="1549"/>
  <c r="AD13" i="1549"/>
  <c r="AD6" i="1549"/>
  <c r="M15" i="1549"/>
  <c r="AB15" i="1549"/>
  <c r="O16" i="1549"/>
  <c r="M18" i="1549"/>
  <c r="AB18" i="1549"/>
  <c r="P20" i="1549"/>
  <c r="AC20" i="1549" s="1"/>
  <c r="P8" i="1549"/>
  <c r="AC8" i="1549" s="1"/>
  <c r="M10" i="1549"/>
  <c r="AB10" i="1549"/>
  <c r="AD10" i="1549" s="1"/>
  <c r="O15" i="1549"/>
  <c r="P16" i="1549"/>
  <c r="AC16" i="1549" s="1"/>
  <c r="AD16" i="1549" s="1"/>
  <c r="O18" i="1549"/>
  <c r="M20" i="1549"/>
  <c r="AB20" i="1549"/>
  <c r="M16" i="1549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1" i="1548"/>
  <c r="O21" i="1548" s="1"/>
  <c r="L20" i="1548"/>
  <c r="L19" i="1548"/>
  <c r="K19" i="1548"/>
  <c r="L17" i="1548"/>
  <c r="L16" i="1548"/>
  <c r="O16" i="1548" s="1"/>
  <c r="K14" i="1548"/>
  <c r="AF14" i="1548"/>
  <c r="AB14" i="1548"/>
  <c r="Q14" i="1548"/>
  <c r="P14" i="1548" s="1"/>
  <c r="AC14" i="1548" s="1"/>
  <c r="AD14" i="1548" s="1"/>
  <c r="O14" i="1548"/>
  <c r="M14" i="1548"/>
  <c r="L13" i="1548"/>
  <c r="K13" i="1548" s="1"/>
  <c r="L12" i="1548"/>
  <c r="K12" i="1548" s="1"/>
  <c r="L10" i="1548"/>
  <c r="K10" i="1548" s="1"/>
  <c r="L9" i="1548"/>
  <c r="K9" i="1548" s="1"/>
  <c r="L8" i="1548"/>
  <c r="K8" i="1548" s="1"/>
  <c r="K21" i="1548"/>
  <c r="K20" i="1548"/>
  <c r="K17" i="1548"/>
  <c r="K16" i="1548"/>
  <c r="A75" i="1548"/>
  <c r="A76" i="1548" s="1"/>
  <c r="A77" i="1548" s="1"/>
  <c r="A78" i="1548" s="1"/>
  <c r="A79" i="1548" s="1"/>
  <c r="A80" i="1548" s="1"/>
  <c r="A81" i="1548" s="1"/>
  <c r="A82" i="1548" s="1"/>
  <c r="AF61" i="1548"/>
  <c r="AF60" i="1548"/>
  <c r="AF63" i="1548" s="1"/>
  <c r="AA22" i="1548"/>
  <c r="Z22" i="1548"/>
  <c r="Y22" i="1548"/>
  <c r="X22" i="1548"/>
  <c r="W22" i="1548"/>
  <c r="V22" i="1548"/>
  <c r="U22" i="1548"/>
  <c r="T22" i="1548"/>
  <c r="S22" i="1548"/>
  <c r="R22" i="1548"/>
  <c r="N22" i="1548"/>
  <c r="J22" i="1548"/>
  <c r="I22" i="1548"/>
  <c r="AF21" i="1548"/>
  <c r="Q21" i="1548"/>
  <c r="AF20" i="1548"/>
  <c r="Q20" i="1548"/>
  <c r="AB20" i="1548"/>
  <c r="AF19" i="1548"/>
  <c r="Q19" i="1548"/>
  <c r="O19" i="1548"/>
  <c r="AB19" i="1548"/>
  <c r="AF18" i="1548"/>
  <c r="AB18" i="1548"/>
  <c r="Q18" i="1548"/>
  <c r="P18" i="1548"/>
  <c r="AC18" i="1548" s="1"/>
  <c r="O18" i="1548"/>
  <c r="M18" i="1548"/>
  <c r="K18" i="1548"/>
  <c r="AF17" i="1548"/>
  <c r="AB17" i="1548"/>
  <c r="Q17" i="1548"/>
  <c r="M17" i="1548"/>
  <c r="P17" i="1548"/>
  <c r="AC17" i="1548" s="1"/>
  <c r="AF16" i="1548"/>
  <c r="Q16" i="1548"/>
  <c r="AF15" i="1548"/>
  <c r="AB15" i="1548"/>
  <c r="Q15" i="1548"/>
  <c r="P15" i="1548"/>
  <c r="AC15" i="1548" s="1"/>
  <c r="O15" i="1548"/>
  <c r="M15" i="1548"/>
  <c r="K15" i="1548"/>
  <c r="AF13" i="1548"/>
  <c r="AB13" i="1548"/>
  <c r="Q13" i="1548"/>
  <c r="P13" i="1548" s="1"/>
  <c r="AC13" i="1548" s="1"/>
  <c r="AF12" i="1548"/>
  <c r="Q12" i="1548"/>
  <c r="AF11" i="1548"/>
  <c r="AB11" i="1548"/>
  <c r="Q11" i="1548"/>
  <c r="P11" i="1548"/>
  <c r="AC11" i="1548" s="1"/>
  <c r="O11" i="1548"/>
  <c r="M11" i="1548"/>
  <c r="K11" i="1548"/>
  <c r="AF10" i="1548"/>
  <c r="AB10" i="1548"/>
  <c r="Q10" i="1548"/>
  <c r="M10" i="1548"/>
  <c r="AF9" i="1548"/>
  <c r="Q9" i="1548"/>
  <c r="O9" i="1548"/>
  <c r="AF8" i="1548"/>
  <c r="Q8" i="1548"/>
  <c r="O8" i="1548"/>
  <c r="AB8" i="1548"/>
  <c r="AF7" i="1548"/>
  <c r="AB7" i="1548"/>
  <c r="Q7" i="1548"/>
  <c r="P7" i="1548"/>
  <c r="AC7" i="1548" s="1"/>
  <c r="AD7" i="1548" s="1"/>
  <c r="O7" i="1548"/>
  <c r="M7" i="1548"/>
  <c r="K7" i="1548"/>
  <c r="AF6" i="1548"/>
  <c r="AB6" i="1548"/>
  <c r="Q6" i="1548"/>
  <c r="P6" i="1548"/>
  <c r="AC6" i="1548" s="1"/>
  <c r="O6" i="1548"/>
  <c r="M6" i="1548"/>
  <c r="K6" i="1548"/>
  <c r="AD15" i="1549" l="1"/>
  <c r="AD8" i="1549"/>
  <c r="AD12" i="1549"/>
  <c r="AD18" i="1549"/>
  <c r="P21" i="1549"/>
  <c r="M21" i="1549"/>
  <c r="AD20" i="1549"/>
  <c r="AC21" i="1549"/>
  <c r="AB21" i="1549"/>
  <c r="P19" i="1548"/>
  <c r="AC19" i="1548" s="1"/>
  <c r="P8" i="1548"/>
  <c r="AC8" i="1548" s="1"/>
  <c r="AD15" i="1548"/>
  <c r="K22" i="1548"/>
  <c r="Q22" i="1548"/>
  <c r="M13" i="1548"/>
  <c r="O12" i="1548"/>
  <c r="P10" i="1548"/>
  <c r="AC10" i="1548" s="1"/>
  <c r="AD11" i="1548"/>
  <c r="AD18" i="1548"/>
  <c r="AD19" i="1548"/>
  <c r="AD6" i="1548"/>
  <c r="AD8" i="1548"/>
  <c r="P9" i="1548"/>
  <c r="AC9" i="1548" s="1"/>
  <c r="P12" i="1548"/>
  <c r="AC12" i="1548" s="1"/>
  <c r="P16" i="1548"/>
  <c r="AC16" i="1548" s="1"/>
  <c r="M19" i="1548"/>
  <c r="O20" i="1548"/>
  <c r="P21" i="1548"/>
  <c r="AC21" i="1548" s="1"/>
  <c r="P20" i="1548"/>
  <c r="AC20" i="1548" s="1"/>
  <c r="M9" i="1548"/>
  <c r="AB9" i="1548"/>
  <c r="O10" i="1548"/>
  <c r="M12" i="1548"/>
  <c r="AB12" i="1548"/>
  <c r="O13" i="1548"/>
  <c r="AD13" i="1548" s="1"/>
  <c r="M16" i="1548"/>
  <c r="AB16" i="1548"/>
  <c r="O17" i="1548"/>
  <c r="AD17" i="1548" s="1"/>
  <c r="M21" i="1548"/>
  <c r="AB21" i="1548"/>
  <c r="L22" i="1548"/>
  <c r="O22" i="1548" s="1"/>
  <c r="M8" i="1548"/>
  <c r="M20" i="1548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L21" i="1547"/>
  <c r="L20" i="1547"/>
  <c r="L19" i="1547"/>
  <c r="L16" i="1547"/>
  <c r="K14" i="1547"/>
  <c r="L15" i="1547"/>
  <c r="K15" i="1547" s="1"/>
  <c r="L13" i="1547"/>
  <c r="L12" i="1547"/>
  <c r="L10" i="1547"/>
  <c r="K10" i="1547" s="1"/>
  <c r="AD21" i="1549" l="1"/>
  <c r="AE15" i="1549" s="1"/>
  <c r="AD10" i="1548"/>
  <c r="AB22" i="1548"/>
  <c r="M22" i="1548"/>
  <c r="P22" i="1548"/>
  <c r="AD16" i="1548"/>
  <c r="AD20" i="1548"/>
  <c r="AD21" i="1548"/>
  <c r="AD9" i="1548"/>
  <c r="AC22" i="1548"/>
  <c r="AD12" i="1548"/>
  <c r="L9" i="1547"/>
  <c r="K9" i="1547" s="1"/>
  <c r="L8" i="1547"/>
  <c r="AB8" i="1547" s="1"/>
  <c r="K21" i="1547"/>
  <c r="K20" i="1547"/>
  <c r="K19" i="1547"/>
  <c r="K18" i="1547"/>
  <c r="K16" i="1547"/>
  <c r="K13" i="1547"/>
  <c r="K12" i="1547"/>
  <c r="K11" i="1547"/>
  <c r="A75" i="1547"/>
  <c r="A76" i="1547" s="1"/>
  <c r="A77" i="1547" s="1"/>
  <c r="A78" i="1547" s="1"/>
  <c r="A79" i="1547" s="1"/>
  <c r="A80" i="1547" s="1"/>
  <c r="A81" i="1547" s="1"/>
  <c r="A82" i="1547" s="1"/>
  <c r="AF61" i="1547"/>
  <c r="AF60" i="1547"/>
  <c r="AA22" i="1547"/>
  <c r="Z22" i="1547"/>
  <c r="Y22" i="1547"/>
  <c r="X22" i="1547"/>
  <c r="W22" i="1547"/>
  <c r="V22" i="1547"/>
  <c r="U22" i="1547"/>
  <c r="T22" i="1547"/>
  <c r="S22" i="1547"/>
  <c r="R22" i="1547"/>
  <c r="N22" i="1547"/>
  <c r="J22" i="1547"/>
  <c r="I22" i="1547"/>
  <c r="AF21" i="1547"/>
  <c r="Q21" i="1547"/>
  <c r="O21" i="1547"/>
  <c r="AF20" i="1547"/>
  <c r="Q20" i="1547"/>
  <c r="P20" i="1547" s="1"/>
  <c r="AC20" i="1547" s="1"/>
  <c r="AB20" i="1547"/>
  <c r="AF19" i="1547"/>
  <c r="AB19" i="1547"/>
  <c r="Q19" i="1547"/>
  <c r="P19" i="1547" s="1"/>
  <c r="AC19" i="1547" s="1"/>
  <c r="O19" i="1547"/>
  <c r="M19" i="1547"/>
  <c r="AF18" i="1547"/>
  <c r="Q18" i="1547"/>
  <c r="O18" i="1547"/>
  <c r="AF17" i="1547"/>
  <c r="AB17" i="1547"/>
  <c r="Q17" i="1547"/>
  <c r="P17" i="1547"/>
  <c r="AC17" i="1547" s="1"/>
  <c r="O17" i="1547"/>
  <c r="M17" i="1547"/>
  <c r="K17" i="1547"/>
  <c r="AF16" i="1547"/>
  <c r="AB16" i="1547"/>
  <c r="Q16" i="1547"/>
  <c r="M16" i="1547"/>
  <c r="P16" i="1547"/>
  <c r="AC16" i="1547" s="1"/>
  <c r="AF15" i="1547"/>
  <c r="AB15" i="1547"/>
  <c r="Q15" i="1547"/>
  <c r="P15" i="1547" s="1"/>
  <c r="AC15" i="1547" s="1"/>
  <c r="O15" i="1547"/>
  <c r="M15" i="1547"/>
  <c r="AF14" i="1547"/>
  <c r="AB14" i="1547"/>
  <c r="Q14" i="1547"/>
  <c r="P14" i="1547" s="1"/>
  <c r="AC14" i="1547" s="1"/>
  <c r="O14" i="1547"/>
  <c r="M14" i="1547"/>
  <c r="AF13" i="1547"/>
  <c r="AB13" i="1547"/>
  <c r="Q13" i="1547"/>
  <c r="P13" i="1547" s="1"/>
  <c r="AC13" i="1547" s="1"/>
  <c r="O13" i="1547"/>
  <c r="M13" i="1547"/>
  <c r="AF12" i="1547"/>
  <c r="AB12" i="1547"/>
  <c r="Q12" i="1547"/>
  <c r="M12" i="1547"/>
  <c r="P12" i="1547"/>
  <c r="AC12" i="1547" s="1"/>
  <c r="AF11" i="1547"/>
  <c r="AB11" i="1547"/>
  <c r="Q11" i="1547"/>
  <c r="P11" i="1547" s="1"/>
  <c r="AC11" i="1547" s="1"/>
  <c r="O11" i="1547"/>
  <c r="M11" i="1547"/>
  <c r="AF10" i="1547"/>
  <c r="AB10" i="1547"/>
  <c r="Q10" i="1547"/>
  <c r="P10" i="1547" s="1"/>
  <c r="AC10" i="1547" s="1"/>
  <c r="M10" i="1547"/>
  <c r="AF9" i="1547"/>
  <c r="Q9" i="1547"/>
  <c r="O9" i="1547"/>
  <c r="AF8" i="1547"/>
  <c r="Q8" i="1547"/>
  <c r="O8" i="1547"/>
  <c r="AF7" i="1547"/>
  <c r="AB7" i="1547"/>
  <c r="Q7" i="1547"/>
  <c r="P7" i="1547"/>
  <c r="AC7" i="1547" s="1"/>
  <c r="AD7" i="1547" s="1"/>
  <c r="O7" i="1547"/>
  <c r="M7" i="1547"/>
  <c r="K7" i="1547"/>
  <c r="AF6" i="1547"/>
  <c r="AB6" i="1547"/>
  <c r="Q6" i="1547"/>
  <c r="P6" i="1547"/>
  <c r="AC6" i="1547" s="1"/>
  <c r="O6" i="1547"/>
  <c r="M6" i="1547"/>
  <c r="K6" i="1547"/>
  <c r="AE18" i="1549" l="1"/>
  <c r="AE6" i="1549"/>
  <c r="AE20" i="1549"/>
  <c r="AE8" i="1549"/>
  <c r="AE10" i="1549"/>
  <c r="AE19" i="1549"/>
  <c r="AE17" i="1549"/>
  <c r="AE16" i="1549"/>
  <c r="AE13" i="1549"/>
  <c r="AE9" i="1549"/>
  <c r="AE11" i="1549"/>
  <c r="AE7" i="1549"/>
  <c r="AE14" i="1549"/>
  <c r="AE12" i="1549"/>
  <c r="AD22" i="1548"/>
  <c r="AE19" i="1548" s="1"/>
  <c r="M8" i="1547"/>
  <c r="K8" i="1547"/>
  <c r="P8" i="1547"/>
  <c r="AC8" i="1547" s="1"/>
  <c r="AD8" i="1547" s="1"/>
  <c r="AF63" i="1547"/>
  <c r="Q22" i="1547"/>
  <c r="L22" i="1547"/>
  <c r="O22" i="1547" s="1"/>
  <c r="AD19" i="1547"/>
  <c r="AD11" i="1547"/>
  <c r="AD13" i="1547"/>
  <c r="AD15" i="1547"/>
  <c r="AD17" i="1547"/>
  <c r="AD14" i="1547"/>
  <c r="AD6" i="1547"/>
  <c r="D3" i="16" s="1"/>
  <c r="P9" i="1547"/>
  <c r="AC9" i="1547" s="1"/>
  <c r="P18" i="1547"/>
  <c r="AC18" i="1547" s="1"/>
  <c r="O20" i="1547"/>
  <c r="AD20" i="1547" s="1"/>
  <c r="P21" i="1547"/>
  <c r="AC21" i="1547" s="1"/>
  <c r="M9" i="1547"/>
  <c r="AB9" i="1547"/>
  <c r="O10" i="1547"/>
  <c r="AD10" i="1547" s="1"/>
  <c r="O12" i="1547"/>
  <c r="AD12" i="1547" s="1"/>
  <c r="O16" i="1547"/>
  <c r="AD16" i="1547" s="1"/>
  <c r="M18" i="1547"/>
  <c r="AB18" i="1547"/>
  <c r="M21" i="1547"/>
  <c r="AB21" i="1547"/>
  <c r="K22" i="1547"/>
  <c r="M20" i="1547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F21" i="1546"/>
  <c r="Q21" i="1546"/>
  <c r="P21" i="1546" s="1"/>
  <c r="AC21" i="1546" s="1"/>
  <c r="M21" i="1546"/>
  <c r="K21" i="1546"/>
  <c r="K12" i="1546"/>
  <c r="L23" i="1546"/>
  <c r="L22" i="1546"/>
  <c r="L20" i="1546"/>
  <c r="K20" i="1546" s="1"/>
  <c r="AE10" i="1548" l="1"/>
  <c r="AE11" i="1548"/>
  <c r="AE20" i="1548"/>
  <c r="AE14" i="1548"/>
  <c r="AE12" i="1548"/>
  <c r="AE21" i="1548"/>
  <c r="AE7" i="1548"/>
  <c r="AE6" i="1548"/>
  <c r="AE15" i="1548"/>
  <c r="AE17" i="1548"/>
  <c r="AE16" i="1548"/>
  <c r="AE18" i="1548"/>
  <c r="AE13" i="1548"/>
  <c r="AE9" i="1548"/>
  <c r="AE8" i="1548"/>
  <c r="M22" i="1547"/>
  <c r="AB22" i="1547"/>
  <c r="AD9" i="1547"/>
  <c r="P22" i="1547"/>
  <c r="AD21" i="1547"/>
  <c r="AC22" i="1547"/>
  <c r="AD18" i="1547"/>
  <c r="AB21" i="1546"/>
  <c r="O21" i="1546"/>
  <c r="AD22" i="1547" l="1"/>
  <c r="AE13" i="1547" s="1"/>
  <c r="AD21" i="1546"/>
  <c r="AE10" i="1547" l="1"/>
  <c r="AE11" i="1547"/>
  <c r="AE14" i="1547"/>
  <c r="AE12" i="1547"/>
  <c r="AE15" i="1547"/>
  <c r="AE19" i="1547"/>
  <c r="AE17" i="1547"/>
  <c r="AE21" i="1547"/>
  <c r="AE9" i="1547"/>
  <c r="AE20" i="1547"/>
  <c r="AE7" i="1547"/>
  <c r="AE8" i="1547"/>
  <c r="AE16" i="1547"/>
  <c r="AE6" i="1547"/>
  <c r="AE18" i="1547"/>
  <c r="L18" i="1546"/>
  <c r="K16" i="1546"/>
  <c r="K15" i="1546"/>
  <c r="AF15" i="1546"/>
  <c r="AB15" i="1546"/>
  <c r="Q15" i="1546"/>
  <c r="P15" i="1546" s="1"/>
  <c r="AC15" i="1546" s="1"/>
  <c r="M15" i="1546"/>
  <c r="L14" i="1546"/>
  <c r="L13" i="1546"/>
  <c r="O15" i="1546" l="1"/>
  <c r="AD15" i="1546" s="1"/>
  <c r="L11" i="1546"/>
  <c r="K11" i="1546"/>
  <c r="L10" i="1546"/>
  <c r="O10" i="1546" s="1"/>
  <c r="L9" i="1546"/>
  <c r="K9" i="1546" s="1"/>
  <c r="L8" i="1546"/>
  <c r="K23" i="1546"/>
  <c r="K22" i="1546"/>
  <c r="K18" i="1546"/>
  <c r="K17" i="1546"/>
  <c r="K14" i="1546"/>
  <c r="K13" i="1546"/>
  <c r="K10" i="1546"/>
  <c r="K8" i="1546"/>
  <c r="A77" i="1546"/>
  <c r="A78" i="1546" s="1"/>
  <c r="A79" i="1546" s="1"/>
  <c r="A80" i="1546" s="1"/>
  <c r="A81" i="1546" s="1"/>
  <c r="A82" i="1546" s="1"/>
  <c r="A83" i="1546" s="1"/>
  <c r="A84" i="1546" s="1"/>
  <c r="AF63" i="1546"/>
  <c r="AF62" i="1546"/>
  <c r="AF65" i="1546" s="1"/>
  <c r="AA24" i="1546"/>
  <c r="Z24" i="1546"/>
  <c r="Y24" i="1546"/>
  <c r="X24" i="1546"/>
  <c r="W24" i="1546"/>
  <c r="V24" i="1546"/>
  <c r="U24" i="1546"/>
  <c r="T24" i="1546"/>
  <c r="S24" i="1546"/>
  <c r="R24" i="1546"/>
  <c r="N24" i="1546"/>
  <c r="J24" i="1546"/>
  <c r="I24" i="1546"/>
  <c r="AF23" i="1546"/>
  <c r="Q23" i="1546"/>
  <c r="P23" i="1546" s="1"/>
  <c r="AC23" i="1546" s="1"/>
  <c r="O23" i="1546"/>
  <c r="AF22" i="1546"/>
  <c r="Q22" i="1546"/>
  <c r="P22" i="1546"/>
  <c r="AC22" i="1546" s="1"/>
  <c r="O22" i="1546"/>
  <c r="AB22" i="1546"/>
  <c r="AF20" i="1546"/>
  <c r="AB20" i="1546"/>
  <c r="Q20" i="1546"/>
  <c r="P20" i="1546" s="1"/>
  <c r="AC20" i="1546" s="1"/>
  <c r="O20" i="1546"/>
  <c r="M20" i="1546"/>
  <c r="AF19" i="1546"/>
  <c r="AB19" i="1546"/>
  <c r="Q19" i="1546"/>
  <c r="P19" i="1546"/>
  <c r="AC19" i="1546" s="1"/>
  <c r="O19" i="1546"/>
  <c r="M19" i="1546"/>
  <c r="K19" i="1546"/>
  <c r="AF18" i="1546"/>
  <c r="Q18" i="1546"/>
  <c r="P18" i="1546" s="1"/>
  <c r="AC18" i="1546" s="1"/>
  <c r="O18" i="1546"/>
  <c r="AB18" i="1546"/>
  <c r="AF17" i="1546"/>
  <c r="AB17" i="1546"/>
  <c r="Q17" i="1546"/>
  <c r="P17" i="1546"/>
  <c r="AC17" i="1546" s="1"/>
  <c r="O17" i="1546"/>
  <c r="M17" i="1546"/>
  <c r="AF16" i="1546"/>
  <c r="AB16" i="1546"/>
  <c r="Q16" i="1546"/>
  <c r="P16" i="1546" s="1"/>
  <c r="AC16" i="1546" s="1"/>
  <c r="O16" i="1546"/>
  <c r="M16" i="1546"/>
  <c r="AF14" i="1546"/>
  <c r="AB14" i="1546"/>
  <c r="Q14" i="1546"/>
  <c r="P14" i="1546" s="1"/>
  <c r="AC14" i="1546" s="1"/>
  <c r="O14" i="1546"/>
  <c r="M14" i="1546"/>
  <c r="AF13" i="1546"/>
  <c r="Q13" i="1546"/>
  <c r="P13" i="1546" s="1"/>
  <c r="AC13" i="1546" s="1"/>
  <c r="AF12" i="1546"/>
  <c r="AB12" i="1546"/>
  <c r="Q12" i="1546"/>
  <c r="P12" i="1546" s="1"/>
  <c r="AC12" i="1546" s="1"/>
  <c r="O12" i="1546"/>
  <c r="M12" i="1546"/>
  <c r="AF11" i="1546"/>
  <c r="Q11" i="1546"/>
  <c r="AF10" i="1546"/>
  <c r="AB10" i="1546"/>
  <c r="Q10" i="1546"/>
  <c r="P10" i="1546" s="1"/>
  <c r="AC10" i="1546" s="1"/>
  <c r="M10" i="1546"/>
  <c r="AF9" i="1546"/>
  <c r="AB9" i="1546"/>
  <c r="Q9" i="1546"/>
  <c r="O9" i="1546"/>
  <c r="M9" i="1546"/>
  <c r="AF8" i="1546"/>
  <c r="Q8" i="1546"/>
  <c r="P8" i="1546"/>
  <c r="AC8" i="1546" s="1"/>
  <c r="AF7" i="1546"/>
  <c r="AB7" i="1546"/>
  <c r="Q7" i="1546"/>
  <c r="P7" i="1546"/>
  <c r="AC7" i="1546" s="1"/>
  <c r="O7" i="1546"/>
  <c r="M7" i="1546"/>
  <c r="K7" i="1546"/>
  <c r="AF6" i="1546"/>
  <c r="AB6" i="1546"/>
  <c r="Q6" i="1546"/>
  <c r="P6" i="1546"/>
  <c r="AC6" i="1546" s="1"/>
  <c r="O6" i="1546"/>
  <c r="M6" i="1546"/>
  <c r="K6" i="1546"/>
  <c r="AD17" i="1546" l="1"/>
  <c r="P11" i="1546"/>
  <c r="AC11" i="1546" s="1"/>
  <c r="AD20" i="1546"/>
  <c r="AD7" i="1546"/>
  <c r="Q24" i="1546"/>
  <c r="AD19" i="1546"/>
  <c r="AD12" i="1546"/>
  <c r="AD14" i="1546"/>
  <c r="AD10" i="1546"/>
  <c r="P9" i="1546"/>
  <c r="AC9" i="1546" s="1"/>
  <c r="AD9" i="1546" s="1"/>
  <c r="AD16" i="1546"/>
  <c r="AD18" i="1546"/>
  <c r="AD22" i="1546"/>
  <c r="M8" i="1546"/>
  <c r="AB8" i="1546"/>
  <c r="M11" i="1546"/>
  <c r="AB11" i="1546"/>
  <c r="M13" i="1546"/>
  <c r="AB13" i="1546"/>
  <c r="AD6" i="1546"/>
  <c r="O8" i="1546"/>
  <c r="O11" i="1546"/>
  <c r="O13" i="1546"/>
  <c r="M23" i="1546"/>
  <c r="AB23" i="1546"/>
  <c r="AD23" i="1546" s="1"/>
  <c r="L24" i="1546"/>
  <c r="O24" i="1546" s="1"/>
  <c r="K24" i="1546"/>
  <c r="M18" i="1546"/>
  <c r="M22" i="1546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2" i="1545"/>
  <c r="L21" i="1545"/>
  <c r="L20" i="1545"/>
  <c r="L18" i="1545"/>
  <c r="K17" i="1545"/>
  <c r="L15" i="1545"/>
  <c r="L14" i="1545"/>
  <c r="AB14" i="1545" s="1"/>
  <c r="K14" i="1545"/>
  <c r="AF14" i="1545"/>
  <c r="Q14" i="1545"/>
  <c r="K13" i="1545"/>
  <c r="AF13" i="1545"/>
  <c r="Q13" i="1545"/>
  <c r="P13" i="1545" s="1"/>
  <c r="AC13" i="1545" s="1"/>
  <c r="L12" i="1545"/>
  <c r="K12" i="1545"/>
  <c r="K10" i="1545"/>
  <c r="L11" i="1545"/>
  <c r="K11" i="1545"/>
  <c r="L9" i="1545"/>
  <c r="K9" i="1545" s="1"/>
  <c r="L8" i="1545"/>
  <c r="K8" i="1545" s="1"/>
  <c r="K22" i="1545"/>
  <c r="K21" i="1545"/>
  <c r="K20" i="1545"/>
  <c r="K19" i="1545"/>
  <c r="K18" i="1545"/>
  <c r="K15" i="1545"/>
  <c r="AD8" i="1546" l="1"/>
  <c r="AD13" i="1546"/>
  <c r="AD11" i="1546"/>
  <c r="AC24" i="1546"/>
  <c r="P24" i="1546"/>
  <c r="M24" i="1546"/>
  <c r="AB24" i="1546"/>
  <c r="M14" i="1545"/>
  <c r="O14" i="1545"/>
  <c r="P14" i="1545"/>
  <c r="AC14" i="1545" s="1"/>
  <c r="M13" i="1545"/>
  <c r="O13" i="1545"/>
  <c r="AB13" i="1545"/>
  <c r="L23" i="1545"/>
  <c r="A76" i="1545"/>
  <c r="A77" i="1545" s="1"/>
  <c r="A78" i="1545" s="1"/>
  <c r="A79" i="1545" s="1"/>
  <c r="A80" i="1545" s="1"/>
  <c r="A81" i="1545" s="1"/>
  <c r="A82" i="1545" s="1"/>
  <c r="A83" i="1545" s="1"/>
  <c r="AF62" i="1545"/>
  <c r="AF61" i="1545"/>
  <c r="AA23" i="1545"/>
  <c r="Z23" i="1545"/>
  <c r="Y23" i="1545"/>
  <c r="X23" i="1545"/>
  <c r="W23" i="1545"/>
  <c r="V23" i="1545"/>
  <c r="U23" i="1545"/>
  <c r="T23" i="1545"/>
  <c r="S23" i="1545"/>
  <c r="R23" i="1545"/>
  <c r="N23" i="1545"/>
  <c r="J23" i="1545"/>
  <c r="I23" i="1545"/>
  <c r="AF22" i="1545"/>
  <c r="Q22" i="1545"/>
  <c r="O22" i="1545"/>
  <c r="AF21" i="1545"/>
  <c r="AB21" i="1545"/>
  <c r="Q21" i="1545"/>
  <c r="P21" i="1545" s="1"/>
  <c r="AC21" i="1545" s="1"/>
  <c r="O21" i="1545"/>
  <c r="M21" i="1545"/>
  <c r="AF20" i="1545"/>
  <c r="AB20" i="1545"/>
  <c r="Q20" i="1545"/>
  <c r="P20" i="1545" s="1"/>
  <c r="AC20" i="1545" s="1"/>
  <c r="O20" i="1545"/>
  <c r="M20" i="1545"/>
  <c r="AF19" i="1545"/>
  <c r="Q19" i="1545"/>
  <c r="P19" i="1545" s="1"/>
  <c r="AC19" i="1545" s="1"/>
  <c r="AF18" i="1545"/>
  <c r="Q18" i="1545"/>
  <c r="O18" i="1545"/>
  <c r="AF17" i="1545"/>
  <c r="AB17" i="1545"/>
  <c r="Q17" i="1545"/>
  <c r="P17" i="1545"/>
  <c r="AC17" i="1545" s="1"/>
  <c r="O17" i="1545"/>
  <c r="M17" i="1545"/>
  <c r="AF16" i="1545"/>
  <c r="AB16" i="1545"/>
  <c r="Q16" i="1545"/>
  <c r="P16" i="1545"/>
  <c r="AC16" i="1545" s="1"/>
  <c r="O16" i="1545"/>
  <c r="M16" i="1545"/>
  <c r="K16" i="1545"/>
  <c r="AF15" i="1545"/>
  <c r="Q15" i="1545"/>
  <c r="O15" i="1545"/>
  <c r="AF12" i="1545"/>
  <c r="AB12" i="1545"/>
  <c r="Q12" i="1545"/>
  <c r="P12" i="1545" s="1"/>
  <c r="AC12" i="1545" s="1"/>
  <c r="O12" i="1545"/>
  <c r="M12" i="1545"/>
  <c r="AF11" i="1545"/>
  <c r="AB11" i="1545"/>
  <c r="Q11" i="1545"/>
  <c r="P11" i="1545" s="1"/>
  <c r="AC11" i="1545" s="1"/>
  <c r="O11" i="1545"/>
  <c r="M11" i="1545"/>
  <c r="AF10" i="1545"/>
  <c r="AB10" i="1545"/>
  <c r="Q10" i="1545"/>
  <c r="P10" i="1545" s="1"/>
  <c r="AC10" i="1545" s="1"/>
  <c r="M10" i="1545"/>
  <c r="AF9" i="1545"/>
  <c r="Q9" i="1545"/>
  <c r="O9" i="1545"/>
  <c r="AF8" i="1545"/>
  <c r="AB8" i="1545"/>
  <c r="Q8" i="1545"/>
  <c r="P8" i="1545" s="1"/>
  <c r="AC8" i="1545" s="1"/>
  <c r="O8" i="1545"/>
  <c r="M8" i="1545"/>
  <c r="AF7" i="1545"/>
  <c r="AB7" i="1545"/>
  <c r="Q7" i="1545"/>
  <c r="P7" i="1545"/>
  <c r="AC7" i="1545" s="1"/>
  <c r="O7" i="1545"/>
  <c r="M7" i="1545"/>
  <c r="K7" i="1545"/>
  <c r="AF6" i="1545"/>
  <c r="AB6" i="1545"/>
  <c r="Q6" i="1545"/>
  <c r="P6" i="1545"/>
  <c r="AC6" i="1545" s="1"/>
  <c r="O6" i="1545"/>
  <c r="M6" i="1545"/>
  <c r="K6" i="1545"/>
  <c r="AD24" i="1546" l="1"/>
  <c r="AD14" i="1545"/>
  <c r="AD13" i="1545"/>
  <c r="O23" i="1545"/>
  <c r="AD16" i="1545"/>
  <c r="AD7" i="1545"/>
  <c r="AF64" i="1545"/>
  <c r="AD11" i="1545"/>
  <c r="AD12" i="1545"/>
  <c r="AD17" i="1545"/>
  <c r="Q23" i="1545"/>
  <c r="AD8" i="1545"/>
  <c r="AD20" i="1545"/>
  <c r="AD21" i="1545"/>
  <c r="AD6" i="1545"/>
  <c r="K23" i="1545"/>
  <c r="P9" i="1545"/>
  <c r="AC9" i="1545" s="1"/>
  <c r="P15" i="1545"/>
  <c r="AC15" i="1545" s="1"/>
  <c r="P18" i="1545"/>
  <c r="AC18" i="1545" s="1"/>
  <c r="P22" i="1545"/>
  <c r="AC22" i="1545" s="1"/>
  <c r="M19" i="1545"/>
  <c r="AB19" i="1545"/>
  <c r="M9" i="1545"/>
  <c r="AB9" i="1545"/>
  <c r="O10" i="1545"/>
  <c r="AD10" i="1545" s="1"/>
  <c r="M15" i="1545"/>
  <c r="AB15" i="1545"/>
  <c r="M18" i="1545"/>
  <c r="AB18" i="1545"/>
  <c r="O19" i="1545"/>
  <c r="M22" i="1545"/>
  <c r="AB22" i="1545"/>
  <c r="AE15" i="1546" l="1"/>
  <c r="AE21" i="1546"/>
  <c r="AE7" i="1546"/>
  <c r="AE6" i="1546"/>
  <c r="AE10" i="1546"/>
  <c r="AE9" i="1546"/>
  <c r="AE8" i="1546"/>
  <c r="AE16" i="1546"/>
  <c r="AE17" i="1546"/>
  <c r="AE11" i="1546"/>
  <c r="AE18" i="1546"/>
  <c r="AE20" i="1546"/>
  <c r="AE19" i="1546"/>
  <c r="AE23" i="1546"/>
  <c r="AE13" i="1546"/>
  <c r="AE12" i="1546"/>
  <c r="AE22" i="1546"/>
  <c r="AE14" i="1546"/>
  <c r="AD18" i="1545"/>
  <c r="P23" i="1545"/>
  <c r="AB23" i="1545"/>
  <c r="AD22" i="1545"/>
  <c r="AC23" i="1545"/>
  <c r="M23" i="1545"/>
  <c r="AD19" i="1545"/>
  <c r="AD15" i="1545"/>
  <c r="AD9" i="1545"/>
  <c r="AD23" i="1545" l="1"/>
  <c r="AE13" i="1545" l="1"/>
  <c r="AE14" i="1545"/>
  <c r="AE16" i="1545"/>
  <c r="AE19" i="1545"/>
  <c r="AE11" i="1545"/>
  <c r="AE21" i="1545"/>
  <c r="AE15" i="1545"/>
  <c r="AE7" i="1545"/>
  <c r="AE8" i="1545"/>
  <c r="AE20" i="1545"/>
  <c r="AE6" i="1545"/>
  <c r="AE18" i="1545"/>
  <c r="AE12" i="1545"/>
  <c r="AE10" i="1545"/>
  <c r="AE9" i="1545"/>
  <c r="AE22" i="1545"/>
  <c r="AE17" i="1545"/>
</calcChain>
</file>

<file path=xl/sharedStrings.xml><?xml version="1.0" encoding="utf-8"?>
<sst xmlns="http://schemas.openxmlformats.org/spreadsheetml/2006/main" count="6751" uniqueCount="710">
  <si>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</si>
  <si>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</si>
  <si>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</si>
  <si>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</si>
  <si>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</si>
  <si>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</si>
  <si>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</si>
  <si>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</si>
  <si>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</si>
  <si>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</si>
  <si>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</si>
  <si>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</si>
  <si>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</si>
  <si>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</si>
  <si>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</si>
  <si>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</si>
  <si>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</si>
  <si>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</si>
  <si>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</si>
  <si>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</si>
  <si>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</si>
  <si>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</si>
  <si>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</si>
  <si>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</si>
  <si>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</si>
  <si>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</si>
  <si>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</si>
  <si>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</si>
  <si>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</si>
  <si>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</si>
  <si>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</si>
  <si>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</si>
  <si>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</si>
  <si>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</si>
  <si>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</si>
  <si>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</si>
  <si>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</si>
  <si>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</si>
  <si>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</si>
  <si>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</si>
  <si>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</si>
  <si>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</si>
  <si>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</si>
  <si>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</si>
  <si>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</si>
  <si>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</si>
  <si>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</si>
  <si>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</si>
  <si>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</si>
  <si>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</si>
  <si>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</si>
  <si>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</si>
  <si>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</si>
  <si>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</si>
  <si>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</si>
  <si>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</si>
  <si>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</si>
  <si>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발주</t>
    <phoneticPr fontId="2" type="noConversion"/>
  </si>
  <si>
    <t>불량 내역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</si>
  <si>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</si>
  <si>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</si>
  <si>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</si>
  <si>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</si>
  <si>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</si>
  <si>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</si>
  <si>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</si>
  <si>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</si>
  <si>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</si>
  <si>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</si>
  <si>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</si>
  <si>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</si>
  <si>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</si>
  <si>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</si>
  <si>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</si>
  <si>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</si>
  <si>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</si>
  <si>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</si>
  <si>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</si>
  <si>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</si>
  <si>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</si>
  <si>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</si>
  <si>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</si>
  <si>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</si>
  <si>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</si>
  <si>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</si>
  <si>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</si>
  <si>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</si>
  <si>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</si>
  <si>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</si>
  <si>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</si>
  <si>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</si>
  <si>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</si>
  <si>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</si>
  <si>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</si>
  <si>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</si>
  <si>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</si>
  <si>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</si>
  <si>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</si>
  <si>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</si>
  <si>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</si>
  <si>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</si>
  <si>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</si>
  <si>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</si>
  <si>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</si>
  <si>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</si>
  <si>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</si>
  <si>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</si>
  <si>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</si>
  <si>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</si>
  <si>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</si>
  <si>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</si>
  <si>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</si>
  <si>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</si>
  <si>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</si>
  <si>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MCS</t>
    <phoneticPr fontId="2" type="noConversion"/>
  </si>
  <si>
    <t>DI</t>
    <phoneticPr fontId="2" type="noConversion"/>
  </si>
  <si>
    <t>PA46</t>
    <phoneticPr fontId="2" type="noConversion"/>
  </si>
  <si>
    <t>BASE</t>
    <phoneticPr fontId="2" type="noConversion"/>
  </si>
  <si>
    <t>AMB0114H-JAA-R1</t>
    <phoneticPr fontId="2" type="noConversion"/>
  </si>
  <si>
    <t>BODY</t>
    <phoneticPr fontId="2" type="noConversion"/>
  </si>
  <si>
    <t>발주분양산</t>
    <phoneticPr fontId="2" type="noConversion"/>
  </si>
  <si>
    <t>SGF2033</t>
    <phoneticPr fontId="2" type="noConversion"/>
  </si>
  <si>
    <t>STOPPER</t>
    <phoneticPr fontId="2" type="noConversion"/>
  </si>
  <si>
    <t>SF2255</t>
    <phoneticPr fontId="2" type="noConversion"/>
  </si>
  <si>
    <t>SST</t>
    <phoneticPr fontId="2" type="noConversion"/>
  </si>
  <si>
    <t>COVER</t>
    <phoneticPr fontId="2" type="noConversion"/>
  </si>
  <si>
    <t>JD4901</t>
    <phoneticPr fontId="2" type="noConversion"/>
  </si>
  <si>
    <t>SGF2050</t>
    <phoneticPr fontId="2" type="noConversion"/>
  </si>
  <si>
    <t>5</t>
    <phoneticPr fontId="2" type="noConversion"/>
  </si>
  <si>
    <t>BR88-127A1-1</t>
    <phoneticPr fontId="2" type="noConversion"/>
  </si>
  <si>
    <t>HICON</t>
    <phoneticPr fontId="2" type="noConversion"/>
  </si>
  <si>
    <t>88P</t>
    <phoneticPr fontId="2" type="noConversion"/>
  </si>
  <si>
    <t>12</t>
    <phoneticPr fontId="2" type="noConversion"/>
  </si>
  <si>
    <t>가스</t>
    <phoneticPr fontId="2" type="noConversion"/>
  </si>
  <si>
    <t>7</t>
    <phoneticPr fontId="2" type="noConversion"/>
  </si>
  <si>
    <t>SGF2041</t>
    <phoneticPr fontId="2" type="noConversion"/>
  </si>
  <si>
    <t>SLIDER</t>
    <phoneticPr fontId="2" type="noConversion"/>
  </si>
  <si>
    <t>SGF2030 N/P</t>
    <phoneticPr fontId="2" type="noConversion"/>
  </si>
  <si>
    <t>LATCH</t>
    <phoneticPr fontId="2" type="noConversion"/>
  </si>
  <si>
    <t>2829HQN05-5632-C4</t>
    <phoneticPr fontId="2" type="noConversion"/>
  </si>
  <si>
    <t>KR6422AB589CA</t>
    <phoneticPr fontId="2" type="noConversion"/>
  </si>
  <si>
    <t>LEAD IN</t>
    <phoneticPr fontId="2" type="noConversion"/>
  </si>
  <si>
    <t>K-JR01920-M01ABA</t>
    <phoneticPr fontId="2" type="noConversion"/>
  </si>
  <si>
    <t>13</t>
    <phoneticPr fontId="2" type="noConversion"/>
  </si>
  <si>
    <t>4</t>
    <phoneticPr fontId="2" type="noConversion"/>
  </si>
  <si>
    <t>AAM0818C-KAB-R3</t>
    <phoneticPr fontId="2" type="noConversion"/>
  </si>
  <si>
    <t>KR6422AA496YA</t>
    <phoneticPr fontId="2" type="noConversion"/>
  </si>
  <si>
    <t>288BASE</t>
    <phoneticPr fontId="2" type="noConversion"/>
  </si>
  <si>
    <t>GN2330</t>
    <phoneticPr fontId="2" type="noConversion"/>
  </si>
  <si>
    <t>6</t>
    <phoneticPr fontId="2" type="noConversion"/>
  </si>
  <si>
    <t>SGP2020R</t>
    <phoneticPr fontId="2" type="noConversion"/>
  </si>
  <si>
    <t>7301</t>
    <phoneticPr fontId="2" type="noConversion"/>
  </si>
  <si>
    <t>코아파손2회수리</t>
    <phoneticPr fontId="2" type="noConversion"/>
  </si>
  <si>
    <t>NEXT</t>
    <phoneticPr fontId="2" type="noConversion"/>
  </si>
  <si>
    <t>SF2255 I/V</t>
    <phoneticPr fontId="2" type="noConversion"/>
  </si>
  <si>
    <t>K-JR01920-B414AZB</t>
    <phoneticPr fontId="2" type="noConversion"/>
  </si>
  <si>
    <t>HT00-M64A4-5</t>
    <phoneticPr fontId="2" type="noConversion"/>
  </si>
  <si>
    <t>22P</t>
    <phoneticPr fontId="2" type="noConversion"/>
  </si>
  <si>
    <t>KR6414-C414TA</t>
    <phoneticPr fontId="2" type="noConversion"/>
  </si>
  <si>
    <t>KR6414-D414PA</t>
    <phoneticPr fontId="2" type="noConversion"/>
  </si>
  <si>
    <t>KR6414-B414UA</t>
    <phoneticPr fontId="2" type="noConversion"/>
  </si>
  <si>
    <t>HDB08-M01A1</t>
    <phoneticPr fontId="2" type="noConversion"/>
  </si>
  <si>
    <t>1D</t>
    <phoneticPr fontId="2" type="noConversion"/>
  </si>
  <si>
    <t>8D</t>
    <phoneticPr fontId="2" type="noConversion"/>
  </si>
  <si>
    <r>
      <t>2019년 10월 01일 일일생산현황</t>
    </r>
    <r>
      <rPr>
        <b/>
        <sz val="14"/>
        <color indexed="8"/>
        <rFont val="굴림체"/>
        <family val="3"/>
        <charset val="129"/>
      </rPr>
      <t>(02일 09시 현재)</t>
    </r>
    <phoneticPr fontId="2" type="noConversion"/>
  </si>
  <si>
    <t>M2</t>
    <phoneticPr fontId="2" type="noConversion"/>
  </si>
  <si>
    <t>AMS08155A-KAA-R1</t>
    <phoneticPr fontId="2" type="noConversion"/>
  </si>
  <si>
    <t>FLOATING</t>
    <phoneticPr fontId="2" type="noConversion"/>
  </si>
  <si>
    <t>2829HQN05-3225-F3</t>
    <phoneticPr fontId="2" type="noConversion"/>
  </si>
  <si>
    <t>전일 ISSUE 사항(01일)</t>
    <phoneticPr fontId="2" type="noConversion"/>
  </si>
  <si>
    <t>HICON</t>
    <phoneticPr fontId="2" type="noConversion"/>
  </si>
  <si>
    <t>6</t>
    <phoneticPr fontId="2" type="noConversion"/>
  </si>
  <si>
    <t>2829HQN05-5632-C4</t>
    <phoneticPr fontId="2" type="noConversion"/>
  </si>
  <si>
    <t>HT00-M64A4-5</t>
    <phoneticPr fontId="2" type="noConversion"/>
  </si>
  <si>
    <t>BURR수리후양산</t>
    <phoneticPr fontId="2" type="noConversion"/>
  </si>
  <si>
    <t>12</t>
    <phoneticPr fontId="2" type="noConversion"/>
  </si>
  <si>
    <t>HDB08-M01A1</t>
    <phoneticPr fontId="2" type="noConversion"/>
  </si>
  <si>
    <t>세척후양산</t>
    <phoneticPr fontId="2" type="noConversion"/>
  </si>
  <si>
    <t>8</t>
    <phoneticPr fontId="2" type="noConversion"/>
  </si>
  <si>
    <t>당일 진행 사항(02일)</t>
    <phoneticPr fontId="2" type="noConversion"/>
  </si>
  <si>
    <t>N2588-HB-02A</t>
    <phoneticPr fontId="2" type="noConversion"/>
  </si>
  <si>
    <t>HINGE</t>
    <phoneticPr fontId="2" type="noConversion"/>
  </si>
  <si>
    <t>SAMPLE 진행 사항(01일)</t>
    <phoneticPr fontId="2" type="noConversion"/>
  </si>
  <si>
    <t>ADAPTER</t>
    <phoneticPr fontId="2" type="noConversion"/>
  </si>
  <si>
    <t>KR6197AGF254QB</t>
    <phoneticPr fontId="2" type="noConversion"/>
  </si>
  <si>
    <t>검토용</t>
    <phoneticPr fontId="2" type="noConversion"/>
  </si>
  <si>
    <t>외주 양산검토용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</si>
  <si>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</si>
  <si>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</si>
  <si>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t>10월 호기별 가동현황</t>
    <phoneticPr fontId="2" type="noConversion"/>
  </si>
  <si>
    <r>
      <t>2019년 10월 02일 일일생산현황</t>
    </r>
    <r>
      <rPr>
        <b/>
        <sz val="14"/>
        <color indexed="8"/>
        <rFont val="굴림체"/>
        <family val="3"/>
        <charset val="129"/>
      </rPr>
      <t>(03일 09시 현재)</t>
    </r>
    <phoneticPr fontId="2" type="noConversion"/>
  </si>
  <si>
    <t>009-041-003</t>
    <phoneticPr fontId="2" type="noConversion"/>
  </si>
  <si>
    <t>JCL3030</t>
    <phoneticPr fontId="2" type="noConversion"/>
  </si>
  <si>
    <t>BOTTOM</t>
    <phoneticPr fontId="2" type="noConversion"/>
  </si>
  <si>
    <t>2829HQN05-3225-B2</t>
    <phoneticPr fontId="2" type="noConversion"/>
  </si>
  <si>
    <t>테스트</t>
    <phoneticPr fontId="2" type="noConversion"/>
  </si>
  <si>
    <t>COVER/UPPER</t>
    <phoneticPr fontId="2" type="noConversion"/>
  </si>
  <si>
    <t>2*1</t>
    <phoneticPr fontId="2" type="noConversion"/>
  </si>
  <si>
    <t>전일 ISSUE 사항(02일)</t>
    <phoneticPr fontId="2" type="noConversion"/>
  </si>
  <si>
    <t>코아파손5회수리</t>
    <phoneticPr fontId="2" type="noConversion"/>
  </si>
  <si>
    <t>코아파손수리</t>
    <phoneticPr fontId="2" type="noConversion"/>
  </si>
  <si>
    <t>2829HQN05-3225-B1</t>
    <phoneticPr fontId="2" type="noConversion"/>
  </si>
  <si>
    <t>9</t>
    <phoneticPr fontId="2" type="noConversion"/>
  </si>
  <si>
    <t>당일 진행 사항(03일)</t>
    <phoneticPr fontId="2" type="noConversion"/>
  </si>
  <si>
    <t>수리후양산</t>
    <phoneticPr fontId="2" type="noConversion"/>
  </si>
  <si>
    <t>발주분양산-&gt;가스정지</t>
    <phoneticPr fontId="2" type="noConversion"/>
  </si>
  <si>
    <t>UPP/COVER</t>
    <phoneticPr fontId="2" type="noConversion"/>
  </si>
  <si>
    <t>AMS08155A-KBB-R1</t>
    <phoneticPr fontId="2" type="noConversion"/>
  </si>
  <si>
    <t>NP595-362-011#LB</t>
    <phoneticPr fontId="2" type="noConversion"/>
  </si>
  <si>
    <t>AYE</t>
    <phoneticPr fontId="2" type="noConversion"/>
  </si>
  <si>
    <t>10</t>
    <phoneticPr fontId="2" type="noConversion"/>
  </si>
  <si>
    <t>14</t>
    <phoneticPr fontId="2" type="noConversion"/>
  </si>
  <si>
    <t>SAMPLE 진행 사항(02일)</t>
    <phoneticPr fontId="2" type="noConversion"/>
  </si>
  <si>
    <t>3159019-02</t>
    <phoneticPr fontId="2" type="noConversion"/>
  </si>
  <si>
    <t>신작</t>
    <phoneticPr fontId="2" type="noConversion"/>
  </si>
  <si>
    <t>BOTTOM 3종</t>
    <phoneticPr fontId="2" type="noConversion"/>
  </si>
  <si>
    <t>수정</t>
    <phoneticPr fontId="2" type="noConversion"/>
  </si>
  <si>
    <t>각 100EA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</si>
  <si>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</si>
  <si>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</si>
  <si>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2019년 10월 03일 일일생산현황</t>
    </r>
    <r>
      <rPr>
        <b/>
        <sz val="14"/>
        <color indexed="8"/>
        <rFont val="굴림체"/>
        <family val="3"/>
        <charset val="129"/>
      </rPr>
      <t>(04일 09시 현재)</t>
    </r>
    <phoneticPr fontId="2" type="noConversion"/>
  </si>
  <si>
    <t>SGP2030R N/P</t>
    <phoneticPr fontId="2" type="noConversion"/>
  </si>
  <si>
    <t>전일 ISSUE 사항(03일)</t>
    <phoneticPr fontId="2" type="noConversion"/>
  </si>
  <si>
    <t>뜯김,세척후 양산</t>
    <phoneticPr fontId="2" type="noConversion"/>
  </si>
  <si>
    <t>당일 진행 사항(04일)</t>
    <phoneticPr fontId="2" type="noConversion"/>
  </si>
  <si>
    <t>AMB39D8A-KAA-R1</t>
    <phoneticPr fontId="2" type="noConversion"/>
  </si>
  <si>
    <t>SP</t>
    <phoneticPr fontId="2" type="noConversion"/>
  </si>
  <si>
    <t>PUSHER/LATCH</t>
    <phoneticPr fontId="2" type="noConversion"/>
  </si>
  <si>
    <t>SAMPLE 진행 사항(03일)</t>
    <phoneticPr fontId="2" type="noConversion"/>
  </si>
  <si>
    <t>TOP 3종</t>
    <phoneticPr fontId="2" type="noConversion"/>
  </si>
  <si>
    <t>각 400EA</t>
    <phoneticPr fontId="2" type="noConversion"/>
  </si>
  <si>
    <t>TOP/BOTTOM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</si>
  <si>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</si>
  <si>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</si>
  <si>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2019년 10월 04일 일일생산현황</t>
    </r>
    <r>
      <rPr>
        <b/>
        <sz val="14"/>
        <color indexed="8"/>
        <rFont val="굴림체"/>
        <family val="3"/>
        <charset val="129"/>
      </rPr>
      <t>(05일 09시 현재)</t>
    </r>
    <phoneticPr fontId="2" type="noConversion"/>
  </si>
  <si>
    <t>S475</t>
    <phoneticPr fontId="2" type="noConversion"/>
  </si>
  <si>
    <t>전일 ISSUE 사항(04일)</t>
    <phoneticPr fontId="2" type="noConversion"/>
  </si>
  <si>
    <t>발주분양산-&gt;찍힘수리</t>
    <phoneticPr fontId="2" type="noConversion"/>
  </si>
  <si>
    <t xml:space="preserve">테스트 </t>
    <phoneticPr fontId="2" type="noConversion"/>
  </si>
  <si>
    <t>당일 진행 사항(05일)</t>
    <phoneticPr fontId="2" type="noConversion"/>
  </si>
  <si>
    <t>AMB0114H-JRR-R1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</si>
  <si>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</si>
  <si>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</si>
  <si>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</si>
  <si>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2019년 10월 05일 일일생산현황</t>
    </r>
    <r>
      <rPr>
        <b/>
        <sz val="14"/>
        <color indexed="8"/>
        <rFont val="굴림체"/>
        <family val="3"/>
        <charset val="129"/>
      </rPr>
      <t>(06일 09시 현재)</t>
    </r>
    <phoneticPr fontId="2" type="noConversion"/>
  </si>
  <si>
    <t>전일 ISSUE 사항(05일)</t>
    <phoneticPr fontId="2" type="noConversion"/>
  </si>
  <si>
    <t>발주분양산-&gt;상측뜯김2회수리</t>
    <phoneticPr fontId="2" type="noConversion"/>
  </si>
  <si>
    <t>당일 진행 사항(07일)</t>
    <phoneticPr fontId="2" type="noConversion"/>
  </si>
  <si>
    <t>SHAFT</t>
    <phoneticPr fontId="2" type="noConversion"/>
  </si>
  <si>
    <t>KR6197-06KA</t>
    <phoneticPr fontId="2" type="noConversion"/>
  </si>
  <si>
    <t>SAMPLE 진행 사항(05일)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</si>
  <si>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</si>
  <si>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</si>
  <si>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t>KR6197-D475PA</t>
    <phoneticPr fontId="2" type="noConversion"/>
  </si>
  <si>
    <t>메카텍</t>
    <phoneticPr fontId="2" type="noConversion"/>
  </si>
  <si>
    <t>공용LEVER</t>
    <phoneticPr fontId="2" type="noConversion"/>
  </si>
  <si>
    <t>AMB0341A-KAA-R6</t>
    <phoneticPr fontId="2" type="noConversion"/>
  </si>
  <si>
    <t>LATCH PLATE</t>
    <phoneticPr fontId="2" type="noConversion"/>
  </si>
  <si>
    <t>AMB09E8A-KAA-R1</t>
    <phoneticPr fontId="2" type="noConversion"/>
  </si>
  <si>
    <t>JD4901 N/P</t>
    <phoneticPr fontId="2" type="noConversion"/>
  </si>
  <si>
    <t>72P</t>
    <phoneticPr fontId="2" type="noConversion"/>
  </si>
  <si>
    <t>전일 ISSUE 사항(07일)</t>
    <phoneticPr fontId="2" type="noConversion"/>
  </si>
  <si>
    <t>3</t>
    <phoneticPr fontId="2" type="noConversion"/>
  </si>
  <si>
    <t>코아파손정지</t>
    <phoneticPr fontId="2" type="noConversion"/>
  </si>
  <si>
    <t>11</t>
    <phoneticPr fontId="2" type="noConversion"/>
  </si>
  <si>
    <t>L/P</t>
    <phoneticPr fontId="2" type="noConversion"/>
  </si>
  <si>
    <t>당일 진행 사항(08일)</t>
    <phoneticPr fontId="2" type="noConversion"/>
  </si>
  <si>
    <t>LEVER BRACKET</t>
    <phoneticPr fontId="2" type="noConversion"/>
  </si>
  <si>
    <t>F/A</t>
    <phoneticPr fontId="2" type="noConversion"/>
  </si>
  <si>
    <t>AMB20D7A-KAA-R1</t>
    <phoneticPr fontId="2" type="noConversion"/>
  </si>
  <si>
    <t>SAMPLE 진행 사항(07일)</t>
    <phoneticPr fontId="2" type="noConversion"/>
  </si>
  <si>
    <t>K-JR01936-M01AXX</t>
    <phoneticPr fontId="2" type="noConversion"/>
  </si>
  <si>
    <t>CLIP</t>
    <phoneticPr fontId="2" type="noConversion"/>
  </si>
  <si>
    <t>K-JR01936-G01AXX</t>
    <phoneticPr fontId="2" type="noConversion"/>
  </si>
  <si>
    <t>SGF2030</t>
    <phoneticPr fontId="2" type="noConversion"/>
  </si>
  <si>
    <t>FLOAT</t>
    <phoneticPr fontId="2" type="noConversion"/>
  </si>
  <si>
    <t>K-JR01936-A153AXX</t>
    <phoneticPr fontId="2" type="noConversion"/>
  </si>
  <si>
    <t>상측박힘2회진행 작업안됨</t>
    <phoneticPr fontId="2" type="noConversion"/>
  </si>
  <si>
    <t>K-JR01936-L01AXX</t>
    <phoneticPr fontId="2" type="noConversion"/>
  </si>
  <si>
    <t>AMB20D5A-KAA-R1</t>
    <phoneticPr fontId="2" type="noConversion"/>
  </si>
  <si>
    <t>요청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</si>
  <si>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</si>
  <si>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</si>
  <si>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2019년 10월 07일 일일생산현황</t>
    </r>
    <r>
      <rPr>
        <b/>
        <sz val="14"/>
        <color indexed="8"/>
        <rFont val="굴림체"/>
        <family val="3"/>
        <charset val="129"/>
      </rPr>
      <t>(08일 09시 현재)</t>
    </r>
    <phoneticPr fontId="2" type="noConversion"/>
  </si>
  <si>
    <r>
      <t>2019년 10월 08일 일일생산현황</t>
    </r>
    <r>
      <rPr>
        <b/>
        <sz val="14"/>
        <color indexed="8"/>
        <rFont val="굴림체"/>
        <family val="3"/>
        <charset val="129"/>
      </rPr>
      <t>(09일 09시 현재)</t>
    </r>
    <phoneticPr fontId="2" type="noConversion"/>
  </si>
  <si>
    <t>TMSP</t>
    <phoneticPr fontId="2" type="noConversion"/>
  </si>
  <si>
    <t>WING</t>
    <phoneticPr fontId="2" type="noConversion"/>
  </si>
  <si>
    <t>PC W/T</t>
    <phoneticPr fontId="2" type="noConversion"/>
  </si>
  <si>
    <t>AMB20D7A-KAA-R2</t>
    <phoneticPr fontId="2" type="noConversion"/>
  </si>
  <si>
    <t>전일 ISSUE 사항(08일)</t>
    <phoneticPr fontId="2" type="noConversion"/>
  </si>
  <si>
    <t>발주분양산-&gt;슬라이드뜯김정지</t>
    <phoneticPr fontId="2" type="noConversion"/>
  </si>
  <si>
    <t>15</t>
    <phoneticPr fontId="2" type="noConversion"/>
  </si>
  <si>
    <t>당일 진행 사항(09일)</t>
    <phoneticPr fontId="2" type="noConversion"/>
  </si>
  <si>
    <t>KR6404DA436YA</t>
    <phoneticPr fontId="2" type="noConversion"/>
  </si>
  <si>
    <t>AMB0352A-KAA-R1</t>
    <phoneticPr fontId="2" type="noConversion"/>
  </si>
  <si>
    <t>AMB0173A-KAA-R1</t>
    <phoneticPr fontId="2" type="noConversion"/>
  </si>
  <si>
    <t>AMB09E7A-KAA-R1</t>
    <phoneticPr fontId="2" type="noConversion"/>
  </si>
  <si>
    <t>KR6197AB841CB</t>
    <phoneticPr fontId="2" type="noConversion"/>
  </si>
  <si>
    <t>SAMPLE 진행 사항(08일)</t>
    <phoneticPr fontId="2" type="noConversion"/>
  </si>
  <si>
    <t>K-JR01936-F153AXX</t>
    <phoneticPr fontId="2" type="noConversion"/>
  </si>
  <si>
    <t>상측박힘2회진행</t>
    <phoneticPr fontId="2" type="noConversion"/>
  </si>
  <si>
    <t>K-JR01936-B153AXX</t>
    <phoneticPr fontId="2" type="noConversion"/>
  </si>
  <si>
    <t>K-JR01936-C01AXX</t>
    <phoneticPr fontId="2" type="noConversion"/>
  </si>
  <si>
    <t>K-JR01936-E01AXX</t>
    <phoneticPr fontId="2" type="noConversion"/>
  </si>
  <si>
    <t>SGF2030TC</t>
    <phoneticPr fontId="2" type="noConversion"/>
  </si>
  <si>
    <t>뜯김</t>
    <phoneticPr fontId="2" type="noConversion"/>
  </si>
  <si>
    <t>HOLDER</t>
    <phoneticPr fontId="2" type="noConversion"/>
  </si>
  <si>
    <t>K-JR01936-D153AXX</t>
    <phoneticPr fontId="2" type="noConversion"/>
  </si>
  <si>
    <t>금형 수리 내역(08일)</t>
    <phoneticPr fontId="2" type="noConversion"/>
  </si>
  <si>
    <t>설비 점검 내역(08일)</t>
    <phoneticPr fontId="2" type="noConversion"/>
  </si>
  <si>
    <r>
      <t>2019년 10월 09일 일일생산현황</t>
    </r>
    <r>
      <rPr>
        <b/>
        <sz val="14"/>
        <color indexed="8"/>
        <rFont val="굴림체"/>
        <family val="3"/>
        <charset val="129"/>
      </rPr>
      <t>(10일 09시 현재)</t>
    </r>
    <phoneticPr fontId="2" type="noConversion"/>
  </si>
  <si>
    <t>전일 ISSUE 사항(09일)</t>
    <phoneticPr fontId="2" type="noConversion"/>
  </si>
  <si>
    <t>발주분양산-&gt;코아파손2회정지</t>
    <phoneticPr fontId="2" type="noConversion"/>
  </si>
  <si>
    <t>수리후양산-&gt;밀핀파손정지</t>
    <phoneticPr fontId="2" type="noConversion"/>
  </si>
  <si>
    <t>치수NG정지</t>
    <phoneticPr fontId="2" type="noConversion"/>
  </si>
  <si>
    <t>발주분양산-&gt;상측박힘수리</t>
    <phoneticPr fontId="2" type="noConversion"/>
  </si>
  <si>
    <t>당일 진행 사항(10일)</t>
    <phoneticPr fontId="2" type="noConversion"/>
  </si>
  <si>
    <t>HDB08-M01A4</t>
    <phoneticPr fontId="2" type="noConversion"/>
  </si>
  <si>
    <t>HSB08-M01A3</t>
    <phoneticPr fontId="2" type="noConversion"/>
  </si>
  <si>
    <t>AMB0467A-KAA-R1</t>
    <phoneticPr fontId="2" type="noConversion"/>
  </si>
  <si>
    <t>LEAD GUIDE</t>
    <phoneticPr fontId="2" type="noConversion"/>
  </si>
  <si>
    <t>SAMPLE 진행 사항(09일)</t>
    <phoneticPr fontId="2" type="noConversion"/>
  </si>
  <si>
    <t>GRYPPER</t>
    <phoneticPr fontId="2" type="noConversion"/>
  </si>
  <si>
    <t>AMB0179A-KAA-R1</t>
    <phoneticPr fontId="2" type="noConversion"/>
  </si>
  <si>
    <t>PA9T,E130i</t>
    <phoneticPr fontId="2" type="noConversion"/>
  </si>
  <si>
    <t>원재료</t>
    <phoneticPr fontId="2" type="noConversion"/>
  </si>
  <si>
    <t>각 50EA</t>
    <phoneticPr fontId="2" type="noConversion"/>
  </si>
  <si>
    <t>K-JR01936-H153AXX</t>
    <phoneticPr fontId="2" type="noConversion"/>
  </si>
  <si>
    <t>K-JR01933-B01AZB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</si>
  <si>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</si>
  <si>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</si>
  <si>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r>
      <t>2019년 10월 10일 일일생산현황</t>
    </r>
    <r>
      <rPr>
        <b/>
        <sz val="14"/>
        <color indexed="8"/>
        <rFont val="굴림체"/>
        <family val="3"/>
        <charset val="129"/>
      </rPr>
      <t>(11일 09시 현재)</t>
    </r>
    <phoneticPr fontId="2" type="noConversion"/>
  </si>
  <si>
    <t>전일 ISSUE 사항(10일)</t>
    <phoneticPr fontId="2" type="noConversion"/>
  </si>
  <si>
    <t>수리후양산-&gt;코아파손2회-&gt;뜯김3회정지</t>
    <phoneticPr fontId="2" type="noConversion"/>
  </si>
  <si>
    <t>수리후양산-&gt;밀핀세척후양산</t>
    <phoneticPr fontId="2" type="noConversion"/>
  </si>
  <si>
    <t>발주분양산-&gt;BURR정지</t>
    <phoneticPr fontId="2" type="noConversion"/>
  </si>
  <si>
    <t>당일 진행 사항(11일)</t>
    <phoneticPr fontId="2" type="noConversion"/>
  </si>
  <si>
    <t>BURR정지</t>
    <phoneticPr fontId="2" type="noConversion"/>
  </si>
  <si>
    <t>SAMPLE 진행 사항(10일)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</si>
  <si>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</si>
  <si>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</si>
  <si>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r>
      <t>2019년 10월 11일 일일생산현황</t>
    </r>
    <r>
      <rPr>
        <b/>
        <sz val="14"/>
        <color indexed="8"/>
        <rFont val="굴림체"/>
        <family val="3"/>
        <charset val="129"/>
      </rPr>
      <t>(12일 09시 현재)</t>
    </r>
    <phoneticPr fontId="2" type="noConversion"/>
  </si>
  <si>
    <t>38P</t>
    <phoneticPr fontId="2" type="noConversion"/>
  </si>
  <si>
    <t>AM0164A-A</t>
    <phoneticPr fontId="2" type="noConversion"/>
  </si>
  <si>
    <t>E PR</t>
    <phoneticPr fontId="2" type="noConversion"/>
  </si>
  <si>
    <t>24P</t>
    <phoneticPr fontId="2" type="noConversion"/>
  </si>
  <si>
    <t>전일 ISSUE 사항(11일)</t>
    <phoneticPr fontId="2" type="noConversion"/>
  </si>
  <si>
    <t>수리후양산-&gt;코아파손6회정지</t>
    <phoneticPr fontId="2" type="noConversion"/>
  </si>
  <si>
    <t>당일 진행 사항(12일)</t>
    <phoneticPr fontId="2" type="noConversion"/>
  </si>
  <si>
    <t>SAMPLE 진행 사항(11일)</t>
    <phoneticPr fontId="2" type="noConversion"/>
  </si>
  <si>
    <t>HSF05-M01B1(증)</t>
    <phoneticPr fontId="2" type="noConversion"/>
  </si>
  <si>
    <t>증작</t>
    <phoneticPr fontId="2" type="noConversion"/>
  </si>
  <si>
    <t>HSF05-M04B1(증)</t>
    <phoneticPr fontId="2" type="noConversion"/>
  </si>
  <si>
    <t>금형 수리 내역(11일)</t>
    <phoneticPr fontId="2" type="noConversion"/>
  </si>
  <si>
    <t>설비 점검 내역(11일)</t>
    <phoneticPr fontId="2" type="noConversion"/>
  </si>
  <si>
    <r>
      <t>2019년 10월 12일 일일생산현황</t>
    </r>
    <r>
      <rPr>
        <b/>
        <sz val="14"/>
        <color indexed="8"/>
        <rFont val="굴림체"/>
        <family val="3"/>
        <charset val="129"/>
      </rPr>
      <t>(13일 09시 현재)</t>
    </r>
    <phoneticPr fontId="2" type="noConversion"/>
  </si>
  <si>
    <t>수리후양산-&gt;코아파손9회정지</t>
    <phoneticPr fontId="2" type="noConversion"/>
  </si>
  <si>
    <t>수리후양산-&gt;BURR-&gt;코아파손2회정지</t>
    <phoneticPr fontId="2" type="noConversion"/>
  </si>
  <si>
    <t>전일 ISSUE 사항(12일)</t>
    <phoneticPr fontId="2" type="noConversion"/>
  </si>
  <si>
    <t>당일 진행 사항(13일)</t>
    <phoneticPr fontId="2" type="noConversion"/>
  </si>
  <si>
    <t>SAMPLE 진행 사항(12일)</t>
    <phoneticPr fontId="2" type="noConversion"/>
  </si>
  <si>
    <t>HSF05-M02B1(증)</t>
    <phoneticPr fontId="2" type="noConversion"/>
  </si>
  <si>
    <t>오조립 2회진행</t>
    <phoneticPr fontId="2" type="noConversion"/>
  </si>
  <si>
    <t>금형 수리 내역(12일)</t>
    <phoneticPr fontId="2" type="noConversion"/>
  </si>
  <si>
    <t>설비 점검 내역(12일)</t>
    <phoneticPr fontId="2" type="noConversion"/>
  </si>
  <si>
    <r>
      <t>2019년 10월 13일(주간) 일일생산현황</t>
    </r>
    <r>
      <rPr>
        <b/>
        <sz val="14"/>
        <color indexed="8"/>
        <rFont val="굴림체"/>
        <family val="3"/>
        <charset val="129"/>
      </rPr>
      <t>(14일 09시 현재)</t>
    </r>
    <phoneticPr fontId="2" type="noConversion"/>
  </si>
  <si>
    <t>전일 ISSUE 사항(13일)</t>
    <phoneticPr fontId="2" type="noConversion"/>
  </si>
  <si>
    <t>수리후양산-&gt;코아파손4회정지</t>
    <phoneticPr fontId="2" type="noConversion"/>
  </si>
  <si>
    <t>발주분양산-&gt;뜯김정지</t>
    <phoneticPr fontId="2" type="noConversion"/>
  </si>
  <si>
    <t>당일 진행 사항(14일)</t>
    <phoneticPr fontId="2" type="noConversion"/>
  </si>
  <si>
    <t>AMM0853A-KAA-R1</t>
    <phoneticPr fontId="2" type="noConversion"/>
  </si>
  <si>
    <t>3159019-01</t>
    <phoneticPr fontId="2" type="noConversion"/>
  </si>
  <si>
    <t>SAMPLE 진행 사항(13일)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</si>
  <si>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</si>
  <si>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</si>
  <si>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2019년 10월 14일 일일생산현황</t>
    </r>
    <r>
      <rPr>
        <b/>
        <sz val="14"/>
        <color indexed="8"/>
        <rFont val="굴림체"/>
        <family val="3"/>
        <charset val="129"/>
      </rPr>
      <t>(15일 09시 현재)</t>
    </r>
    <phoneticPr fontId="2" type="noConversion"/>
  </si>
  <si>
    <t>HSF05-M04B1</t>
    <phoneticPr fontId="2" type="noConversion"/>
  </si>
  <si>
    <t>HSF05-M05B1</t>
    <phoneticPr fontId="2" type="noConversion"/>
  </si>
  <si>
    <t>HSF05-M01B1</t>
    <phoneticPr fontId="2" type="noConversion"/>
  </si>
  <si>
    <t>K-JR01928-C01AWA</t>
    <phoneticPr fontId="2" type="noConversion"/>
  </si>
  <si>
    <t xml:space="preserve">SGF2030 </t>
    <phoneticPr fontId="2" type="noConversion"/>
  </si>
  <si>
    <t>전일 ISSUE 사항(14일)</t>
    <phoneticPr fontId="2" type="noConversion"/>
  </si>
  <si>
    <t>수리후양산-&gt;코아파손3회정지</t>
    <phoneticPr fontId="2" type="noConversion"/>
  </si>
  <si>
    <t>BURR수리</t>
    <phoneticPr fontId="2" type="noConversion"/>
  </si>
  <si>
    <t>발주분양산-&gt;뜯김수리</t>
    <phoneticPr fontId="2" type="noConversion"/>
  </si>
  <si>
    <t>당일 진행 사항(15일)</t>
    <phoneticPr fontId="2" type="noConversion"/>
  </si>
  <si>
    <t>AMB0156A-KAA-R4</t>
    <phoneticPr fontId="2" type="noConversion"/>
  </si>
  <si>
    <t>K-JR01928-E01AWA</t>
    <phoneticPr fontId="2" type="noConversion"/>
  </si>
  <si>
    <t>SAMPLE 진행 사항(14일)</t>
    <phoneticPr fontId="2" type="noConversion"/>
  </si>
  <si>
    <t>HSF05-M02B1</t>
    <phoneticPr fontId="2" type="noConversion"/>
  </si>
  <si>
    <t>양산테스트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</si>
  <si>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</si>
  <si>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</si>
  <si>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2019년 10월 15일 일일생산현황</t>
    </r>
    <r>
      <rPr>
        <b/>
        <sz val="14"/>
        <color indexed="8"/>
        <rFont val="굴림체"/>
        <family val="3"/>
        <charset val="129"/>
      </rPr>
      <t>(16일 09시 현재)</t>
    </r>
    <phoneticPr fontId="2" type="noConversion"/>
  </si>
  <si>
    <t>COVER HINGE</t>
    <phoneticPr fontId="2" type="noConversion"/>
  </si>
  <si>
    <t>전일 ISSUE 사항(15일)</t>
    <phoneticPr fontId="2" type="noConversion"/>
  </si>
  <si>
    <t>AMB0156A-KAA-R1</t>
    <phoneticPr fontId="2" type="noConversion"/>
  </si>
  <si>
    <t>발주분양산-&gt;치수수정</t>
    <phoneticPr fontId="2" type="noConversion"/>
  </si>
  <si>
    <t>당일 진행 사항(16일)</t>
    <phoneticPr fontId="2" type="noConversion"/>
  </si>
  <si>
    <t>KR6190-E02TB</t>
    <phoneticPr fontId="2" type="noConversion"/>
  </si>
  <si>
    <t>AMB1917A-KAA-R1</t>
    <phoneticPr fontId="2" type="noConversion"/>
  </si>
  <si>
    <t>ACTUATOR</t>
    <phoneticPr fontId="2" type="noConversion"/>
  </si>
  <si>
    <t>SAMPLE 진행 사항(15일)</t>
    <phoneticPr fontId="2" type="noConversion"/>
  </si>
  <si>
    <t>수리</t>
    <phoneticPr fontId="2" type="noConversion"/>
  </si>
  <si>
    <t>K-JR01933-B01AXX</t>
    <phoneticPr fontId="2" type="noConversion"/>
  </si>
  <si>
    <t>K-JR01933-C01AXX</t>
    <phoneticPr fontId="2" type="noConversion"/>
  </si>
  <si>
    <t>SGF2051</t>
    <phoneticPr fontId="2" type="noConversion"/>
  </si>
  <si>
    <t>뜯김2회진행</t>
    <phoneticPr fontId="2" type="noConversion"/>
  </si>
  <si>
    <t>KR6170-GM436QA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</si>
  <si>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</si>
  <si>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</si>
  <si>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2019년 10월 16일 일일생산현황</t>
    </r>
    <r>
      <rPr>
        <b/>
        <sz val="14"/>
        <color indexed="8"/>
        <rFont val="굴림체"/>
        <family val="3"/>
        <charset val="129"/>
      </rPr>
      <t>(17일 09시 현재)</t>
    </r>
    <phoneticPr fontId="2" type="noConversion"/>
  </si>
  <si>
    <t>GUIDE</t>
    <phoneticPr fontId="2" type="noConversion"/>
  </si>
  <si>
    <t>전일 ISSUE 사항(16일)</t>
    <phoneticPr fontId="2" type="noConversion"/>
  </si>
  <si>
    <t>발주분양산-&gt;BURR2회정지</t>
    <phoneticPr fontId="2" type="noConversion"/>
  </si>
  <si>
    <t>3159016</t>
    <phoneticPr fontId="2" type="noConversion"/>
  </si>
  <si>
    <t>수리후양산-&gt;미성형정지</t>
    <phoneticPr fontId="2" type="noConversion"/>
  </si>
  <si>
    <t>당일 진행 사항(17일)</t>
    <phoneticPr fontId="2" type="noConversion"/>
  </si>
  <si>
    <t>SAMPLE 진행 사항(16일)</t>
    <phoneticPr fontId="2" type="noConversion"/>
  </si>
  <si>
    <t>AMB0167A-KAA-R3</t>
    <phoneticPr fontId="2" type="noConversion"/>
  </si>
  <si>
    <t>미성형작업안됨</t>
    <phoneticPr fontId="2" type="noConversion"/>
  </si>
  <si>
    <t>AMB1926A-KAA-R3</t>
    <phoneticPr fontId="2" type="noConversion"/>
  </si>
  <si>
    <t>SGF2030,SGF2050,JD4901</t>
    <phoneticPr fontId="2" type="noConversion"/>
  </si>
  <si>
    <t>AMB1927C-KAA-R1(1C)</t>
    <phoneticPr fontId="2" type="noConversion"/>
  </si>
  <si>
    <t>게이트뚫림 2회진행</t>
    <phoneticPr fontId="2" type="noConversion"/>
  </si>
  <si>
    <t>AMB0168C-KAA-R1(1C)</t>
    <phoneticPr fontId="2" type="noConversion"/>
  </si>
  <si>
    <t>LG35</t>
    <phoneticPr fontId="2" type="noConversion"/>
  </si>
  <si>
    <t>게이트뚫림 3회진행</t>
    <phoneticPr fontId="2" type="noConversion"/>
  </si>
  <si>
    <t>AMB07T4B-KAA-R1(4C)</t>
    <phoneticPr fontId="2" type="noConversion"/>
  </si>
  <si>
    <t>KR6197-GN345XX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</si>
  <si>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</si>
  <si>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</si>
  <si>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2019년 10월 17일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</si>
  <si>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전일 ISSUE 사항(17일)</t>
    <phoneticPr fontId="2" type="noConversion"/>
  </si>
  <si>
    <t>수리후양산-&gt;하측박힘정지(이형제이상)</t>
    <phoneticPr fontId="2" type="noConversion"/>
  </si>
  <si>
    <t>이물제거 3회정지</t>
    <phoneticPr fontId="2" type="noConversion"/>
  </si>
  <si>
    <t>금형이상수리2회정지</t>
    <phoneticPr fontId="2" type="noConversion"/>
  </si>
  <si>
    <t>당일 진행 사항(18일)</t>
    <phoneticPr fontId="2" type="noConversion"/>
  </si>
  <si>
    <t>SAMPLE 진행 사항(17일)</t>
    <phoneticPr fontId="2" type="noConversion"/>
  </si>
  <si>
    <t>KR6197FA345YA</t>
    <phoneticPr fontId="2" type="noConversion"/>
  </si>
  <si>
    <t>AMB0349A-KAA-R1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</si>
  <si>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</si>
  <si>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</si>
  <si>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2019년 10월 18일 일일생산현황</t>
    </r>
    <r>
      <rPr>
        <b/>
        <sz val="14"/>
        <color indexed="8"/>
        <rFont val="굴림체"/>
        <family val="3"/>
        <charset val="129"/>
      </rPr>
      <t>(18일 09시 현재)</t>
    </r>
    <phoneticPr fontId="2" type="noConversion"/>
  </si>
  <si>
    <t>K-JR01933-C01ALA</t>
    <phoneticPr fontId="2" type="noConversion"/>
  </si>
  <si>
    <t>전일 ISSUE 사항(18일)</t>
    <phoneticPr fontId="2" type="noConversion"/>
  </si>
  <si>
    <t>가스-&gt;뜯김수리-&gt;설비이상12호기이동</t>
    <phoneticPr fontId="2" type="noConversion"/>
  </si>
  <si>
    <t>슬라이드뜯김수리</t>
    <phoneticPr fontId="2" type="noConversion"/>
  </si>
  <si>
    <t>당일 진행 사항(19일)</t>
    <phoneticPr fontId="2" type="noConversion"/>
  </si>
  <si>
    <t>발주분양산-&gt;측면뜯김</t>
    <phoneticPr fontId="2" type="noConversion"/>
  </si>
  <si>
    <t>NP620-464-001#CV</t>
    <phoneticPr fontId="2" type="noConversion"/>
  </si>
  <si>
    <t>SAMPLE 진행 사항(18일)</t>
    <phoneticPr fontId="2" type="noConversion"/>
  </si>
  <si>
    <t>승인용</t>
    <phoneticPr fontId="2" type="noConversion"/>
  </si>
  <si>
    <t>AMB1926A-KAA-R1</t>
    <phoneticPr fontId="2" type="noConversion"/>
  </si>
  <si>
    <t>수정 2회작업</t>
    <phoneticPr fontId="2" type="noConversion"/>
  </si>
  <si>
    <t>L/G</t>
    <phoneticPr fontId="2" type="noConversion"/>
  </si>
  <si>
    <t>AMB0463A-KAA-R1</t>
    <phoneticPr fontId="2" type="noConversion"/>
  </si>
  <si>
    <t>금형 수리 내역(18일)</t>
    <phoneticPr fontId="2" type="noConversion"/>
  </si>
  <si>
    <t>설비 점검 내역(18일)</t>
    <phoneticPr fontId="2" type="noConversion"/>
  </si>
  <si>
    <r>
      <t>2019년 10월 19일 일일생산현황</t>
    </r>
    <r>
      <rPr>
        <b/>
        <sz val="14"/>
        <color indexed="8"/>
        <rFont val="굴림체"/>
        <family val="3"/>
        <charset val="129"/>
      </rPr>
      <t>(20일 09시 현재)</t>
    </r>
    <phoneticPr fontId="2" type="noConversion"/>
  </si>
  <si>
    <t>NP620-644-001#CV</t>
    <phoneticPr fontId="2" type="noConversion"/>
  </si>
  <si>
    <t>전일 ISSUE 사항(19일)</t>
    <phoneticPr fontId="2" type="noConversion"/>
  </si>
  <si>
    <t>뜯김수리-&gt;게이트파손정지</t>
    <phoneticPr fontId="2" type="noConversion"/>
  </si>
  <si>
    <t>금형안닫힘정지</t>
    <phoneticPr fontId="2" type="noConversion"/>
  </si>
  <si>
    <t>당일 진행 사항(20일)</t>
    <phoneticPr fontId="2" type="noConversion"/>
  </si>
  <si>
    <t>K-JR01928-G01AWA</t>
    <phoneticPr fontId="2" type="noConversion"/>
  </si>
  <si>
    <t>금형안닫힘수리</t>
    <phoneticPr fontId="2" type="noConversion"/>
  </si>
  <si>
    <t>SAMPLE 진행 사항(19일)</t>
    <phoneticPr fontId="2" type="noConversion"/>
  </si>
  <si>
    <t>AMB0236A-KAA-R1</t>
    <phoneticPr fontId="2" type="noConversion"/>
  </si>
  <si>
    <t>형상이상</t>
    <phoneticPr fontId="2" type="noConversion"/>
  </si>
  <si>
    <t>금형 수리 내역(19일)</t>
    <phoneticPr fontId="2" type="noConversion"/>
  </si>
  <si>
    <t>설비 점검 내역(19일)</t>
    <phoneticPr fontId="2" type="noConversion"/>
  </si>
  <si>
    <r>
      <t>2019년 10월 20일(주간) 일일생산현황</t>
    </r>
    <r>
      <rPr>
        <b/>
        <sz val="14"/>
        <color indexed="8"/>
        <rFont val="굴림체"/>
        <family val="3"/>
        <charset val="129"/>
      </rPr>
      <t>(21일 09시 현재)</t>
    </r>
    <phoneticPr fontId="2" type="noConversion"/>
  </si>
  <si>
    <t>전일 ISSUE 사항(20일)</t>
    <phoneticPr fontId="2" type="noConversion"/>
  </si>
  <si>
    <t>MCS</t>
    <phoneticPr fontId="2" type="noConversion"/>
  </si>
  <si>
    <t>11</t>
    <phoneticPr fontId="2" type="noConversion"/>
  </si>
  <si>
    <t>BASE</t>
    <phoneticPr fontId="2" type="noConversion"/>
  </si>
  <si>
    <t>당일 진행 사항(21일)</t>
    <phoneticPr fontId="2" type="noConversion"/>
  </si>
  <si>
    <t>HDB0708-B1</t>
    <phoneticPr fontId="2" type="noConversion"/>
  </si>
  <si>
    <t>HDB0708-S2</t>
    <phoneticPr fontId="2" type="noConversion"/>
  </si>
  <si>
    <t>STOPPER</t>
    <phoneticPr fontId="2" type="noConversion"/>
  </si>
  <si>
    <t>HDB0708-T4</t>
    <phoneticPr fontId="2" type="noConversion"/>
  </si>
  <si>
    <t>SAMPLE 진행 사항(20일)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</si>
  <si>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</si>
  <si>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</si>
  <si>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2019년 10월 21일 일일생산현황</t>
    </r>
    <r>
      <rPr>
        <b/>
        <sz val="14"/>
        <color indexed="8"/>
        <rFont val="굴림체"/>
        <family val="3"/>
        <charset val="129"/>
      </rPr>
      <t>(22일 09시 현재)</t>
    </r>
    <phoneticPr fontId="2" type="noConversion"/>
  </si>
  <si>
    <t>AM0148E-K-R2</t>
    <phoneticPr fontId="2" type="noConversion"/>
  </si>
  <si>
    <t>NP599-290-002#SP-1/2</t>
    <phoneticPr fontId="2" type="noConversion"/>
  </si>
  <si>
    <t>2*1</t>
    <phoneticPr fontId="2" type="noConversion"/>
  </si>
  <si>
    <t>전일 ISSUE 사항(21일)</t>
    <phoneticPr fontId="2" type="noConversion"/>
  </si>
  <si>
    <t>수리후양산-&gt;코아파손5회정지</t>
    <phoneticPr fontId="2" type="noConversion"/>
  </si>
  <si>
    <t>MCS</t>
    <phoneticPr fontId="2" type="noConversion"/>
  </si>
  <si>
    <t>3</t>
    <phoneticPr fontId="2" type="noConversion"/>
  </si>
  <si>
    <t>BODY</t>
    <phoneticPr fontId="2" type="noConversion"/>
  </si>
  <si>
    <t>AM0148E-K-R2</t>
    <phoneticPr fontId="2" type="noConversion"/>
  </si>
  <si>
    <t>13</t>
    <phoneticPr fontId="2" type="noConversion"/>
  </si>
  <si>
    <t>ACTUATOR</t>
    <phoneticPr fontId="2" type="noConversion"/>
  </si>
  <si>
    <t>AMB1917A-KAA-R2</t>
    <phoneticPr fontId="2" type="noConversion"/>
  </si>
  <si>
    <t>DI</t>
    <phoneticPr fontId="2" type="noConversion"/>
  </si>
  <si>
    <t>15</t>
    <phoneticPr fontId="2" type="noConversion"/>
  </si>
  <si>
    <t>72P</t>
    <phoneticPr fontId="2" type="noConversion"/>
  </si>
  <si>
    <t>신형 발주분양산</t>
    <phoneticPr fontId="2" type="noConversion"/>
  </si>
  <si>
    <t>14</t>
    <phoneticPr fontId="2" type="noConversion"/>
  </si>
  <si>
    <t>BASE</t>
    <phoneticPr fontId="2" type="noConversion"/>
  </si>
  <si>
    <t>KR6414-B414UA</t>
    <phoneticPr fontId="2" type="noConversion"/>
  </si>
  <si>
    <t>당일 진행 사항(22일)</t>
    <phoneticPr fontId="2" type="noConversion"/>
  </si>
  <si>
    <t>AYE</t>
    <phoneticPr fontId="2" type="noConversion"/>
  </si>
  <si>
    <t>5</t>
    <phoneticPr fontId="2" type="noConversion"/>
  </si>
  <si>
    <t>SP</t>
    <phoneticPr fontId="2" type="noConversion"/>
  </si>
  <si>
    <t>NP599-290-002#SP-1/2</t>
    <phoneticPr fontId="2" type="noConversion"/>
  </si>
  <si>
    <t>발주분양산-&gt;코아파손정지</t>
    <phoneticPr fontId="2" type="noConversion"/>
  </si>
  <si>
    <t>발주분양산</t>
    <phoneticPr fontId="2" type="noConversion"/>
  </si>
  <si>
    <t>AMB0167A-KAA-R3</t>
    <phoneticPr fontId="2" type="noConversion"/>
  </si>
  <si>
    <t>7</t>
    <phoneticPr fontId="2" type="noConversion"/>
  </si>
  <si>
    <t>SAMPLE 진행 사항(21일)</t>
    <phoneticPr fontId="2" type="noConversion"/>
  </si>
  <si>
    <t>SGF2050,2041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</si>
  <si>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</si>
  <si>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</si>
  <si>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2019년 10월 22일 일일생산현황</t>
    </r>
    <r>
      <rPr>
        <b/>
        <sz val="14"/>
        <color indexed="8"/>
        <rFont val="굴림체"/>
        <family val="3"/>
        <charset val="129"/>
      </rPr>
      <t>(23일 09시 현재)</t>
    </r>
    <phoneticPr fontId="2" type="noConversion"/>
  </si>
  <si>
    <t>AMB0168C-KAA-R1</t>
    <phoneticPr fontId="2" type="noConversion"/>
  </si>
  <si>
    <t>전일 ISSUE 사항(22일)</t>
    <phoneticPr fontId="2" type="noConversion"/>
  </si>
  <si>
    <t>수리후양산-&gt;가스정지</t>
    <phoneticPr fontId="2" type="noConversion"/>
  </si>
  <si>
    <t>당일 진행 사항(23일)</t>
    <phoneticPr fontId="2" type="noConversion"/>
  </si>
  <si>
    <t>AMB07T4B-KAA-R1</t>
    <phoneticPr fontId="2" type="noConversion"/>
  </si>
  <si>
    <t>SAMPLE 진행 사항(22일)</t>
    <phoneticPr fontId="2" type="noConversion"/>
  </si>
  <si>
    <t>금형 수리 내역(22일)</t>
    <phoneticPr fontId="2" type="noConversion"/>
  </si>
  <si>
    <t>설비 점검 내역(22일)</t>
    <phoneticPr fontId="2" type="noConversion"/>
  </si>
  <si>
    <r>
      <t>2019년 10월 23일 일일생산현황</t>
    </r>
    <r>
      <rPr>
        <b/>
        <sz val="14"/>
        <color indexed="8"/>
        <rFont val="굴림체"/>
        <family val="3"/>
        <charset val="129"/>
      </rPr>
      <t>(24일 09시 현재)</t>
    </r>
    <phoneticPr fontId="2" type="noConversion"/>
  </si>
  <si>
    <t>AMB07T4B-KAA-R1</t>
    <phoneticPr fontId="2" type="noConversion"/>
  </si>
  <si>
    <t>AMB1927C-KAA-R1</t>
    <phoneticPr fontId="2" type="noConversion"/>
  </si>
  <si>
    <t>AMM0822A-KAB-R1</t>
    <phoneticPr fontId="2" type="noConversion"/>
  </si>
  <si>
    <t>전일 ISSUE 사항(23일)</t>
    <phoneticPr fontId="2" type="noConversion"/>
  </si>
  <si>
    <t>발주분양산-&gt;BURR2회수리-&gt;BURR정지</t>
    <phoneticPr fontId="2" type="noConversion"/>
  </si>
  <si>
    <t>AMB0167A-KAA-R3</t>
    <phoneticPr fontId="2" type="noConversion"/>
  </si>
  <si>
    <t>MCS</t>
    <phoneticPr fontId="2" type="noConversion"/>
  </si>
  <si>
    <t>7</t>
    <phoneticPr fontId="2" type="noConversion"/>
  </si>
  <si>
    <t>HDB0708-B1</t>
    <phoneticPr fontId="2" type="noConversion"/>
  </si>
  <si>
    <t>수리후양산-&gt;오조립정지</t>
    <phoneticPr fontId="2" type="noConversion"/>
  </si>
  <si>
    <t>8</t>
    <phoneticPr fontId="2" type="noConversion"/>
  </si>
  <si>
    <t>AMB0352A-KAA-R1</t>
    <phoneticPr fontId="2" type="noConversion"/>
  </si>
  <si>
    <t>AMB1927C-KAA-R1(1C)</t>
    <phoneticPr fontId="2" type="noConversion"/>
  </si>
  <si>
    <t>AMM0822A-KAB-R1</t>
    <phoneticPr fontId="2" type="noConversion"/>
  </si>
  <si>
    <t>11</t>
    <phoneticPr fontId="2" type="noConversion"/>
  </si>
  <si>
    <t>COVER</t>
    <phoneticPr fontId="2" type="noConversion"/>
  </si>
  <si>
    <t>13</t>
    <phoneticPr fontId="2" type="noConversion"/>
  </si>
  <si>
    <t>ACTUATOR</t>
    <phoneticPr fontId="2" type="noConversion"/>
  </si>
  <si>
    <t>12</t>
    <phoneticPr fontId="2" type="noConversion"/>
  </si>
  <si>
    <t>ADAPTER</t>
    <phoneticPr fontId="2" type="noConversion"/>
  </si>
  <si>
    <t>당일 진행 사항(24일)</t>
    <phoneticPr fontId="2" type="noConversion"/>
  </si>
  <si>
    <t>AMB1926A-KAA-R3</t>
    <phoneticPr fontId="2" type="noConversion"/>
  </si>
  <si>
    <t>AMB0236A-KAA-R1</t>
    <phoneticPr fontId="2" type="noConversion"/>
  </si>
  <si>
    <t>SAMPLE 진행 사항(23일)</t>
    <phoneticPr fontId="2" type="noConversion"/>
  </si>
  <si>
    <t>K-JR01928-B01AXX</t>
    <phoneticPr fontId="2" type="noConversion"/>
  </si>
  <si>
    <t>F/PLATE</t>
    <phoneticPr fontId="2" type="noConversion"/>
  </si>
  <si>
    <t>K-JR01936-A153AWA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</si>
  <si>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</si>
  <si>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</si>
  <si>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r>
      <t>2019년 10월 24일 일일생산현황</t>
    </r>
    <r>
      <rPr>
        <b/>
        <sz val="14"/>
        <color indexed="8"/>
        <rFont val="굴림체"/>
        <family val="3"/>
        <charset val="129"/>
      </rPr>
      <t>(25일 09시 현재)</t>
    </r>
    <phoneticPr fontId="2" type="noConversion"/>
  </si>
  <si>
    <t>NP599-290-002#LB</t>
    <phoneticPr fontId="2" type="noConversion"/>
  </si>
  <si>
    <t>전일 ISSUE 사항(24일)</t>
    <phoneticPr fontId="2" type="noConversion"/>
  </si>
  <si>
    <t>수리후양산-&gt;BURR3회수리-&gt;코아파손정지</t>
    <phoneticPr fontId="2" type="noConversion"/>
  </si>
  <si>
    <t>수리후양산-&gt;코아파손정지</t>
    <phoneticPr fontId="2" type="noConversion"/>
  </si>
  <si>
    <t>당일 진행 사항(25일)</t>
    <phoneticPr fontId="2" type="noConversion"/>
  </si>
  <si>
    <t>HDB0708-C3</t>
    <phoneticPr fontId="2" type="noConversion"/>
  </si>
  <si>
    <t>SAMPLE 진행 사항(24일)</t>
    <phoneticPr fontId="2" type="noConversion"/>
  </si>
  <si>
    <t>K-JR01936-M01ABA</t>
    <phoneticPr fontId="2" type="noConversion"/>
  </si>
  <si>
    <t>K-JR01936-G01AWA</t>
    <phoneticPr fontId="2" type="noConversion"/>
  </si>
  <si>
    <t>SGF2030</t>
    <phoneticPr fontId="2" type="noConversion"/>
  </si>
  <si>
    <t>K-JR01936-H153AXX</t>
    <phoneticPr fontId="2" type="noConversion"/>
  </si>
  <si>
    <t>SGF2033</t>
    <phoneticPr fontId="2" type="noConversion"/>
  </si>
  <si>
    <t>STOPPER</t>
    <phoneticPr fontId="2" type="noConversion"/>
  </si>
  <si>
    <t>K-JR01936-F153AXX</t>
    <phoneticPr fontId="2" type="noConversion"/>
  </si>
  <si>
    <t>LEAD GUIDE</t>
    <phoneticPr fontId="2" type="noConversion"/>
  </si>
  <si>
    <t>금형 수리 내역(24일)</t>
    <phoneticPr fontId="2" type="noConversion"/>
  </si>
  <si>
    <t>설비 점검 내역(24일)</t>
    <phoneticPr fontId="2" type="noConversion"/>
  </si>
  <si>
    <r>
      <t>2019년 10월 25일 일일생산현황</t>
    </r>
    <r>
      <rPr>
        <b/>
        <sz val="14"/>
        <color indexed="8"/>
        <rFont val="굴림체"/>
        <family val="3"/>
        <charset val="129"/>
      </rPr>
      <t>(26일 09시 현재)</t>
    </r>
    <phoneticPr fontId="2" type="noConversion"/>
  </si>
  <si>
    <t>AMB0236A-KAA-R2</t>
    <phoneticPr fontId="2" type="noConversion"/>
  </si>
  <si>
    <t>전일 ISSUE 사항(25일)</t>
    <phoneticPr fontId="2" type="noConversion"/>
  </si>
  <si>
    <t>발주분양산-&gt;코아파손수리</t>
    <phoneticPr fontId="2" type="noConversion"/>
  </si>
  <si>
    <t>수리후양산-&gt;BURR수리</t>
    <phoneticPr fontId="2" type="noConversion"/>
  </si>
  <si>
    <t>수리후양산-&gt;가스 2회정지</t>
    <phoneticPr fontId="2" type="noConversion"/>
  </si>
  <si>
    <t>당일 진행 사항(26일)</t>
    <phoneticPr fontId="2" type="noConversion"/>
  </si>
  <si>
    <t>K-JR01933-F01AWA</t>
    <phoneticPr fontId="2" type="noConversion"/>
  </si>
  <si>
    <t>SAMPLE 진행 사항(25일)</t>
    <phoneticPr fontId="2" type="noConversion"/>
  </si>
  <si>
    <t>K-JR01936-L01AWA</t>
    <phoneticPr fontId="2" type="noConversion"/>
  </si>
  <si>
    <t>치수NG2회진행</t>
    <phoneticPr fontId="2" type="noConversion"/>
  </si>
  <si>
    <t>금형 수리 내역(25일)</t>
    <phoneticPr fontId="2" type="noConversion"/>
  </si>
  <si>
    <t>설비 점검 내역(25일)</t>
    <phoneticPr fontId="2" type="noConversion"/>
  </si>
  <si>
    <r>
      <t>2019년 10월 26일 일일생산현황</t>
    </r>
    <r>
      <rPr>
        <b/>
        <sz val="14"/>
        <color indexed="8"/>
        <rFont val="굴림체"/>
        <family val="3"/>
        <charset val="129"/>
      </rPr>
      <t>(27일 09시 현재)</t>
    </r>
    <phoneticPr fontId="2" type="noConversion"/>
  </si>
  <si>
    <t>전일 ISSUE 사항(26일)</t>
    <phoneticPr fontId="2" type="noConversion"/>
  </si>
  <si>
    <t>불량대치분 양산</t>
    <phoneticPr fontId="2" type="noConversion"/>
  </si>
  <si>
    <t>당일 진행 사항(27일)</t>
    <phoneticPr fontId="2" type="noConversion"/>
  </si>
  <si>
    <t>SAMPLE 진행 사항(26일)</t>
    <phoneticPr fontId="2" type="noConversion"/>
  </si>
  <si>
    <t>AMB0443A-KAA-R1</t>
    <phoneticPr fontId="2" type="noConversion"/>
  </si>
  <si>
    <t>K-JR01936-E01AWA</t>
    <phoneticPr fontId="2" type="noConversion"/>
  </si>
  <si>
    <t>치수NG</t>
    <phoneticPr fontId="2" type="noConversion"/>
  </si>
  <si>
    <t>K-JR01936-B153AWA</t>
    <phoneticPr fontId="2" type="noConversion"/>
  </si>
  <si>
    <t>금형 수리 내역(26일)</t>
    <phoneticPr fontId="2" type="noConversion"/>
  </si>
  <si>
    <t>설비 점검 내역(26일)</t>
    <phoneticPr fontId="2" type="noConversion"/>
  </si>
  <si>
    <r>
      <t>2019년 10월 27일(주간) 일일생산현황</t>
    </r>
    <r>
      <rPr>
        <b/>
        <sz val="14"/>
        <color indexed="8"/>
        <rFont val="굴림체"/>
        <family val="3"/>
        <charset val="129"/>
      </rPr>
      <t>(28일 09시 현재)</t>
    </r>
    <phoneticPr fontId="2" type="noConversion"/>
  </si>
  <si>
    <t>전일 ISSUE 사항(27일)</t>
    <phoneticPr fontId="2" type="noConversion"/>
  </si>
  <si>
    <t>미성형정지</t>
    <phoneticPr fontId="2" type="noConversion"/>
  </si>
  <si>
    <t>당일 진행 사항(28일)</t>
    <phoneticPr fontId="2" type="noConversion"/>
  </si>
  <si>
    <t>AMB1926A-KAA-R3</t>
    <phoneticPr fontId="2" type="noConversion"/>
  </si>
  <si>
    <t>수리후양산</t>
    <phoneticPr fontId="2" type="noConversion"/>
  </si>
  <si>
    <t>AMB0167A-KAA-R3</t>
    <phoneticPr fontId="2" type="noConversion"/>
  </si>
  <si>
    <t>HDB0708-B1</t>
    <phoneticPr fontId="2" type="noConversion"/>
  </si>
  <si>
    <t>KR6156-GBA162AA</t>
    <phoneticPr fontId="2" type="noConversion"/>
  </si>
  <si>
    <t>AMB0236A-KAA-R2</t>
    <phoneticPr fontId="2" type="noConversion"/>
  </si>
  <si>
    <t>MCS</t>
    <phoneticPr fontId="2" type="noConversion"/>
  </si>
  <si>
    <t>HICON</t>
    <phoneticPr fontId="2" type="noConversion"/>
  </si>
  <si>
    <t>4</t>
    <phoneticPr fontId="2" type="noConversion"/>
  </si>
  <si>
    <t>ACTUATOR</t>
    <phoneticPr fontId="2" type="noConversion"/>
  </si>
  <si>
    <t>7</t>
    <phoneticPr fontId="2" type="noConversion"/>
  </si>
  <si>
    <t>BASE</t>
    <phoneticPr fontId="2" type="noConversion"/>
  </si>
  <si>
    <t>8</t>
    <phoneticPr fontId="2" type="noConversion"/>
  </si>
  <si>
    <t>10</t>
    <phoneticPr fontId="2" type="noConversion"/>
  </si>
  <si>
    <t>ADAPTER</t>
    <phoneticPr fontId="2" type="noConversion"/>
  </si>
  <si>
    <t>13</t>
    <phoneticPr fontId="2" type="noConversion"/>
  </si>
  <si>
    <t>STOPPER</t>
    <phoneticPr fontId="2" type="noConversion"/>
  </si>
  <si>
    <t>SAMPLE 진행 사항(27일)</t>
    <phoneticPr fontId="2" type="noConversion"/>
  </si>
  <si>
    <t>K-JR01936-C01AWA</t>
    <phoneticPr fontId="2" type="noConversion"/>
  </si>
  <si>
    <t>SGF2030</t>
    <phoneticPr fontId="2" type="noConversion"/>
  </si>
  <si>
    <t>오조립 2회진행</t>
    <phoneticPr fontId="2" type="noConversion"/>
  </si>
  <si>
    <t>HDB08-M01A2</t>
    <phoneticPr fontId="2" type="noConversion"/>
  </si>
  <si>
    <t>4C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</si>
  <si>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</si>
  <si>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</si>
  <si>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r>
      <t>2019년 10월 28일 일일생산현황</t>
    </r>
    <r>
      <rPr>
        <b/>
        <sz val="14"/>
        <color indexed="8"/>
        <rFont val="굴림체"/>
        <family val="3"/>
        <charset val="129"/>
      </rPr>
      <t>(29일 09시 현재)</t>
    </r>
    <phoneticPr fontId="2" type="noConversion"/>
  </si>
  <si>
    <t>AMB0349A-KAA-R2</t>
    <phoneticPr fontId="2" type="noConversion"/>
  </si>
  <si>
    <t>28P</t>
    <phoneticPr fontId="2" type="noConversion"/>
  </si>
  <si>
    <t>전일 ISSUE 사항(28일)</t>
    <phoneticPr fontId="2" type="noConversion"/>
  </si>
  <si>
    <t>발주분양산-&gt;미성형정지</t>
    <phoneticPr fontId="2" type="noConversion"/>
  </si>
  <si>
    <t>당일 진행 사항(29일)</t>
    <phoneticPr fontId="2" type="noConversion"/>
  </si>
  <si>
    <t>SAMPLE 진행 사항(28일)</t>
    <phoneticPr fontId="2" type="noConversion"/>
  </si>
  <si>
    <t>1D COVER</t>
    <phoneticPr fontId="2" type="noConversion"/>
  </si>
  <si>
    <t>뜯김2회,코아파손2회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</si>
  <si>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</si>
  <si>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</si>
  <si>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r>
      <t>2019년 10월 29일 일일생산현황</t>
    </r>
    <r>
      <rPr>
        <b/>
        <sz val="14"/>
        <color indexed="8"/>
        <rFont val="굴림체"/>
        <family val="3"/>
        <charset val="129"/>
      </rPr>
      <t>(30일 09시 현재)</t>
    </r>
    <phoneticPr fontId="2" type="noConversion"/>
  </si>
  <si>
    <t>전일 ISSUE 사항(29일)</t>
    <phoneticPr fontId="2" type="noConversion"/>
  </si>
  <si>
    <t>수리후양산-&gt;BURR정지</t>
    <phoneticPr fontId="2" type="noConversion"/>
  </si>
  <si>
    <t>수리후양산-&gt;치수-&gt;코아파손2회-&gt;BURR정지</t>
    <phoneticPr fontId="2" type="noConversion"/>
  </si>
  <si>
    <t>발주분양산-&gt;수정정지</t>
    <phoneticPr fontId="2" type="noConversion"/>
  </si>
  <si>
    <t>수리후양산-&gt;오조립-&gt;금형긁힘수리</t>
    <phoneticPr fontId="2" type="noConversion"/>
  </si>
  <si>
    <t>발주분양산-&gt;이물제거</t>
    <phoneticPr fontId="2" type="noConversion"/>
  </si>
  <si>
    <t>당일 진행 사항(30일)</t>
    <phoneticPr fontId="2" type="noConversion"/>
  </si>
  <si>
    <t>KR6303-E05TA</t>
    <phoneticPr fontId="2" type="noConversion"/>
  </si>
  <si>
    <t>SAMPLE 진행 사항(29일)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</si>
  <si>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</si>
  <si>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</si>
  <si>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2019년 10월 30일 일일생산현황</t>
    </r>
    <r>
      <rPr>
        <b/>
        <sz val="14"/>
        <color indexed="8"/>
        <rFont val="굴림체"/>
        <family val="3"/>
        <charset val="129"/>
      </rPr>
      <t>(31일 09시 현재)</t>
    </r>
    <phoneticPr fontId="2" type="noConversion"/>
  </si>
  <si>
    <t>F/ADAPTER</t>
    <phoneticPr fontId="2" type="noConversion"/>
  </si>
  <si>
    <t>AMB2071B-KAA-R2</t>
    <phoneticPr fontId="2" type="noConversion"/>
  </si>
  <si>
    <t>8301</t>
    <phoneticPr fontId="2" type="noConversion"/>
  </si>
  <si>
    <t>전일 ISSUE 사항(30일)</t>
    <phoneticPr fontId="2" type="noConversion"/>
  </si>
  <si>
    <t>LATCH</t>
    <phoneticPr fontId="2" type="noConversion"/>
  </si>
  <si>
    <t>수리후양산-&gt;수정정지</t>
    <phoneticPr fontId="2" type="noConversion"/>
  </si>
  <si>
    <t>수정후양산-&gt;코아파손2회수리후양산</t>
    <phoneticPr fontId="2" type="noConversion"/>
  </si>
  <si>
    <t>세척후 설비이동양산</t>
    <phoneticPr fontId="2" type="noConversion"/>
  </si>
  <si>
    <t>7</t>
    <phoneticPr fontId="2" type="noConversion"/>
  </si>
  <si>
    <t>BASE</t>
    <phoneticPr fontId="2" type="noConversion"/>
  </si>
  <si>
    <t>AMB0167A-KAA-R3</t>
    <phoneticPr fontId="2" type="noConversion"/>
  </si>
  <si>
    <t>코아파손수리후양산</t>
    <phoneticPr fontId="2" type="noConversion"/>
  </si>
  <si>
    <t>12</t>
    <phoneticPr fontId="2" type="noConversion"/>
  </si>
  <si>
    <t>F/ADAPTER</t>
    <phoneticPr fontId="2" type="noConversion"/>
  </si>
  <si>
    <t>AMB2071B-KAA-R2</t>
    <phoneticPr fontId="2" type="noConversion"/>
  </si>
  <si>
    <t>당일 진행 사항(31일)</t>
    <phoneticPr fontId="2" type="noConversion"/>
  </si>
  <si>
    <t>수정후양산</t>
    <phoneticPr fontId="2" type="noConversion"/>
  </si>
  <si>
    <t>BC05-29H1</t>
    <phoneticPr fontId="2" type="noConversion"/>
  </si>
  <si>
    <t>발주분양산</t>
    <phoneticPr fontId="2" type="noConversion"/>
  </si>
  <si>
    <t>HOUSING</t>
    <phoneticPr fontId="2" type="noConversion"/>
  </si>
  <si>
    <t>HICON</t>
    <phoneticPr fontId="2" type="noConversion"/>
  </si>
  <si>
    <t>6</t>
    <phoneticPr fontId="2" type="noConversion"/>
  </si>
  <si>
    <t>SAMPLE 진행 사항(30일)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</si>
  <si>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</si>
  <si>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</si>
  <si>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2019년 10월 31일 일일생산현황</t>
    </r>
    <r>
      <rPr>
        <b/>
        <sz val="14"/>
        <color indexed="8"/>
        <rFont val="굴림체"/>
        <family val="3"/>
        <charset val="129"/>
      </rPr>
      <t>(01일 09시 현재)</t>
    </r>
    <phoneticPr fontId="2" type="noConversion"/>
  </si>
  <si>
    <t>전일 ISSUE 사항(31일)</t>
    <phoneticPr fontId="2" type="noConversion"/>
  </si>
  <si>
    <t>런너수리,세척후양산</t>
    <phoneticPr fontId="2" type="noConversion"/>
  </si>
  <si>
    <t>각인뜯김수리</t>
    <phoneticPr fontId="2" type="noConversion"/>
  </si>
  <si>
    <t>런너수리후양산-&gt;코아파손정지</t>
    <phoneticPr fontId="2" type="noConversion"/>
  </si>
  <si>
    <t>코아파손수리,설비이상정지</t>
    <phoneticPr fontId="2" type="noConversion"/>
  </si>
  <si>
    <t>당일 진행 사항(01일)</t>
    <phoneticPr fontId="2" type="noConversion"/>
  </si>
  <si>
    <t>K-JR01918-B484CWA</t>
    <phoneticPr fontId="2" type="noConversion"/>
  </si>
  <si>
    <t>발주분양산</t>
    <phoneticPr fontId="2" type="noConversion"/>
  </si>
  <si>
    <t>SST</t>
    <phoneticPr fontId="2" type="noConversion"/>
  </si>
  <si>
    <t>8</t>
    <phoneticPr fontId="2" type="noConversion"/>
  </si>
  <si>
    <t>AYE</t>
    <phoneticPr fontId="2" type="noConversion"/>
  </si>
  <si>
    <t>5</t>
    <phoneticPr fontId="2" type="noConversion"/>
  </si>
  <si>
    <t>SP-1/2</t>
    <phoneticPr fontId="2" type="noConversion"/>
  </si>
  <si>
    <t>NP599-290-002#SP-1/2</t>
    <phoneticPr fontId="2" type="noConversion"/>
  </si>
  <si>
    <t>코아파손수리-&gt;뜯김정지</t>
    <phoneticPr fontId="2" type="noConversion"/>
  </si>
  <si>
    <t>수리후양산</t>
    <phoneticPr fontId="2" type="noConversion"/>
  </si>
  <si>
    <t>KR6197AB841CB</t>
    <phoneticPr fontId="2" type="noConversion"/>
  </si>
  <si>
    <t>14</t>
    <phoneticPr fontId="2" type="noConversion"/>
  </si>
  <si>
    <t>SAMPLE 진행 사항(31일)</t>
    <phoneticPr fontId="2" type="noConversion"/>
  </si>
  <si>
    <t>LEAD IN</t>
    <phoneticPr fontId="2" type="noConversion"/>
  </si>
  <si>
    <t>K-JR01936-M01ABA</t>
    <phoneticPr fontId="2" type="noConversion"/>
  </si>
  <si>
    <t>SGF2030 N/P</t>
    <phoneticPr fontId="2" type="noConversion"/>
  </si>
  <si>
    <t>수정</t>
    <phoneticPr fontId="2" type="noConversion"/>
  </si>
  <si>
    <t>12</t>
    <phoneticPr fontId="2" type="noConversion"/>
  </si>
  <si>
    <t>FLOAT</t>
    <phoneticPr fontId="2" type="noConversion"/>
  </si>
  <si>
    <t>K-JR01936-A153AWA</t>
    <phoneticPr fontId="2" type="noConversion"/>
  </si>
  <si>
    <t>SGF2030</t>
    <phoneticPr fontId="2" type="noConversion"/>
  </si>
  <si>
    <t>6</t>
    <phoneticPr fontId="2" type="noConversion"/>
  </si>
  <si>
    <t>BASE</t>
    <phoneticPr fontId="2" type="noConversion"/>
  </si>
  <si>
    <t>K-JR01936-B153AWA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</si>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</sst>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54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/>
    </xf>
    <xf numFmtId="41" fontId="8" fillId="0" borderId="6" xfId="4" applyFont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Border="1" applyAlignment="1">
      <alignment horizontal="center" vertical="center"/>
    </xf>
    <xf numFmtId="9" fontId="9" fillId="0" borderId="7" xfId="3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 wrapText="1"/>
    </xf>
    <xf numFmtId="178" fontId="8" fillId="0" borderId="10" xfId="4" applyNumberFormat="1" applyFont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4" fillId="0" borderId="7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49" fontId="8" fillId="0" borderId="3" xfId="2" applyNumberFormat="1" applyFont="1" applyBorder="1" applyAlignment="1">
      <alignment horizontal="center" vertical="center" wrapText="1"/>
    </xf>
    <xf numFmtId="41" fontId="8" fillId="0" borderId="8" xfId="4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>
      <alignment vertical="center"/>
    </xf>
    <xf numFmtId="0" fontId="13" fillId="0" borderId="0" xfId="2" applyFont="1">
      <alignment vertical="center"/>
    </xf>
    <xf numFmtId="0" fontId="13" fillId="0" borderId="0" xfId="2" applyFont="1" applyAlignment="1">
      <alignment horizontal="center" vertical="center"/>
    </xf>
    <xf numFmtId="0" fontId="13" fillId="0" borderId="0" xfId="2" applyFont="1" applyAlignment="1">
      <alignment horizontal="center" vertical="center" shrinkToFit="1"/>
    </xf>
    <xf numFmtId="41" fontId="13" fillId="0" borderId="0" xfId="4" applyFont="1">
      <alignment vertical="center"/>
    </xf>
    <xf numFmtId="49" fontId="13" fillId="0" borderId="0" xfId="2" applyNumberFormat="1" applyFont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8" fillId="30" borderId="8" xfId="2" applyFont="1" applyFill="1" applyBorder="1" applyAlignment="1">
      <alignment horizontal="center" vertical="center"/>
    </xf>
    <xf numFmtId="0" fontId="7" fillId="30" borderId="51" xfId="0" applyFont="1" applyFill="1" applyBorder="1" applyAlignment="1">
      <alignment horizontal="center" vertical="center"/>
    </xf>
    <xf numFmtId="9" fontId="7" fillId="30" borderId="11" xfId="8" applyFont="1" applyFill="1" applyBorder="1" applyAlignment="1">
      <alignment horizontal="center" vertical="center"/>
    </xf>
    <xf numFmtId="9" fontId="7" fillId="30" borderId="9" xfId="8" applyFont="1" applyFill="1" applyBorder="1" applyAlignment="1">
      <alignment horizontal="center" vertical="center"/>
    </xf>
    <xf numFmtId="9" fontId="7" fillId="30" borderId="12" xfId="8" applyFont="1" applyFill="1" applyBorder="1" applyAlignment="1">
      <alignment horizontal="center" vertical="center"/>
    </xf>
    <xf numFmtId="9" fontId="7" fillId="30" borderId="51" xfId="8" applyFont="1" applyFill="1" applyBorder="1" applyAlignment="1">
      <alignment horizontal="center" vertical="center"/>
    </xf>
    <xf numFmtId="49" fontId="13" fillId="0" borderId="17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9" xfId="2" applyNumberFormat="1" applyFont="1" applyBorder="1" applyAlignment="1">
      <alignment horizontal="center" vertical="center" shrinkToFit="1"/>
    </xf>
    <xf numFmtId="0" fontId="13" fillId="0" borderId="9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9" xfId="2" applyFont="1" applyBorder="1" applyAlignment="1">
      <alignment horizontal="left" vertical="center"/>
    </xf>
    <xf numFmtId="0" fontId="15" fillId="0" borderId="10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5" fillId="0" borderId="22" xfId="2" applyFont="1" applyBorder="1" applyAlignment="1">
      <alignment horizontal="center" vertical="center"/>
    </xf>
    <xf numFmtId="0" fontId="15" fillId="0" borderId="22" xfId="2" applyFont="1" applyBorder="1" applyAlignment="1">
      <alignment horizontal="left" vertical="center"/>
    </xf>
    <xf numFmtId="0" fontId="15" fillId="0" borderId="58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0" fontId="15" fillId="0" borderId="9" xfId="2" applyFont="1" applyBorder="1" applyAlignment="1">
      <alignment horizontal="center" vertical="center"/>
    </xf>
    <xf numFmtId="42" fontId="15" fillId="0" borderId="9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5" fillId="0" borderId="24" xfId="2" applyFont="1" applyBorder="1" applyAlignment="1">
      <alignment horizontal="center" vertical="center"/>
    </xf>
    <xf numFmtId="42" fontId="15" fillId="0" borderId="33" xfId="7" applyFont="1" applyBorder="1" applyAlignment="1">
      <alignment horizontal="center" vertical="center"/>
    </xf>
    <xf numFmtId="0" fontId="15" fillId="0" borderId="24" xfId="2" applyFont="1" applyBorder="1" applyAlignment="1">
      <alignment horizontal="left" vertical="center"/>
    </xf>
    <xf numFmtId="0" fontId="15" fillId="0" borderId="32" xfId="2" applyFont="1" applyBorder="1" applyAlignment="1">
      <alignment horizontal="left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2" xfId="2" applyNumberFormat="1" applyFont="1" applyBorder="1" applyAlignment="1">
      <alignment horizontal="left" vertical="center" shrinkToFit="1"/>
    </xf>
    <xf numFmtId="49" fontId="13" fillId="0" borderId="26" xfId="2" applyNumberFormat="1" applyFont="1" applyBorder="1" applyAlignment="1">
      <alignment horizontal="left" vertical="center" shrinkToFit="1"/>
    </xf>
    <xf numFmtId="49" fontId="13" fillId="0" borderId="60" xfId="2" applyNumberFormat="1" applyFont="1" applyBorder="1" applyAlignment="1">
      <alignment horizontal="left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21" xfId="2" applyNumberFormat="1" applyFont="1" applyBorder="1" applyAlignment="1">
      <alignment horizontal="center" vertical="center" shrinkToFit="1"/>
    </xf>
    <xf numFmtId="49" fontId="13" fillId="0" borderId="20" xfId="2" applyNumberFormat="1" applyFont="1" applyBorder="1" applyAlignment="1">
      <alignment horizontal="center" vertical="center" shrinkToFit="1"/>
    </xf>
    <xf numFmtId="49" fontId="13" fillId="0" borderId="54" xfId="2" applyNumberFormat="1" applyFont="1" applyBorder="1" applyAlignment="1">
      <alignment horizontal="left" vertical="center" shrinkToFit="1"/>
    </xf>
    <xf numFmtId="49" fontId="13" fillId="0" borderId="61" xfId="2" applyNumberFormat="1" applyFont="1" applyBorder="1" applyAlignment="1">
      <alignment horizontal="left" vertical="center" shrinkToFit="1"/>
    </xf>
    <xf numFmtId="49" fontId="13" fillId="0" borderId="62" xfId="2" applyNumberFormat="1" applyFont="1" applyBorder="1" applyAlignment="1">
      <alignment horizontal="left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26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3" fillId="0" borderId="12" xfId="2" applyFont="1" applyBorder="1" applyAlignment="1">
      <alignment horizontal="center" vertical="center" wrapText="1"/>
    </xf>
    <xf numFmtId="0" fontId="13" fillId="0" borderId="26" xfId="2" applyFont="1" applyBorder="1" applyAlignment="1">
      <alignment horizontal="center" vertical="center" wrapText="1"/>
    </xf>
    <xf numFmtId="0" fontId="13" fillId="0" borderId="11" xfId="2" applyFont="1" applyBorder="1" applyAlignment="1">
      <alignment horizontal="center" vertical="center" wrapText="1"/>
    </xf>
    <xf numFmtId="0" fontId="13" fillId="0" borderId="12" xfId="2" applyFont="1" applyBorder="1" applyAlignment="1">
      <alignment horizontal="center" vertical="center"/>
    </xf>
    <xf numFmtId="49" fontId="13" fillId="0" borderId="12" xfId="2" applyNumberFormat="1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center" vertical="center"/>
    </xf>
    <xf numFmtId="41" fontId="13" fillId="0" borderId="12" xfId="4" applyFont="1" applyBorder="1" applyAlignment="1">
      <alignment horizontal="center" vertical="center"/>
    </xf>
    <xf numFmtId="41" fontId="13" fillId="0" borderId="11" xfId="4" applyFont="1" applyBorder="1" applyAlignment="1">
      <alignment horizontal="center" vertical="center"/>
    </xf>
    <xf numFmtId="49" fontId="13" fillId="0" borderId="11" xfId="2" applyNumberFormat="1" applyFont="1" applyBorder="1" applyAlignment="1">
      <alignment horizontal="left" vertical="center" shrinkToFit="1"/>
    </xf>
    <xf numFmtId="0" fontId="13" fillId="0" borderId="26" xfId="2" applyFont="1" applyBorder="1" applyAlignment="1">
      <alignment horizontal="center" vertical="center"/>
    </xf>
    <xf numFmtId="0" fontId="13" fillId="0" borderId="60" xfId="2" applyFont="1" applyBorder="1" applyAlignment="1">
      <alignment horizontal="center" vertical="center"/>
    </xf>
  </cellXfs>
  <cellStyles count="3845">
    <cellStyle name="_x0002_._x0011__x0002_._x001b__x0002_ _x0015_%_x0018__x0001_" xfId="3128" xr:uid="{00000000-0005-0000-0000-000000000000}"/>
    <cellStyle name="?" xfId="3129" xr:uid="{00000000-0005-0000-0000-000001000000}"/>
    <cellStyle name="20% - 강조색1 2" xfId="10" xr:uid="{00000000-0005-0000-0000-000002000000}"/>
    <cellStyle name="20% - 강조색1 2 10" xfId="11" xr:uid="{00000000-0005-0000-0000-000003000000}"/>
    <cellStyle name="20% - 강조색1 2 10 2" xfId="12" xr:uid="{00000000-0005-0000-0000-000004000000}"/>
    <cellStyle name="20% - 강조색1 2 10 3" xfId="13" xr:uid="{00000000-0005-0000-0000-000005000000}"/>
    <cellStyle name="20% - 강조색1 2 10 4" xfId="14" xr:uid="{00000000-0005-0000-0000-000006000000}"/>
    <cellStyle name="20% - 강조색1 2 10 5" xfId="15" xr:uid="{00000000-0005-0000-0000-000007000000}"/>
    <cellStyle name="20% - 강조색1 2 10 6" xfId="16" xr:uid="{00000000-0005-0000-0000-000008000000}"/>
    <cellStyle name="20% - 강조색1 2 11" xfId="17" xr:uid="{00000000-0005-0000-0000-000009000000}"/>
    <cellStyle name="20% - 강조색1 2 11 2" xfId="18" xr:uid="{00000000-0005-0000-0000-00000A000000}"/>
    <cellStyle name="20% - 강조색1 2 11 3" xfId="19" xr:uid="{00000000-0005-0000-0000-00000B000000}"/>
    <cellStyle name="20% - 강조색1 2 11 4" xfId="20" xr:uid="{00000000-0005-0000-0000-00000C000000}"/>
    <cellStyle name="20% - 강조색1 2 11 5" xfId="21" xr:uid="{00000000-0005-0000-0000-00000D000000}"/>
    <cellStyle name="20% - 강조색1 2 11 6" xfId="22" xr:uid="{00000000-0005-0000-0000-00000E000000}"/>
    <cellStyle name="20% - 강조색1 2 12" xfId="23" xr:uid="{00000000-0005-0000-0000-00000F000000}"/>
    <cellStyle name="20% - 강조색1 2 12 2" xfId="24" xr:uid="{00000000-0005-0000-0000-000010000000}"/>
    <cellStyle name="20% - 강조색1 2 12 3" xfId="25" xr:uid="{00000000-0005-0000-0000-000011000000}"/>
    <cellStyle name="20% - 강조색1 2 12 4" xfId="26" xr:uid="{00000000-0005-0000-0000-000012000000}"/>
    <cellStyle name="20% - 강조색1 2 12 5" xfId="27" xr:uid="{00000000-0005-0000-0000-000013000000}"/>
    <cellStyle name="20% - 강조색1 2 12 6" xfId="28" xr:uid="{00000000-0005-0000-0000-000014000000}"/>
    <cellStyle name="20% - 강조색1 2 13" xfId="29" xr:uid="{00000000-0005-0000-0000-000015000000}"/>
    <cellStyle name="20% - 강조색1 2 13 2" xfId="30" xr:uid="{00000000-0005-0000-0000-000016000000}"/>
    <cellStyle name="20% - 강조색1 2 13 3" xfId="31" xr:uid="{00000000-0005-0000-0000-000017000000}"/>
    <cellStyle name="20% - 강조색1 2 13 4" xfId="32" xr:uid="{00000000-0005-0000-0000-000018000000}"/>
    <cellStyle name="20% - 강조색1 2 13 5" xfId="33" xr:uid="{00000000-0005-0000-0000-000019000000}"/>
    <cellStyle name="20% - 강조색1 2 13 6" xfId="34" xr:uid="{00000000-0005-0000-0000-00001A000000}"/>
    <cellStyle name="20% - 강조색1 2 14" xfId="35" xr:uid="{00000000-0005-0000-0000-00001B000000}"/>
    <cellStyle name="20% - 강조색1 2 14 2" xfId="36" xr:uid="{00000000-0005-0000-0000-00001C000000}"/>
    <cellStyle name="20% - 강조색1 2 14 3" xfId="37" xr:uid="{00000000-0005-0000-0000-00001D000000}"/>
    <cellStyle name="20% - 강조색1 2 14 4" xfId="38" xr:uid="{00000000-0005-0000-0000-00001E000000}"/>
    <cellStyle name="20% - 강조색1 2 14 5" xfId="39" xr:uid="{00000000-0005-0000-0000-00001F000000}"/>
    <cellStyle name="20% - 강조색1 2 14 6" xfId="40" xr:uid="{00000000-0005-0000-0000-000020000000}"/>
    <cellStyle name="20% - 강조색1 2 15" xfId="41" xr:uid="{00000000-0005-0000-0000-000021000000}"/>
    <cellStyle name="20% - 강조색1 2 16" xfId="42" xr:uid="{00000000-0005-0000-0000-000022000000}"/>
    <cellStyle name="20% - 강조색1 2 17" xfId="43" xr:uid="{00000000-0005-0000-0000-000023000000}"/>
    <cellStyle name="20% - 강조색1 2 18" xfId="44" xr:uid="{00000000-0005-0000-0000-000024000000}"/>
    <cellStyle name="20% - 강조색1 2 19" xfId="45" xr:uid="{00000000-0005-0000-0000-000025000000}"/>
    <cellStyle name="20% - 강조색1 2 2" xfId="46" xr:uid="{00000000-0005-0000-0000-000026000000}"/>
    <cellStyle name="20% - 강조색1 2 2 2" xfId="47" xr:uid="{00000000-0005-0000-0000-000027000000}"/>
    <cellStyle name="20% - 강조색1 2 2 3" xfId="48" xr:uid="{00000000-0005-0000-0000-000028000000}"/>
    <cellStyle name="20% - 강조색1 2 2 4" xfId="49" xr:uid="{00000000-0005-0000-0000-000029000000}"/>
    <cellStyle name="20% - 강조색1 2 2 5" xfId="50" xr:uid="{00000000-0005-0000-0000-00002A000000}"/>
    <cellStyle name="20% - 강조색1 2 2 6" xfId="51" xr:uid="{00000000-0005-0000-0000-00002B000000}"/>
    <cellStyle name="20% - 강조색1 2 3" xfId="52" xr:uid="{00000000-0005-0000-0000-00002C000000}"/>
    <cellStyle name="20% - 강조색1 2 3 2" xfId="53" xr:uid="{00000000-0005-0000-0000-00002D000000}"/>
    <cellStyle name="20% - 강조색1 2 3 3" xfId="54" xr:uid="{00000000-0005-0000-0000-00002E000000}"/>
    <cellStyle name="20% - 강조색1 2 3 4" xfId="55" xr:uid="{00000000-0005-0000-0000-00002F000000}"/>
    <cellStyle name="20% - 강조색1 2 3 5" xfId="56" xr:uid="{00000000-0005-0000-0000-000030000000}"/>
    <cellStyle name="20% - 강조색1 2 3 6" xfId="57" xr:uid="{00000000-0005-0000-0000-000031000000}"/>
    <cellStyle name="20% - 강조색1 2 4" xfId="58" xr:uid="{00000000-0005-0000-0000-000032000000}"/>
    <cellStyle name="20% - 강조색1 2 4 2" xfId="59" xr:uid="{00000000-0005-0000-0000-000033000000}"/>
    <cellStyle name="20% - 강조색1 2 4 3" xfId="60" xr:uid="{00000000-0005-0000-0000-000034000000}"/>
    <cellStyle name="20% - 강조색1 2 4 4" xfId="61" xr:uid="{00000000-0005-0000-0000-000035000000}"/>
    <cellStyle name="20% - 강조색1 2 4 5" xfId="62" xr:uid="{00000000-0005-0000-0000-000036000000}"/>
    <cellStyle name="20% - 강조색1 2 4 6" xfId="63" xr:uid="{00000000-0005-0000-0000-000037000000}"/>
    <cellStyle name="20% - 강조색1 2 5" xfId="64" xr:uid="{00000000-0005-0000-0000-000038000000}"/>
    <cellStyle name="20% - 강조색1 2 5 2" xfId="65" xr:uid="{00000000-0005-0000-0000-000039000000}"/>
    <cellStyle name="20% - 강조색1 2 5 3" xfId="66" xr:uid="{00000000-0005-0000-0000-00003A000000}"/>
    <cellStyle name="20% - 강조색1 2 5 4" xfId="67" xr:uid="{00000000-0005-0000-0000-00003B000000}"/>
    <cellStyle name="20% - 강조색1 2 5 5" xfId="68" xr:uid="{00000000-0005-0000-0000-00003C000000}"/>
    <cellStyle name="20% - 강조색1 2 5 6" xfId="69" xr:uid="{00000000-0005-0000-0000-00003D000000}"/>
    <cellStyle name="20% - 강조색1 2 6" xfId="70" xr:uid="{00000000-0005-0000-0000-00003E000000}"/>
    <cellStyle name="20% - 강조색1 2 6 2" xfId="71" xr:uid="{00000000-0005-0000-0000-00003F000000}"/>
    <cellStyle name="20% - 강조색1 2 6 3" xfId="72" xr:uid="{00000000-0005-0000-0000-000040000000}"/>
    <cellStyle name="20% - 강조색1 2 6 4" xfId="73" xr:uid="{00000000-0005-0000-0000-000041000000}"/>
    <cellStyle name="20% - 강조색1 2 6 5" xfId="74" xr:uid="{00000000-0005-0000-0000-000042000000}"/>
    <cellStyle name="20% - 강조색1 2 6 6" xfId="75" xr:uid="{00000000-0005-0000-0000-000043000000}"/>
    <cellStyle name="20% - 강조색1 2 7" xfId="76" xr:uid="{00000000-0005-0000-0000-000044000000}"/>
    <cellStyle name="20% - 강조색1 2 7 2" xfId="77" xr:uid="{00000000-0005-0000-0000-000045000000}"/>
    <cellStyle name="20% - 강조색1 2 7 3" xfId="78" xr:uid="{00000000-0005-0000-0000-000046000000}"/>
    <cellStyle name="20% - 강조색1 2 7 4" xfId="79" xr:uid="{00000000-0005-0000-0000-000047000000}"/>
    <cellStyle name="20% - 강조색1 2 7 5" xfId="80" xr:uid="{00000000-0005-0000-0000-000048000000}"/>
    <cellStyle name="20% - 강조색1 2 7 6" xfId="81" xr:uid="{00000000-0005-0000-0000-000049000000}"/>
    <cellStyle name="20% - 강조색1 2 8" xfId="82" xr:uid="{00000000-0005-0000-0000-00004A000000}"/>
    <cellStyle name="20% - 강조색1 2 8 2" xfId="83" xr:uid="{00000000-0005-0000-0000-00004B000000}"/>
    <cellStyle name="20% - 강조색1 2 8 3" xfId="84" xr:uid="{00000000-0005-0000-0000-00004C000000}"/>
    <cellStyle name="20% - 강조색1 2 8 4" xfId="85" xr:uid="{00000000-0005-0000-0000-00004D000000}"/>
    <cellStyle name="20% - 강조색1 2 8 5" xfId="86" xr:uid="{00000000-0005-0000-0000-00004E000000}"/>
    <cellStyle name="20% - 강조색1 2 8 6" xfId="87" xr:uid="{00000000-0005-0000-0000-00004F000000}"/>
    <cellStyle name="20% - 강조색1 2 9" xfId="88" xr:uid="{00000000-0005-0000-0000-000050000000}"/>
    <cellStyle name="20% - 강조색1 2 9 2" xfId="89" xr:uid="{00000000-0005-0000-0000-000051000000}"/>
    <cellStyle name="20% - 강조색1 2 9 3" xfId="90" xr:uid="{00000000-0005-0000-0000-000052000000}"/>
    <cellStyle name="20% - 강조색1 2 9 4" xfId="91" xr:uid="{00000000-0005-0000-0000-000053000000}"/>
    <cellStyle name="20% - 강조색1 2 9 5" xfId="92" xr:uid="{00000000-0005-0000-0000-000054000000}"/>
    <cellStyle name="20% - 강조색1 2 9 6" xfId="93" xr:uid="{00000000-0005-0000-0000-000055000000}"/>
    <cellStyle name="20% - 강조색2 2" xfId="94" xr:uid="{00000000-0005-0000-0000-000056000000}"/>
    <cellStyle name="20% - 강조색2 2 10" xfId="95" xr:uid="{00000000-0005-0000-0000-000057000000}"/>
    <cellStyle name="20% - 강조색2 2 10 2" xfId="96" xr:uid="{00000000-0005-0000-0000-000058000000}"/>
    <cellStyle name="20% - 강조색2 2 10 3" xfId="97" xr:uid="{00000000-0005-0000-0000-000059000000}"/>
    <cellStyle name="20% - 강조색2 2 10 4" xfId="98" xr:uid="{00000000-0005-0000-0000-00005A000000}"/>
    <cellStyle name="20% - 강조색2 2 10 5" xfId="99" xr:uid="{00000000-0005-0000-0000-00005B000000}"/>
    <cellStyle name="20% - 강조색2 2 10 6" xfId="100" xr:uid="{00000000-0005-0000-0000-00005C000000}"/>
    <cellStyle name="20% - 강조색2 2 11" xfId="101" xr:uid="{00000000-0005-0000-0000-00005D000000}"/>
    <cellStyle name="20% - 강조색2 2 11 2" xfId="102" xr:uid="{00000000-0005-0000-0000-00005E000000}"/>
    <cellStyle name="20% - 강조색2 2 11 3" xfId="103" xr:uid="{00000000-0005-0000-0000-00005F000000}"/>
    <cellStyle name="20% - 강조색2 2 11 4" xfId="104" xr:uid="{00000000-0005-0000-0000-000060000000}"/>
    <cellStyle name="20% - 강조색2 2 11 5" xfId="105" xr:uid="{00000000-0005-0000-0000-000061000000}"/>
    <cellStyle name="20% - 강조색2 2 11 6" xfId="106" xr:uid="{00000000-0005-0000-0000-000062000000}"/>
    <cellStyle name="20% - 강조색2 2 12" xfId="107" xr:uid="{00000000-0005-0000-0000-000063000000}"/>
    <cellStyle name="20% - 강조색2 2 12 2" xfId="108" xr:uid="{00000000-0005-0000-0000-000064000000}"/>
    <cellStyle name="20% - 강조색2 2 12 3" xfId="109" xr:uid="{00000000-0005-0000-0000-000065000000}"/>
    <cellStyle name="20% - 강조색2 2 12 4" xfId="110" xr:uid="{00000000-0005-0000-0000-000066000000}"/>
    <cellStyle name="20% - 강조색2 2 12 5" xfId="111" xr:uid="{00000000-0005-0000-0000-000067000000}"/>
    <cellStyle name="20% - 강조색2 2 12 6" xfId="112" xr:uid="{00000000-0005-0000-0000-000068000000}"/>
    <cellStyle name="20% - 강조색2 2 13" xfId="113" xr:uid="{00000000-0005-0000-0000-000069000000}"/>
    <cellStyle name="20% - 강조색2 2 13 2" xfId="114" xr:uid="{00000000-0005-0000-0000-00006A000000}"/>
    <cellStyle name="20% - 강조색2 2 13 3" xfId="115" xr:uid="{00000000-0005-0000-0000-00006B000000}"/>
    <cellStyle name="20% - 강조색2 2 13 4" xfId="116" xr:uid="{00000000-0005-0000-0000-00006C000000}"/>
    <cellStyle name="20% - 강조색2 2 13 5" xfId="117" xr:uid="{00000000-0005-0000-0000-00006D000000}"/>
    <cellStyle name="20% - 강조색2 2 13 6" xfId="118" xr:uid="{00000000-0005-0000-0000-00006E000000}"/>
    <cellStyle name="20% - 강조색2 2 14" xfId="119" xr:uid="{00000000-0005-0000-0000-00006F000000}"/>
    <cellStyle name="20% - 강조색2 2 14 2" xfId="120" xr:uid="{00000000-0005-0000-0000-000070000000}"/>
    <cellStyle name="20% - 강조색2 2 14 3" xfId="121" xr:uid="{00000000-0005-0000-0000-000071000000}"/>
    <cellStyle name="20% - 강조색2 2 14 4" xfId="122" xr:uid="{00000000-0005-0000-0000-000072000000}"/>
    <cellStyle name="20% - 강조색2 2 14 5" xfId="123" xr:uid="{00000000-0005-0000-0000-000073000000}"/>
    <cellStyle name="20% - 강조색2 2 14 6" xfId="124" xr:uid="{00000000-0005-0000-0000-000074000000}"/>
    <cellStyle name="20% - 강조색2 2 15" xfId="125" xr:uid="{00000000-0005-0000-0000-000075000000}"/>
    <cellStyle name="20% - 강조색2 2 16" xfId="126" xr:uid="{00000000-0005-0000-0000-000076000000}"/>
    <cellStyle name="20% - 강조색2 2 17" xfId="127" xr:uid="{00000000-0005-0000-0000-000077000000}"/>
    <cellStyle name="20% - 강조색2 2 18" xfId="128" xr:uid="{00000000-0005-0000-0000-000078000000}"/>
    <cellStyle name="20% - 강조색2 2 19" xfId="129" xr:uid="{00000000-0005-0000-0000-000079000000}"/>
    <cellStyle name="20% - 강조색2 2 2" xfId="130" xr:uid="{00000000-0005-0000-0000-00007A000000}"/>
    <cellStyle name="20% - 강조색2 2 2 2" xfId="131" xr:uid="{00000000-0005-0000-0000-00007B000000}"/>
    <cellStyle name="20% - 강조색2 2 2 3" xfId="132" xr:uid="{00000000-0005-0000-0000-00007C000000}"/>
    <cellStyle name="20% - 강조색2 2 2 4" xfId="133" xr:uid="{00000000-0005-0000-0000-00007D000000}"/>
    <cellStyle name="20% - 강조색2 2 2 5" xfId="134" xr:uid="{00000000-0005-0000-0000-00007E000000}"/>
    <cellStyle name="20% - 강조색2 2 2 6" xfId="135" xr:uid="{00000000-0005-0000-0000-00007F000000}"/>
    <cellStyle name="20% - 강조색2 2 3" xfId="136" xr:uid="{00000000-0005-0000-0000-000080000000}"/>
    <cellStyle name="20% - 강조색2 2 3 2" xfId="137" xr:uid="{00000000-0005-0000-0000-000081000000}"/>
    <cellStyle name="20% - 강조색2 2 3 3" xfId="138" xr:uid="{00000000-0005-0000-0000-000082000000}"/>
    <cellStyle name="20% - 강조색2 2 3 4" xfId="139" xr:uid="{00000000-0005-0000-0000-000083000000}"/>
    <cellStyle name="20% - 강조색2 2 3 5" xfId="140" xr:uid="{00000000-0005-0000-0000-000084000000}"/>
    <cellStyle name="20% - 강조색2 2 3 6" xfId="141" xr:uid="{00000000-0005-0000-0000-000085000000}"/>
    <cellStyle name="20% - 강조색2 2 4" xfId="142" xr:uid="{00000000-0005-0000-0000-000086000000}"/>
    <cellStyle name="20% - 강조색2 2 4 2" xfId="143" xr:uid="{00000000-0005-0000-0000-000087000000}"/>
    <cellStyle name="20% - 강조색2 2 4 3" xfId="144" xr:uid="{00000000-0005-0000-0000-000088000000}"/>
    <cellStyle name="20% - 강조색2 2 4 4" xfId="145" xr:uid="{00000000-0005-0000-0000-000089000000}"/>
    <cellStyle name="20% - 강조색2 2 4 5" xfId="146" xr:uid="{00000000-0005-0000-0000-00008A000000}"/>
    <cellStyle name="20% - 강조색2 2 4 6" xfId="147" xr:uid="{00000000-0005-0000-0000-00008B000000}"/>
    <cellStyle name="20% - 강조색2 2 5" xfId="148" xr:uid="{00000000-0005-0000-0000-00008C000000}"/>
    <cellStyle name="20% - 강조색2 2 5 2" xfId="149" xr:uid="{00000000-0005-0000-0000-00008D000000}"/>
    <cellStyle name="20% - 강조색2 2 5 3" xfId="150" xr:uid="{00000000-0005-0000-0000-00008E000000}"/>
    <cellStyle name="20% - 강조색2 2 5 4" xfId="151" xr:uid="{00000000-0005-0000-0000-00008F000000}"/>
    <cellStyle name="20% - 강조색2 2 5 5" xfId="152" xr:uid="{00000000-0005-0000-0000-000090000000}"/>
    <cellStyle name="20% - 강조색2 2 5 6" xfId="153" xr:uid="{00000000-0005-0000-0000-000091000000}"/>
    <cellStyle name="20% - 강조색2 2 6" xfId="154" xr:uid="{00000000-0005-0000-0000-000092000000}"/>
    <cellStyle name="20% - 강조색2 2 6 2" xfId="155" xr:uid="{00000000-0005-0000-0000-000093000000}"/>
    <cellStyle name="20% - 강조색2 2 6 3" xfId="156" xr:uid="{00000000-0005-0000-0000-000094000000}"/>
    <cellStyle name="20% - 강조색2 2 6 4" xfId="157" xr:uid="{00000000-0005-0000-0000-000095000000}"/>
    <cellStyle name="20% - 강조색2 2 6 5" xfId="158" xr:uid="{00000000-0005-0000-0000-000096000000}"/>
    <cellStyle name="20% - 강조색2 2 6 6" xfId="159" xr:uid="{00000000-0005-0000-0000-000097000000}"/>
    <cellStyle name="20% - 강조색2 2 7" xfId="160" xr:uid="{00000000-0005-0000-0000-000098000000}"/>
    <cellStyle name="20% - 강조색2 2 7 2" xfId="161" xr:uid="{00000000-0005-0000-0000-000099000000}"/>
    <cellStyle name="20% - 강조색2 2 7 3" xfId="162" xr:uid="{00000000-0005-0000-0000-00009A000000}"/>
    <cellStyle name="20% - 강조색2 2 7 4" xfId="163" xr:uid="{00000000-0005-0000-0000-00009B000000}"/>
    <cellStyle name="20% - 강조색2 2 7 5" xfId="164" xr:uid="{00000000-0005-0000-0000-00009C000000}"/>
    <cellStyle name="20% - 강조색2 2 7 6" xfId="165" xr:uid="{00000000-0005-0000-0000-00009D000000}"/>
    <cellStyle name="20% - 강조색2 2 8" xfId="166" xr:uid="{00000000-0005-0000-0000-00009E000000}"/>
    <cellStyle name="20% - 강조색2 2 8 2" xfId="167" xr:uid="{00000000-0005-0000-0000-00009F000000}"/>
    <cellStyle name="20% - 강조색2 2 8 3" xfId="168" xr:uid="{00000000-0005-0000-0000-0000A0000000}"/>
    <cellStyle name="20% - 강조색2 2 8 4" xfId="169" xr:uid="{00000000-0005-0000-0000-0000A1000000}"/>
    <cellStyle name="20% - 강조색2 2 8 5" xfId="170" xr:uid="{00000000-0005-0000-0000-0000A2000000}"/>
    <cellStyle name="20% - 강조색2 2 8 6" xfId="171" xr:uid="{00000000-0005-0000-0000-0000A3000000}"/>
    <cellStyle name="20% - 강조색2 2 9" xfId="172" xr:uid="{00000000-0005-0000-0000-0000A4000000}"/>
    <cellStyle name="20% - 강조색2 2 9 2" xfId="173" xr:uid="{00000000-0005-0000-0000-0000A5000000}"/>
    <cellStyle name="20% - 강조색2 2 9 3" xfId="174" xr:uid="{00000000-0005-0000-0000-0000A6000000}"/>
    <cellStyle name="20% - 강조색2 2 9 4" xfId="175" xr:uid="{00000000-0005-0000-0000-0000A7000000}"/>
    <cellStyle name="20% - 강조색2 2 9 5" xfId="176" xr:uid="{00000000-0005-0000-0000-0000A8000000}"/>
    <cellStyle name="20% - 강조색2 2 9 6" xfId="177" xr:uid="{00000000-0005-0000-0000-0000A9000000}"/>
    <cellStyle name="20% - 강조색3 2" xfId="178" xr:uid="{00000000-0005-0000-0000-0000AA000000}"/>
    <cellStyle name="20% - 강조색3 2 10" xfId="179" xr:uid="{00000000-0005-0000-0000-0000AB000000}"/>
    <cellStyle name="20% - 강조색3 2 10 2" xfId="180" xr:uid="{00000000-0005-0000-0000-0000AC000000}"/>
    <cellStyle name="20% - 강조색3 2 10 3" xfId="181" xr:uid="{00000000-0005-0000-0000-0000AD000000}"/>
    <cellStyle name="20% - 강조색3 2 10 4" xfId="182" xr:uid="{00000000-0005-0000-0000-0000AE000000}"/>
    <cellStyle name="20% - 강조색3 2 10 5" xfId="183" xr:uid="{00000000-0005-0000-0000-0000AF000000}"/>
    <cellStyle name="20% - 강조색3 2 10 6" xfId="184" xr:uid="{00000000-0005-0000-0000-0000B0000000}"/>
    <cellStyle name="20% - 강조색3 2 11" xfId="185" xr:uid="{00000000-0005-0000-0000-0000B1000000}"/>
    <cellStyle name="20% - 강조색3 2 11 2" xfId="186" xr:uid="{00000000-0005-0000-0000-0000B2000000}"/>
    <cellStyle name="20% - 강조색3 2 11 3" xfId="187" xr:uid="{00000000-0005-0000-0000-0000B3000000}"/>
    <cellStyle name="20% - 강조색3 2 11 4" xfId="188" xr:uid="{00000000-0005-0000-0000-0000B4000000}"/>
    <cellStyle name="20% - 강조색3 2 11 5" xfId="189" xr:uid="{00000000-0005-0000-0000-0000B5000000}"/>
    <cellStyle name="20% - 강조색3 2 11 6" xfId="190" xr:uid="{00000000-0005-0000-0000-0000B6000000}"/>
    <cellStyle name="20% - 강조색3 2 12" xfId="191" xr:uid="{00000000-0005-0000-0000-0000B7000000}"/>
    <cellStyle name="20% - 강조색3 2 12 2" xfId="192" xr:uid="{00000000-0005-0000-0000-0000B8000000}"/>
    <cellStyle name="20% - 강조색3 2 12 3" xfId="193" xr:uid="{00000000-0005-0000-0000-0000B9000000}"/>
    <cellStyle name="20% - 강조색3 2 12 4" xfId="194" xr:uid="{00000000-0005-0000-0000-0000BA000000}"/>
    <cellStyle name="20% - 강조색3 2 12 5" xfId="195" xr:uid="{00000000-0005-0000-0000-0000BB000000}"/>
    <cellStyle name="20% - 강조색3 2 12 6" xfId="196" xr:uid="{00000000-0005-0000-0000-0000BC000000}"/>
    <cellStyle name="20% - 강조색3 2 13" xfId="197" xr:uid="{00000000-0005-0000-0000-0000BD000000}"/>
    <cellStyle name="20% - 강조색3 2 13 2" xfId="198" xr:uid="{00000000-0005-0000-0000-0000BE000000}"/>
    <cellStyle name="20% - 강조색3 2 13 3" xfId="199" xr:uid="{00000000-0005-0000-0000-0000BF000000}"/>
    <cellStyle name="20% - 강조색3 2 13 4" xfId="200" xr:uid="{00000000-0005-0000-0000-0000C0000000}"/>
    <cellStyle name="20% - 강조색3 2 13 5" xfId="201" xr:uid="{00000000-0005-0000-0000-0000C1000000}"/>
    <cellStyle name="20% - 강조색3 2 13 6" xfId="202" xr:uid="{00000000-0005-0000-0000-0000C2000000}"/>
    <cellStyle name="20% - 강조색3 2 14" xfId="203" xr:uid="{00000000-0005-0000-0000-0000C3000000}"/>
    <cellStyle name="20% - 강조색3 2 14 2" xfId="204" xr:uid="{00000000-0005-0000-0000-0000C4000000}"/>
    <cellStyle name="20% - 강조색3 2 14 3" xfId="205" xr:uid="{00000000-0005-0000-0000-0000C5000000}"/>
    <cellStyle name="20% - 강조색3 2 14 4" xfId="206" xr:uid="{00000000-0005-0000-0000-0000C6000000}"/>
    <cellStyle name="20% - 강조색3 2 14 5" xfId="207" xr:uid="{00000000-0005-0000-0000-0000C7000000}"/>
    <cellStyle name="20% - 강조색3 2 14 6" xfId="208" xr:uid="{00000000-0005-0000-0000-0000C8000000}"/>
    <cellStyle name="20% - 강조색3 2 15" xfId="209" xr:uid="{00000000-0005-0000-0000-0000C9000000}"/>
    <cellStyle name="20% - 강조색3 2 16" xfId="210" xr:uid="{00000000-0005-0000-0000-0000CA000000}"/>
    <cellStyle name="20% - 강조색3 2 17" xfId="211" xr:uid="{00000000-0005-0000-0000-0000CB000000}"/>
    <cellStyle name="20% - 강조색3 2 18" xfId="212" xr:uid="{00000000-0005-0000-0000-0000CC000000}"/>
    <cellStyle name="20% - 강조색3 2 19" xfId="213" xr:uid="{00000000-0005-0000-0000-0000CD000000}"/>
    <cellStyle name="20% - 강조색3 2 2" xfId="214" xr:uid="{00000000-0005-0000-0000-0000CE000000}"/>
    <cellStyle name="20% - 강조색3 2 2 2" xfId="215" xr:uid="{00000000-0005-0000-0000-0000CF000000}"/>
    <cellStyle name="20% - 강조색3 2 2 3" xfId="216" xr:uid="{00000000-0005-0000-0000-0000D0000000}"/>
    <cellStyle name="20% - 강조색3 2 2 4" xfId="217" xr:uid="{00000000-0005-0000-0000-0000D1000000}"/>
    <cellStyle name="20% - 강조색3 2 2 5" xfId="218" xr:uid="{00000000-0005-0000-0000-0000D2000000}"/>
    <cellStyle name="20% - 강조색3 2 2 6" xfId="219" xr:uid="{00000000-0005-0000-0000-0000D3000000}"/>
    <cellStyle name="20% - 강조색3 2 3" xfId="220" xr:uid="{00000000-0005-0000-0000-0000D4000000}"/>
    <cellStyle name="20% - 강조색3 2 3 2" xfId="221" xr:uid="{00000000-0005-0000-0000-0000D5000000}"/>
    <cellStyle name="20% - 강조색3 2 3 3" xfId="222" xr:uid="{00000000-0005-0000-0000-0000D6000000}"/>
    <cellStyle name="20% - 강조색3 2 3 4" xfId="223" xr:uid="{00000000-0005-0000-0000-0000D7000000}"/>
    <cellStyle name="20% - 강조색3 2 3 5" xfId="224" xr:uid="{00000000-0005-0000-0000-0000D8000000}"/>
    <cellStyle name="20% - 강조색3 2 3 6" xfId="225" xr:uid="{00000000-0005-0000-0000-0000D9000000}"/>
    <cellStyle name="20% - 강조색3 2 4" xfId="226" xr:uid="{00000000-0005-0000-0000-0000DA000000}"/>
    <cellStyle name="20% - 강조색3 2 4 2" xfId="227" xr:uid="{00000000-0005-0000-0000-0000DB000000}"/>
    <cellStyle name="20% - 강조색3 2 4 3" xfId="228" xr:uid="{00000000-0005-0000-0000-0000DC000000}"/>
    <cellStyle name="20% - 강조색3 2 4 4" xfId="229" xr:uid="{00000000-0005-0000-0000-0000DD000000}"/>
    <cellStyle name="20% - 강조색3 2 4 5" xfId="230" xr:uid="{00000000-0005-0000-0000-0000DE000000}"/>
    <cellStyle name="20% - 강조색3 2 4 6" xfId="231" xr:uid="{00000000-0005-0000-0000-0000DF000000}"/>
    <cellStyle name="20% - 강조색3 2 5" xfId="232" xr:uid="{00000000-0005-0000-0000-0000E0000000}"/>
    <cellStyle name="20% - 강조색3 2 5 2" xfId="233" xr:uid="{00000000-0005-0000-0000-0000E1000000}"/>
    <cellStyle name="20% - 강조색3 2 5 3" xfId="234" xr:uid="{00000000-0005-0000-0000-0000E2000000}"/>
    <cellStyle name="20% - 강조색3 2 5 4" xfId="235" xr:uid="{00000000-0005-0000-0000-0000E3000000}"/>
    <cellStyle name="20% - 강조색3 2 5 5" xfId="236" xr:uid="{00000000-0005-0000-0000-0000E4000000}"/>
    <cellStyle name="20% - 강조색3 2 5 6" xfId="237" xr:uid="{00000000-0005-0000-0000-0000E5000000}"/>
    <cellStyle name="20% - 강조색3 2 6" xfId="238" xr:uid="{00000000-0005-0000-0000-0000E6000000}"/>
    <cellStyle name="20% - 강조색3 2 6 2" xfId="239" xr:uid="{00000000-0005-0000-0000-0000E7000000}"/>
    <cellStyle name="20% - 강조색3 2 6 3" xfId="240" xr:uid="{00000000-0005-0000-0000-0000E8000000}"/>
    <cellStyle name="20% - 강조색3 2 6 4" xfId="241" xr:uid="{00000000-0005-0000-0000-0000E9000000}"/>
    <cellStyle name="20% - 강조색3 2 6 5" xfId="242" xr:uid="{00000000-0005-0000-0000-0000EA000000}"/>
    <cellStyle name="20% - 강조색3 2 6 6" xfId="243" xr:uid="{00000000-0005-0000-0000-0000EB000000}"/>
    <cellStyle name="20% - 강조색3 2 7" xfId="244" xr:uid="{00000000-0005-0000-0000-0000EC000000}"/>
    <cellStyle name="20% - 강조색3 2 7 2" xfId="245" xr:uid="{00000000-0005-0000-0000-0000ED000000}"/>
    <cellStyle name="20% - 강조색3 2 7 3" xfId="246" xr:uid="{00000000-0005-0000-0000-0000EE000000}"/>
    <cellStyle name="20% - 강조색3 2 7 4" xfId="247" xr:uid="{00000000-0005-0000-0000-0000EF000000}"/>
    <cellStyle name="20% - 강조색3 2 7 5" xfId="248" xr:uid="{00000000-0005-0000-0000-0000F0000000}"/>
    <cellStyle name="20% - 강조색3 2 7 6" xfId="249" xr:uid="{00000000-0005-0000-0000-0000F1000000}"/>
    <cellStyle name="20% - 강조색3 2 8" xfId="250" xr:uid="{00000000-0005-0000-0000-0000F2000000}"/>
    <cellStyle name="20% - 강조색3 2 8 2" xfId="251" xr:uid="{00000000-0005-0000-0000-0000F3000000}"/>
    <cellStyle name="20% - 강조색3 2 8 3" xfId="252" xr:uid="{00000000-0005-0000-0000-0000F4000000}"/>
    <cellStyle name="20% - 강조색3 2 8 4" xfId="253" xr:uid="{00000000-0005-0000-0000-0000F5000000}"/>
    <cellStyle name="20% - 강조색3 2 8 5" xfId="254" xr:uid="{00000000-0005-0000-0000-0000F6000000}"/>
    <cellStyle name="20% - 강조색3 2 8 6" xfId="255" xr:uid="{00000000-0005-0000-0000-0000F7000000}"/>
    <cellStyle name="20% - 강조색3 2 9" xfId="256" xr:uid="{00000000-0005-0000-0000-0000F8000000}"/>
    <cellStyle name="20% - 강조색3 2 9 2" xfId="257" xr:uid="{00000000-0005-0000-0000-0000F9000000}"/>
    <cellStyle name="20% - 강조색3 2 9 3" xfId="258" xr:uid="{00000000-0005-0000-0000-0000FA000000}"/>
    <cellStyle name="20% - 강조색3 2 9 4" xfId="259" xr:uid="{00000000-0005-0000-0000-0000FB000000}"/>
    <cellStyle name="20% - 강조색3 2 9 5" xfId="260" xr:uid="{00000000-0005-0000-0000-0000FC000000}"/>
    <cellStyle name="20% - 강조색3 2 9 6" xfId="261" xr:uid="{00000000-0005-0000-0000-0000FD000000}"/>
    <cellStyle name="20% - 강조색4 2" xfId="262" xr:uid="{00000000-0005-0000-0000-0000FE000000}"/>
    <cellStyle name="20% - 강조색4 2 10" xfId="263" xr:uid="{00000000-0005-0000-0000-0000FF000000}"/>
    <cellStyle name="20% - 강조색4 2 10 2" xfId="264" xr:uid="{00000000-0005-0000-0000-000000010000}"/>
    <cellStyle name="20% - 강조색4 2 10 3" xfId="265" xr:uid="{00000000-0005-0000-0000-000001010000}"/>
    <cellStyle name="20% - 강조색4 2 10 4" xfId="266" xr:uid="{00000000-0005-0000-0000-000002010000}"/>
    <cellStyle name="20% - 강조색4 2 10 5" xfId="267" xr:uid="{00000000-0005-0000-0000-000003010000}"/>
    <cellStyle name="20% - 강조색4 2 10 6" xfId="268" xr:uid="{00000000-0005-0000-0000-000004010000}"/>
    <cellStyle name="20% - 강조색4 2 11" xfId="269" xr:uid="{00000000-0005-0000-0000-000005010000}"/>
    <cellStyle name="20% - 강조색4 2 11 2" xfId="270" xr:uid="{00000000-0005-0000-0000-000006010000}"/>
    <cellStyle name="20% - 강조색4 2 11 3" xfId="271" xr:uid="{00000000-0005-0000-0000-000007010000}"/>
    <cellStyle name="20% - 강조색4 2 11 4" xfId="272" xr:uid="{00000000-0005-0000-0000-000008010000}"/>
    <cellStyle name="20% - 강조색4 2 11 5" xfId="273" xr:uid="{00000000-0005-0000-0000-000009010000}"/>
    <cellStyle name="20% - 강조색4 2 11 6" xfId="274" xr:uid="{00000000-0005-0000-0000-00000A010000}"/>
    <cellStyle name="20% - 강조색4 2 12" xfId="275" xr:uid="{00000000-0005-0000-0000-00000B010000}"/>
    <cellStyle name="20% - 강조색4 2 12 2" xfId="276" xr:uid="{00000000-0005-0000-0000-00000C010000}"/>
    <cellStyle name="20% - 강조색4 2 12 3" xfId="277" xr:uid="{00000000-0005-0000-0000-00000D010000}"/>
    <cellStyle name="20% - 강조색4 2 12 4" xfId="278" xr:uid="{00000000-0005-0000-0000-00000E010000}"/>
    <cellStyle name="20% - 강조색4 2 12 5" xfId="279" xr:uid="{00000000-0005-0000-0000-00000F010000}"/>
    <cellStyle name="20% - 강조색4 2 12 6" xfId="280" xr:uid="{00000000-0005-0000-0000-000010010000}"/>
    <cellStyle name="20% - 강조색4 2 13" xfId="281" xr:uid="{00000000-0005-0000-0000-000011010000}"/>
    <cellStyle name="20% - 강조색4 2 13 2" xfId="282" xr:uid="{00000000-0005-0000-0000-000012010000}"/>
    <cellStyle name="20% - 강조색4 2 13 3" xfId="283" xr:uid="{00000000-0005-0000-0000-000013010000}"/>
    <cellStyle name="20% - 강조색4 2 13 4" xfId="284" xr:uid="{00000000-0005-0000-0000-000014010000}"/>
    <cellStyle name="20% - 강조색4 2 13 5" xfId="285" xr:uid="{00000000-0005-0000-0000-000015010000}"/>
    <cellStyle name="20% - 강조색4 2 13 6" xfId="286" xr:uid="{00000000-0005-0000-0000-000016010000}"/>
    <cellStyle name="20% - 강조색4 2 14" xfId="287" xr:uid="{00000000-0005-0000-0000-000017010000}"/>
    <cellStyle name="20% - 강조색4 2 14 2" xfId="288" xr:uid="{00000000-0005-0000-0000-000018010000}"/>
    <cellStyle name="20% - 강조색4 2 14 3" xfId="289" xr:uid="{00000000-0005-0000-0000-000019010000}"/>
    <cellStyle name="20% - 강조색4 2 14 4" xfId="290" xr:uid="{00000000-0005-0000-0000-00001A010000}"/>
    <cellStyle name="20% - 강조색4 2 14 5" xfId="291" xr:uid="{00000000-0005-0000-0000-00001B010000}"/>
    <cellStyle name="20% - 강조색4 2 14 6" xfId="292" xr:uid="{00000000-0005-0000-0000-00001C010000}"/>
    <cellStyle name="20% - 강조색4 2 15" xfId="293" xr:uid="{00000000-0005-0000-0000-00001D010000}"/>
    <cellStyle name="20% - 강조색4 2 16" xfId="294" xr:uid="{00000000-0005-0000-0000-00001E010000}"/>
    <cellStyle name="20% - 강조색4 2 17" xfId="295" xr:uid="{00000000-0005-0000-0000-00001F010000}"/>
    <cellStyle name="20% - 강조색4 2 18" xfId="296" xr:uid="{00000000-0005-0000-0000-000020010000}"/>
    <cellStyle name="20% - 강조색4 2 19" xfId="297" xr:uid="{00000000-0005-0000-0000-000021010000}"/>
    <cellStyle name="20% - 강조색4 2 2" xfId="298" xr:uid="{00000000-0005-0000-0000-000022010000}"/>
    <cellStyle name="20% - 강조색4 2 2 2" xfId="299" xr:uid="{00000000-0005-0000-0000-000023010000}"/>
    <cellStyle name="20% - 강조색4 2 2 3" xfId="300" xr:uid="{00000000-0005-0000-0000-000024010000}"/>
    <cellStyle name="20% - 강조색4 2 2 4" xfId="301" xr:uid="{00000000-0005-0000-0000-000025010000}"/>
    <cellStyle name="20% - 강조색4 2 2 5" xfId="302" xr:uid="{00000000-0005-0000-0000-000026010000}"/>
    <cellStyle name="20% - 강조색4 2 2 6" xfId="303" xr:uid="{00000000-0005-0000-0000-000027010000}"/>
    <cellStyle name="20% - 강조색4 2 3" xfId="304" xr:uid="{00000000-0005-0000-0000-000028010000}"/>
    <cellStyle name="20% - 강조색4 2 3 2" xfId="305" xr:uid="{00000000-0005-0000-0000-000029010000}"/>
    <cellStyle name="20% - 강조색4 2 3 3" xfId="306" xr:uid="{00000000-0005-0000-0000-00002A010000}"/>
    <cellStyle name="20% - 강조색4 2 3 4" xfId="307" xr:uid="{00000000-0005-0000-0000-00002B010000}"/>
    <cellStyle name="20% - 강조색4 2 3 5" xfId="308" xr:uid="{00000000-0005-0000-0000-00002C010000}"/>
    <cellStyle name="20% - 강조색4 2 3 6" xfId="309" xr:uid="{00000000-0005-0000-0000-00002D010000}"/>
    <cellStyle name="20% - 강조색4 2 4" xfId="310" xr:uid="{00000000-0005-0000-0000-00002E010000}"/>
    <cellStyle name="20% - 강조색4 2 4 2" xfId="311" xr:uid="{00000000-0005-0000-0000-00002F010000}"/>
    <cellStyle name="20% - 강조색4 2 4 3" xfId="312" xr:uid="{00000000-0005-0000-0000-000030010000}"/>
    <cellStyle name="20% - 강조색4 2 4 4" xfId="313" xr:uid="{00000000-0005-0000-0000-000031010000}"/>
    <cellStyle name="20% - 강조색4 2 4 5" xfId="314" xr:uid="{00000000-0005-0000-0000-000032010000}"/>
    <cellStyle name="20% - 강조색4 2 4 6" xfId="315" xr:uid="{00000000-0005-0000-0000-000033010000}"/>
    <cellStyle name="20% - 강조색4 2 5" xfId="316" xr:uid="{00000000-0005-0000-0000-000034010000}"/>
    <cellStyle name="20% - 강조색4 2 5 2" xfId="317" xr:uid="{00000000-0005-0000-0000-000035010000}"/>
    <cellStyle name="20% - 강조색4 2 5 3" xfId="318" xr:uid="{00000000-0005-0000-0000-000036010000}"/>
    <cellStyle name="20% - 강조색4 2 5 4" xfId="319" xr:uid="{00000000-0005-0000-0000-000037010000}"/>
    <cellStyle name="20% - 강조색4 2 5 5" xfId="320" xr:uid="{00000000-0005-0000-0000-000038010000}"/>
    <cellStyle name="20% - 강조색4 2 5 6" xfId="321" xr:uid="{00000000-0005-0000-0000-000039010000}"/>
    <cellStyle name="20% - 강조색4 2 6" xfId="322" xr:uid="{00000000-0005-0000-0000-00003A010000}"/>
    <cellStyle name="20% - 강조색4 2 6 2" xfId="323" xr:uid="{00000000-0005-0000-0000-00003B010000}"/>
    <cellStyle name="20% - 강조색4 2 6 3" xfId="324" xr:uid="{00000000-0005-0000-0000-00003C010000}"/>
    <cellStyle name="20% - 강조색4 2 6 4" xfId="325" xr:uid="{00000000-0005-0000-0000-00003D010000}"/>
    <cellStyle name="20% - 강조색4 2 6 5" xfId="326" xr:uid="{00000000-0005-0000-0000-00003E010000}"/>
    <cellStyle name="20% - 강조색4 2 6 6" xfId="327" xr:uid="{00000000-0005-0000-0000-00003F010000}"/>
    <cellStyle name="20% - 강조색4 2 7" xfId="328" xr:uid="{00000000-0005-0000-0000-000040010000}"/>
    <cellStyle name="20% - 강조색4 2 7 2" xfId="329" xr:uid="{00000000-0005-0000-0000-000041010000}"/>
    <cellStyle name="20% - 강조색4 2 7 3" xfId="330" xr:uid="{00000000-0005-0000-0000-000042010000}"/>
    <cellStyle name="20% - 강조색4 2 7 4" xfId="331" xr:uid="{00000000-0005-0000-0000-000043010000}"/>
    <cellStyle name="20% - 강조색4 2 7 5" xfId="332" xr:uid="{00000000-0005-0000-0000-000044010000}"/>
    <cellStyle name="20% - 강조색4 2 7 6" xfId="333" xr:uid="{00000000-0005-0000-0000-000045010000}"/>
    <cellStyle name="20% - 강조색4 2 8" xfId="334" xr:uid="{00000000-0005-0000-0000-000046010000}"/>
    <cellStyle name="20% - 강조색4 2 8 2" xfId="335" xr:uid="{00000000-0005-0000-0000-000047010000}"/>
    <cellStyle name="20% - 강조색4 2 8 3" xfId="336" xr:uid="{00000000-0005-0000-0000-000048010000}"/>
    <cellStyle name="20% - 강조색4 2 8 4" xfId="337" xr:uid="{00000000-0005-0000-0000-000049010000}"/>
    <cellStyle name="20% - 강조색4 2 8 5" xfId="338" xr:uid="{00000000-0005-0000-0000-00004A010000}"/>
    <cellStyle name="20% - 강조색4 2 8 6" xfId="339" xr:uid="{00000000-0005-0000-0000-00004B010000}"/>
    <cellStyle name="20% - 강조색4 2 9" xfId="340" xr:uid="{00000000-0005-0000-0000-00004C010000}"/>
    <cellStyle name="20% - 강조색4 2 9 2" xfId="341" xr:uid="{00000000-0005-0000-0000-00004D010000}"/>
    <cellStyle name="20% - 강조색4 2 9 3" xfId="342" xr:uid="{00000000-0005-0000-0000-00004E010000}"/>
    <cellStyle name="20% - 강조색4 2 9 4" xfId="343" xr:uid="{00000000-0005-0000-0000-00004F010000}"/>
    <cellStyle name="20% - 강조색4 2 9 5" xfId="344" xr:uid="{00000000-0005-0000-0000-000050010000}"/>
    <cellStyle name="20% - 강조색4 2 9 6" xfId="345" xr:uid="{00000000-0005-0000-0000-000051010000}"/>
    <cellStyle name="20% - 강조색5 2" xfId="346" xr:uid="{00000000-0005-0000-0000-000052010000}"/>
    <cellStyle name="20% - 강조색5 2 10" xfId="347" xr:uid="{00000000-0005-0000-0000-000053010000}"/>
    <cellStyle name="20% - 강조색5 2 10 2" xfId="348" xr:uid="{00000000-0005-0000-0000-000054010000}"/>
    <cellStyle name="20% - 강조색5 2 10 3" xfId="349" xr:uid="{00000000-0005-0000-0000-000055010000}"/>
    <cellStyle name="20% - 강조색5 2 10 4" xfId="350" xr:uid="{00000000-0005-0000-0000-000056010000}"/>
    <cellStyle name="20% - 강조색5 2 10 5" xfId="351" xr:uid="{00000000-0005-0000-0000-000057010000}"/>
    <cellStyle name="20% - 강조색5 2 10 6" xfId="352" xr:uid="{00000000-0005-0000-0000-000058010000}"/>
    <cellStyle name="20% - 강조색5 2 11" xfId="353" xr:uid="{00000000-0005-0000-0000-000059010000}"/>
    <cellStyle name="20% - 강조색5 2 11 2" xfId="354" xr:uid="{00000000-0005-0000-0000-00005A010000}"/>
    <cellStyle name="20% - 강조색5 2 11 3" xfId="355" xr:uid="{00000000-0005-0000-0000-00005B010000}"/>
    <cellStyle name="20% - 강조색5 2 11 4" xfId="356" xr:uid="{00000000-0005-0000-0000-00005C010000}"/>
    <cellStyle name="20% - 강조색5 2 11 5" xfId="357" xr:uid="{00000000-0005-0000-0000-00005D010000}"/>
    <cellStyle name="20% - 강조색5 2 11 6" xfId="358" xr:uid="{00000000-0005-0000-0000-00005E010000}"/>
    <cellStyle name="20% - 강조색5 2 12" xfId="359" xr:uid="{00000000-0005-0000-0000-00005F010000}"/>
    <cellStyle name="20% - 강조색5 2 12 2" xfId="360" xr:uid="{00000000-0005-0000-0000-000060010000}"/>
    <cellStyle name="20% - 강조색5 2 12 3" xfId="361" xr:uid="{00000000-0005-0000-0000-000061010000}"/>
    <cellStyle name="20% - 강조색5 2 12 4" xfId="362" xr:uid="{00000000-0005-0000-0000-000062010000}"/>
    <cellStyle name="20% - 강조색5 2 12 5" xfId="363" xr:uid="{00000000-0005-0000-0000-000063010000}"/>
    <cellStyle name="20% - 강조색5 2 12 6" xfId="364" xr:uid="{00000000-0005-0000-0000-000064010000}"/>
    <cellStyle name="20% - 강조색5 2 13" xfId="365" xr:uid="{00000000-0005-0000-0000-000065010000}"/>
    <cellStyle name="20% - 강조색5 2 13 2" xfId="366" xr:uid="{00000000-0005-0000-0000-000066010000}"/>
    <cellStyle name="20% - 강조색5 2 13 3" xfId="367" xr:uid="{00000000-0005-0000-0000-000067010000}"/>
    <cellStyle name="20% - 강조색5 2 13 4" xfId="368" xr:uid="{00000000-0005-0000-0000-000068010000}"/>
    <cellStyle name="20% - 강조색5 2 13 5" xfId="369" xr:uid="{00000000-0005-0000-0000-000069010000}"/>
    <cellStyle name="20% - 강조색5 2 13 6" xfId="370" xr:uid="{00000000-0005-0000-0000-00006A010000}"/>
    <cellStyle name="20% - 강조색5 2 14" xfId="371" xr:uid="{00000000-0005-0000-0000-00006B010000}"/>
    <cellStyle name="20% - 강조색5 2 14 2" xfId="372" xr:uid="{00000000-0005-0000-0000-00006C010000}"/>
    <cellStyle name="20% - 강조색5 2 14 3" xfId="373" xr:uid="{00000000-0005-0000-0000-00006D010000}"/>
    <cellStyle name="20% - 강조색5 2 14 4" xfId="374" xr:uid="{00000000-0005-0000-0000-00006E010000}"/>
    <cellStyle name="20% - 강조색5 2 14 5" xfId="375" xr:uid="{00000000-0005-0000-0000-00006F010000}"/>
    <cellStyle name="20% - 강조색5 2 14 6" xfId="376" xr:uid="{00000000-0005-0000-0000-000070010000}"/>
    <cellStyle name="20% - 강조색5 2 15" xfId="377" xr:uid="{00000000-0005-0000-0000-000071010000}"/>
    <cellStyle name="20% - 강조색5 2 16" xfId="378" xr:uid="{00000000-0005-0000-0000-000072010000}"/>
    <cellStyle name="20% - 강조색5 2 17" xfId="379" xr:uid="{00000000-0005-0000-0000-000073010000}"/>
    <cellStyle name="20% - 강조색5 2 18" xfId="380" xr:uid="{00000000-0005-0000-0000-000074010000}"/>
    <cellStyle name="20% - 강조색5 2 19" xfId="381" xr:uid="{00000000-0005-0000-0000-000075010000}"/>
    <cellStyle name="20% - 강조색5 2 2" xfId="382" xr:uid="{00000000-0005-0000-0000-000076010000}"/>
    <cellStyle name="20% - 강조색5 2 2 2" xfId="383" xr:uid="{00000000-0005-0000-0000-000077010000}"/>
    <cellStyle name="20% - 강조색5 2 2 3" xfId="384" xr:uid="{00000000-0005-0000-0000-000078010000}"/>
    <cellStyle name="20% - 강조색5 2 2 4" xfId="385" xr:uid="{00000000-0005-0000-0000-000079010000}"/>
    <cellStyle name="20% - 강조색5 2 2 5" xfId="386" xr:uid="{00000000-0005-0000-0000-00007A010000}"/>
    <cellStyle name="20% - 강조색5 2 2 6" xfId="387" xr:uid="{00000000-0005-0000-0000-00007B010000}"/>
    <cellStyle name="20% - 강조색5 2 3" xfId="388" xr:uid="{00000000-0005-0000-0000-00007C010000}"/>
    <cellStyle name="20% - 강조색5 2 3 2" xfId="389" xr:uid="{00000000-0005-0000-0000-00007D010000}"/>
    <cellStyle name="20% - 강조색5 2 3 3" xfId="390" xr:uid="{00000000-0005-0000-0000-00007E010000}"/>
    <cellStyle name="20% - 강조색5 2 3 4" xfId="391" xr:uid="{00000000-0005-0000-0000-00007F010000}"/>
    <cellStyle name="20% - 강조색5 2 3 5" xfId="392" xr:uid="{00000000-0005-0000-0000-000080010000}"/>
    <cellStyle name="20% - 강조색5 2 3 6" xfId="393" xr:uid="{00000000-0005-0000-0000-000081010000}"/>
    <cellStyle name="20% - 강조색5 2 4" xfId="394" xr:uid="{00000000-0005-0000-0000-000082010000}"/>
    <cellStyle name="20% - 강조색5 2 4 2" xfId="395" xr:uid="{00000000-0005-0000-0000-000083010000}"/>
    <cellStyle name="20% - 강조색5 2 4 3" xfId="396" xr:uid="{00000000-0005-0000-0000-000084010000}"/>
    <cellStyle name="20% - 강조색5 2 4 4" xfId="397" xr:uid="{00000000-0005-0000-0000-000085010000}"/>
    <cellStyle name="20% - 강조색5 2 4 5" xfId="398" xr:uid="{00000000-0005-0000-0000-000086010000}"/>
    <cellStyle name="20% - 강조색5 2 4 6" xfId="399" xr:uid="{00000000-0005-0000-0000-000087010000}"/>
    <cellStyle name="20% - 강조색5 2 5" xfId="400" xr:uid="{00000000-0005-0000-0000-000088010000}"/>
    <cellStyle name="20% - 강조색5 2 5 2" xfId="401" xr:uid="{00000000-0005-0000-0000-000089010000}"/>
    <cellStyle name="20% - 강조색5 2 5 3" xfId="402" xr:uid="{00000000-0005-0000-0000-00008A010000}"/>
    <cellStyle name="20% - 강조색5 2 5 4" xfId="403" xr:uid="{00000000-0005-0000-0000-00008B010000}"/>
    <cellStyle name="20% - 강조색5 2 5 5" xfId="404" xr:uid="{00000000-0005-0000-0000-00008C010000}"/>
    <cellStyle name="20% - 강조색5 2 5 6" xfId="405" xr:uid="{00000000-0005-0000-0000-00008D010000}"/>
    <cellStyle name="20% - 강조색5 2 6" xfId="406" xr:uid="{00000000-0005-0000-0000-00008E010000}"/>
    <cellStyle name="20% - 강조색5 2 6 2" xfId="407" xr:uid="{00000000-0005-0000-0000-00008F010000}"/>
    <cellStyle name="20% - 강조색5 2 6 3" xfId="408" xr:uid="{00000000-0005-0000-0000-000090010000}"/>
    <cellStyle name="20% - 강조색5 2 6 4" xfId="409" xr:uid="{00000000-0005-0000-0000-000091010000}"/>
    <cellStyle name="20% - 강조색5 2 6 5" xfId="410" xr:uid="{00000000-0005-0000-0000-000092010000}"/>
    <cellStyle name="20% - 강조색5 2 6 6" xfId="411" xr:uid="{00000000-0005-0000-0000-000093010000}"/>
    <cellStyle name="20% - 강조색5 2 7" xfId="412" xr:uid="{00000000-0005-0000-0000-000094010000}"/>
    <cellStyle name="20% - 강조색5 2 7 2" xfId="413" xr:uid="{00000000-0005-0000-0000-000095010000}"/>
    <cellStyle name="20% - 강조색5 2 7 3" xfId="414" xr:uid="{00000000-0005-0000-0000-000096010000}"/>
    <cellStyle name="20% - 강조색5 2 7 4" xfId="415" xr:uid="{00000000-0005-0000-0000-000097010000}"/>
    <cellStyle name="20% - 강조색5 2 7 5" xfId="416" xr:uid="{00000000-0005-0000-0000-000098010000}"/>
    <cellStyle name="20% - 강조색5 2 7 6" xfId="417" xr:uid="{00000000-0005-0000-0000-000099010000}"/>
    <cellStyle name="20% - 강조색5 2 8" xfId="418" xr:uid="{00000000-0005-0000-0000-00009A010000}"/>
    <cellStyle name="20% - 강조색5 2 8 2" xfId="419" xr:uid="{00000000-0005-0000-0000-00009B010000}"/>
    <cellStyle name="20% - 강조색5 2 8 3" xfId="420" xr:uid="{00000000-0005-0000-0000-00009C010000}"/>
    <cellStyle name="20% - 강조색5 2 8 4" xfId="421" xr:uid="{00000000-0005-0000-0000-00009D010000}"/>
    <cellStyle name="20% - 강조색5 2 8 5" xfId="422" xr:uid="{00000000-0005-0000-0000-00009E010000}"/>
    <cellStyle name="20% - 강조색5 2 8 6" xfId="423" xr:uid="{00000000-0005-0000-0000-00009F010000}"/>
    <cellStyle name="20% - 강조색5 2 9" xfId="424" xr:uid="{00000000-0005-0000-0000-0000A0010000}"/>
    <cellStyle name="20% - 강조색5 2 9 2" xfId="425" xr:uid="{00000000-0005-0000-0000-0000A1010000}"/>
    <cellStyle name="20% - 강조색5 2 9 3" xfId="426" xr:uid="{00000000-0005-0000-0000-0000A2010000}"/>
    <cellStyle name="20% - 강조색5 2 9 4" xfId="427" xr:uid="{00000000-0005-0000-0000-0000A3010000}"/>
    <cellStyle name="20% - 강조색5 2 9 5" xfId="428" xr:uid="{00000000-0005-0000-0000-0000A4010000}"/>
    <cellStyle name="20% - 강조색5 2 9 6" xfId="429" xr:uid="{00000000-0005-0000-0000-0000A5010000}"/>
    <cellStyle name="20% - 강조색6 2" xfId="430" xr:uid="{00000000-0005-0000-0000-0000A6010000}"/>
    <cellStyle name="20% - 강조색6 2 10" xfId="431" xr:uid="{00000000-0005-0000-0000-0000A7010000}"/>
    <cellStyle name="20% - 강조색6 2 10 2" xfId="432" xr:uid="{00000000-0005-0000-0000-0000A8010000}"/>
    <cellStyle name="20% - 강조색6 2 10 3" xfId="433" xr:uid="{00000000-0005-0000-0000-0000A9010000}"/>
    <cellStyle name="20% - 강조색6 2 10 4" xfId="434" xr:uid="{00000000-0005-0000-0000-0000AA010000}"/>
    <cellStyle name="20% - 강조색6 2 10 5" xfId="435" xr:uid="{00000000-0005-0000-0000-0000AB010000}"/>
    <cellStyle name="20% - 강조색6 2 10 6" xfId="436" xr:uid="{00000000-0005-0000-0000-0000AC010000}"/>
    <cellStyle name="20% - 강조색6 2 11" xfId="437" xr:uid="{00000000-0005-0000-0000-0000AD010000}"/>
    <cellStyle name="20% - 강조색6 2 11 2" xfId="438" xr:uid="{00000000-0005-0000-0000-0000AE010000}"/>
    <cellStyle name="20% - 강조색6 2 11 3" xfId="439" xr:uid="{00000000-0005-0000-0000-0000AF010000}"/>
    <cellStyle name="20% - 강조색6 2 11 4" xfId="440" xr:uid="{00000000-0005-0000-0000-0000B0010000}"/>
    <cellStyle name="20% - 강조색6 2 11 5" xfId="441" xr:uid="{00000000-0005-0000-0000-0000B1010000}"/>
    <cellStyle name="20% - 강조색6 2 11 6" xfId="442" xr:uid="{00000000-0005-0000-0000-0000B2010000}"/>
    <cellStyle name="20% - 강조색6 2 12" xfId="443" xr:uid="{00000000-0005-0000-0000-0000B3010000}"/>
    <cellStyle name="20% - 강조색6 2 12 2" xfId="444" xr:uid="{00000000-0005-0000-0000-0000B4010000}"/>
    <cellStyle name="20% - 강조색6 2 12 3" xfId="445" xr:uid="{00000000-0005-0000-0000-0000B5010000}"/>
    <cellStyle name="20% - 강조색6 2 12 4" xfId="446" xr:uid="{00000000-0005-0000-0000-0000B6010000}"/>
    <cellStyle name="20% - 강조색6 2 12 5" xfId="447" xr:uid="{00000000-0005-0000-0000-0000B7010000}"/>
    <cellStyle name="20% - 강조색6 2 12 6" xfId="448" xr:uid="{00000000-0005-0000-0000-0000B8010000}"/>
    <cellStyle name="20% - 강조색6 2 13" xfId="449" xr:uid="{00000000-0005-0000-0000-0000B9010000}"/>
    <cellStyle name="20% - 강조색6 2 13 2" xfId="450" xr:uid="{00000000-0005-0000-0000-0000BA010000}"/>
    <cellStyle name="20% - 강조색6 2 13 3" xfId="451" xr:uid="{00000000-0005-0000-0000-0000BB010000}"/>
    <cellStyle name="20% - 강조색6 2 13 4" xfId="452" xr:uid="{00000000-0005-0000-0000-0000BC010000}"/>
    <cellStyle name="20% - 강조색6 2 13 5" xfId="453" xr:uid="{00000000-0005-0000-0000-0000BD010000}"/>
    <cellStyle name="20% - 강조색6 2 13 6" xfId="454" xr:uid="{00000000-0005-0000-0000-0000BE010000}"/>
    <cellStyle name="20% - 강조색6 2 14" xfId="455" xr:uid="{00000000-0005-0000-0000-0000BF010000}"/>
    <cellStyle name="20% - 강조색6 2 14 2" xfId="456" xr:uid="{00000000-0005-0000-0000-0000C0010000}"/>
    <cellStyle name="20% - 강조색6 2 14 3" xfId="457" xr:uid="{00000000-0005-0000-0000-0000C1010000}"/>
    <cellStyle name="20% - 강조색6 2 14 4" xfId="458" xr:uid="{00000000-0005-0000-0000-0000C2010000}"/>
    <cellStyle name="20% - 강조색6 2 14 5" xfId="459" xr:uid="{00000000-0005-0000-0000-0000C3010000}"/>
    <cellStyle name="20% - 강조색6 2 14 6" xfId="460" xr:uid="{00000000-0005-0000-0000-0000C4010000}"/>
    <cellStyle name="20% - 강조색6 2 15" xfId="461" xr:uid="{00000000-0005-0000-0000-0000C5010000}"/>
    <cellStyle name="20% - 강조색6 2 16" xfId="462" xr:uid="{00000000-0005-0000-0000-0000C6010000}"/>
    <cellStyle name="20% - 강조색6 2 17" xfId="463" xr:uid="{00000000-0005-0000-0000-0000C7010000}"/>
    <cellStyle name="20% - 강조색6 2 18" xfId="464" xr:uid="{00000000-0005-0000-0000-0000C8010000}"/>
    <cellStyle name="20% - 강조색6 2 19" xfId="465" xr:uid="{00000000-0005-0000-0000-0000C9010000}"/>
    <cellStyle name="20% - 강조색6 2 2" xfId="466" xr:uid="{00000000-0005-0000-0000-0000CA010000}"/>
    <cellStyle name="20% - 강조색6 2 2 2" xfId="467" xr:uid="{00000000-0005-0000-0000-0000CB010000}"/>
    <cellStyle name="20% - 강조색6 2 2 3" xfId="468" xr:uid="{00000000-0005-0000-0000-0000CC010000}"/>
    <cellStyle name="20% - 강조색6 2 2 4" xfId="469" xr:uid="{00000000-0005-0000-0000-0000CD010000}"/>
    <cellStyle name="20% - 강조색6 2 2 5" xfId="470" xr:uid="{00000000-0005-0000-0000-0000CE010000}"/>
    <cellStyle name="20% - 강조색6 2 2 6" xfId="471" xr:uid="{00000000-0005-0000-0000-0000CF010000}"/>
    <cellStyle name="20% - 강조색6 2 3" xfId="472" xr:uid="{00000000-0005-0000-0000-0000D0010000}"/>
    <cellStyle name="20% - 강조색6 2 3 2" xfId="473" xr:uid="{00000000-0005-0000-0000-0000D1010000}"/>
    <cellStyle name="20% - 강조색6 2 3 3" xfId="474" xr:uid="{00000000-0005-0000-0000-0000D2010000}"/>
    <cellStyle name="20% - 강조색6 2 3 4" xfId="475" xr:uid="{00000000-0005-0000-0000-0000D3010000}"/>
    <cellStyle name="20% - 강조색6 2 3 5" xfId="476" xr:uid="{00000000-0005-0000-0000-0000D4010000}"/>
    <cellStyle name="20% - 강조색6 2 3 6" xfId="477" xr:uid="{00000000-0005-0000-0000-0000D5010000}"/>
    <cellStyle name="20% - 강조색6 2 4" xfId="478" xr:uid="{00000000-0005-0000-0000-0000D6010000}"/>
    <cellStyle name="20% - 강조색6 2 4 2" xfId="479" xr:uid="{00000000-0005-0000-0000-0000D7010000}"/>
    <cellStyle name="20% - 강조색6 2 4 3" xfId="480" xr:uid="{00000000-0005-0000-0000-0000D8010000}"/>
    <cellStyle name="20% - 강조색6 2 4 4" xfId="481" xr:uid="{00000000-0005-0000-0000-0000D9010000}"/>
    <cellStyle name="20% - 강조색6 2 4 5" xfId="482" xr:uid="{00000000-0005-0000-0000-0000DA010000}"/>
    <cellStyle name="20% - 강조색6 2 4 6" xfId="483" xr:uid="{00000000-0005-0000-0000-0000DB010000}"/>
    <cellStyle name="20% - 강조색6 2 5" xfId="484" xr:uid="{00000000-0005-0000-0000-0000DC010000}"/>
    <cellStyle name="20% - 강조색6 2 5 2" xfId="485" xr:uid="{00000000-0005-0000-0000-0000DD010000}"/>
    <cellStyle name="20% - 강조색6 2 5 3" xfId="486" xr:uid="{00000000-0005-0000-0000-0000DE010000}"/>
    <cellStyle name="20% - 강조색6 2 5 4" xfId="487" xr:uid="{00000000-0005-0000-0000-0000DF010000}"/>
    <cellStyle name="20% - 강조색6 2 5 5" xfId="488" xr:uid="{00000000-0005-0000-0000-0000E0010000}"/>
    <cellStyle name="20% - 강조색6 2 5 6" xfId="489" xr:uid="{00000000-0005-0000-0000-0000E1010000}"/>
    <cellStyle name="20% - 강조색6 2 6" xfId="490" xr:uid="{00000000-0005-0000-0000-0000E2010000}"/>
    <cellStyle name="20% - 강조색6 2 6 2" xfId="491" xr:uid="{00000000-0005-0000-0000-0000E3010000}"/>
    <cellStyle name="20% - 강조색6 2 6 3" xfId="492" xr:uid="{00000000-0005-0000-0000-0000E4010000}"/>
    <cellStyle name="20% - 강조색6 2 6 4" xfId="493" xr:uid="{00000000-0005-0000-0000-0000E5010000}"/>
    <cellStyle name="20% - 강조색6 2 6 5" xfId="494" xr:uid="{00000000-0005-0000-0000-0000E6010000}"/>
    <cellStyle name="20% - 강조색6 2 6 6" xfId="495" xr:uid="{00000000-0005-0000-0000-0000E7010000}"/>
    <cellStyle name="20% - 강조색6 2 7" xfId="496" xr:uid="{00000000-0005-0000-0000-0000E8010000}"/>
    <cellStyle name="20% - 강조색6 2 7 2" xfId="497" xr:uid="{00000000-0005-0000-0000-0000E9010000}"/>
    <cellStyle name="20% - 강조색6 2 7 3" xfId="498" xr:uid="{00000000-0005-0000-0000-0000EA010000}"/>
    <cellStyle name="20% - 강조색6 2 7 4" xfId="499" xr:uid="{00000000-0005-0000-0000-0000EB010000}"/>
    <cellStyle name="20% - 강조색6 2 7 5" xfId="500" xr:uid="{00000000-0005-0000-0000-0000EC010000}"/>
    <cellStyle name="20% - 강조색6 2 7 6" xfId="501" xr:uid="{00000000-0005-0000-0000-0000ED010000}"/>
    <cellStyle name="20% - 강조색6 2 8" xfId="502" xr:uid="{00000000-0005-0000-0000-0000EE010000}"/>
    <cellStyle name="20% - 강조색6 2 8 2" xfId="503" xr:uid="{00000000-0005-0000-0000-0000EF010000}"/>
    <cellStyle name="20% - 강조색6 2 8 3" xfId="504" xr:uid="{00000000-0005-0000-0000-0000F0010000}"/>
    <cellStyle name="20% - 강조색6 2 8 4" xfId="505" xr:uid="{00000000-0005-0000-0000-0000F1010000}"/>
    <cellStyle name="20% - 강조색6 2 8 5" xfId="506" xr:uid="{00000000-0005-0000-0000-0000F2010000}"/>
    <cellStyle name="20% - 강조색6 2 8 6" xfId="507" xr:uid="{00000000-0005-0000-0000-0000F3010000}"/>
    <cellStyle name="20% - 강조색6 2 9" xfId="508" xr:uid="{00000000-0005-0000-0000-0000F4010000}"/>
    <cellStyle name="20% - 강조색6 2 9 2" xfId="509" xr:uid="{00000000-0005-0000-0000-0000F5010000}"/>
    <cellStyle name="20% - 강조색6 2 9 3" xfId="510" xr:uid="{00000000-0005-0000-0000-0000F6010000}"/>
    <cellStyle name="20% - 강조색6 2 9 4" xfId="511" xr:uid="{00000000-0005-0000-0000-0000F7010000}"/>
    <cellStyle name="20% - 강조색6 2 9 5" xfId="512" xr:uid="{00000000-0005-0000-0000-0000F8010000}"/>
    <cellStyle name="20% - 강조색6 2 9 6" xfId="513" xr:uid="{00000000-0005-0000-0000-0000F9010000}"/>
    <cellStyle name="40% - 강조색1 2" xfId="514" xr:uid="{00000000-0005-0000-0000-0000FA010000}"/>
    <cellStyle name="40% - 강조색1 2 10" xfId="515" xr:uid="{00000000-0005-0000-0000-0000FB010000}"/>
    <cellStyle name="40% - 강조색1 2 10 2" xfId="516" xr:uid="{00000000-0005-0000-0000-0000FC010000}"/>
    <cellStyle name="40% - 강조색1 2 10 3" xfId="517" xr:uid="{00000000-0005-0000-0000-0000FD010000}"/>
    <cellStyle name="40% - 강조색1 2 10 4" xfId="518" xr:uid="{00000000-0005-0000-0000-0000FE010000}"/>
    <cellStyle name="40% - 강조색1 2 10 5" xfId="519" xr:uid="{00000000-0005-0000-0000-0000FF010000}"/>
    <cellStyle name="40% - 강조색1 2 10 6" xfId="520" xr:uid="{00000000-0005-0000-0000-000000020000}"/>
    <cellStyle name="40% - 강조색1 2 11" xfId="521" xr:uid="{00000000-0005-0000-0000-000001020000}"/>
    <cellStyle name="40% - 강조색1 2 11 2" xfId="522" xr:uid="{00000000-0005-0000-0000-000002020000}"/>
    <cellStyle name="40% - 강조색1 2 11 3" xfId="523" xr:uid="{00000000-0005-0000-0000-000003020000}"/>
    <cellStyle name="40% - 강조색1 2 11 4" xfId="524" xr:uid="{00000000-0005-0000-0000-000004020000}"/>
    <cellStyle name="40% - 강조색1 2 11 5" xfId="525" xr:uid="{00000000-0005-0000-0000-000005020000}"/>
    <cellStyle name="40% - 강조색1 2 11 6" xfId="526" xr:uid="{00000000-0005-0000-0000-000006020000}"/>
    <cellStyle name="40% - 강조색1 2 12" xfId="527" xr:uid="{00000000-0005-0000-0000-000007020000}"/>
    <cellStyle name="40% - 강조색1 2 12 2" xfId="528" xr:uid="{00000000-0005-0000-0000-000008020000}"/>
    <cellStyle name="40% - 강조색1 2 12 3" xfId="529" xr:uid="{00000000-0005-0000-0000-000009020000}"/>
    <cellStyle name="40% - 강조색1 2 12 4" xfId="530" xr:uid="{00000000-0005-0000-0000-00000A020000}"/>
    <cellStyle name="40% - 강조색1 2 12 5" xfId="531" xr:uid="{00000000-0005-0000-0000-00000B020000}"/>
    <cellStyle name="40% - 강조색1 2 12 6" xfId="532" xr:uid="{00000000-0005-0000-0000-00000C020000}"/>
    <cellStyle name="40% - 강조색1 2 13" xfId="533" xr:uid="{00000000-0005-0000-0000-00000D020000}"/>
    <cellStyle name="40% - 강조색1 2 13 2" xfId="534" xr:uid="{00000000-0005-0000-0000-00000E020000}"/>
    <cellStyle name="40% - 강조색1 2 13 3" xfId="535" xr:uid="{00000000-0005-0000-0000-00000F020000}"/>
    <cellStyle name="40% - 강조색1 2 13 4" xfId="536" xr:uid="{00000000-0005-0000-0000-000010020000}"/>
    <cellStyle name="40% - 강조색1 2 13 5" xfId="537" xr:uid="{00000000-0005-0000-0000-000011020000}"/>
    <cellStyle name="40% - 강조색1 2 13 6" xfId="538" xr:uid="{00000000-0005-0000-0000-000012020000}"/>
    <cellStyle name="40% - 강조색1 2 14" xfId="539" xr:uid="{00000000-0005-0000-0000-000013020000}"/>
    <cellStyle name="40% - 강조색1 2 14 2" xfId="540" xr:uid="{00000000-0005-0000-0000-000014020000}"/>
    <cellStyle name="40% - 강조색1 2 14 3" xfId="541" xr:uid="{00000000-0005-0000-0000-000015020000}"/>
    <cellStyle name="40% - 강조색1 2 14 4" xfId="542" xr:uid="{00000000-0005-0000-0000-000016020000}"/>
    <cellStyle name="40% - 강조색1 2 14 5" xfId="543" xr:uid="{00000000-0005-0000-0000-000017020000}"/>
    <cellStyle name="40% - 강조색1 2 14 6" xfId="544" xr:uid="{00000000-0005-0000-0000-000018020000}"/>
    <cellStyle name="40% - 강조색1 2 15" xfId="545" xr:uid="{00000000-0005-0000-0000-000019020000}"/>
    <cellStyle name="40% - 강조색1 2 16" xfId="546" xr:uid="{00000000-0005-0000-0000-00001A020000}"/>
    <cellStyle name="40% - 강조색1 2 17" xfId="547" xr:uid="{00000000-0005-0000-0000-00001B020000}"/>
    <cellStyle name="40% - 강조색1 2 18" xfId="548" xr:uid="{00000000-0005-0000-0000-00001C020000}"/>
    <cellStyle name="40% - 강조색1 2 19" xfId="549" xr:uid="{00000000-0005-0000-0000-00001D020000}"/>
    <cellStyle name="40% - 강조색1 2 2" xfId="550" xr:uid="{00000000-0005-0000-0000-00001E020000}"/>
    <cellStyle name="40% - 강조색1 2 2 2" xfId="551" xr:uid="{00000000-0005-0000-0000-00001F020000}"/>
    <cellStyle name="40% - 강조색1 2 2 3" xfId="552" xr:uid="{00000000-0005-0000-0000-000020020000}"/>
    <cellStyle name="40% - 강조색1 2 2 4" xfId="553" xr:uid="{00000000-0005-0000-0000-000021020000}"/>
    <cellStyle name="40% - 강조색1 2 2 5" xfId="554" xr:uid="{00000000-0005-0000-0000-000022020000}"/>
    <cellStyle name="40% - 강조색1 2 2 6" xfId="555" xr:uid="{00000000-0005-0000-0000-000023020000}"/>
    <cellStyle name="40% - 강조색1 2 3" xfId="556" xr:uid="{00000000-0005-0000-0000-000024020000}"/>
    <cellStyle name="40% - 강조색1 2 3 2" xfId="557" xr:uid="{00000000-0005-0000-0000-000025020000}"/>
    <cellStyle name="40% - 강조색1 2 3 3" xfId="558" xr:uid="{00000000-0005-0000-0000-000026020000}"/>
    <cellStyle name="40% - 강조색1 2 3 4" xfId="559" xr:uid="{00000000-0005-0000-0000-000027020000}"/>
    <cellStyle name="40% - 강조색1 2 3 5" xfId="560" xr:uid="{00000000-0005-0000-0000-000028020000}"/>
    <cellStyle name="40% - 강조색1 2 3 6" xfId="561" xr:uid="{00000000-0005-0000-0000-000029020000}"/>
    <cellStyle name="40% - 강조색1 2 4" xfId="562" xr:uid="{00000000-0005-0000-0000-00002A020000}"/>
    <cellStyle name="40% - 강조색1 2 4 2" xfId="563" xr:uid="{00000000-0005-0000-0000-00002B020000}"/>
    <cellStyle name="40% - 강조색1 2 4 3" xfId="564" xr:uid="{00000000-0005-0000-0000-00002C020000}"/>
    <cellStyle name="40% - 강조색1 2 4 4" xfId="565" xr:uid="{00000000-0005-0000-0000-00002D020000}"/>
    <cellStyle name="40% - 강조색1 2 4 5" xfId="566" xr:uid="{00000000-0005-0000-0000-00002E020000}"/>
    <cellStyle name="40% - 강조색1 2 4 6" xfId="567" xr:uid="{00000000-0005-0000-0000-00002F020000}"/>
    <cellStyle name="40% - 강조색1 2 5" xfId="568" xr:uid="{00000000-0005-0000-0000-000030020000}"/>
    <cellStyle name="40% - 강조색1 2 5 2" xfId="569" xr:uid="{00000000-0005-0000-0000-000031020000}"/>
    <cellStyle name="40% - 강조색1 2 5 3" xfId="570" xr:uid="{00000000-0005-0000-0000-000032020000}"/>
    <cellStyle name="40% - 강조색1 2 5 4" xfId="571" xr:uid="{00000000-0005-0000-0000-000033020000}"/>
    <cellStyle name="40% - 강조색1 2 5 5" xfId="572" xr:uid="{00000000-0005-0000-0000-000034020000}"/>
    <cellStyle name="40% - 강조색1 2 5 6" xfId="573" xr:uid="{00000000-0005-0000-0000-000035020000}"/>
    <cellStyle name="40% - 강조색1 2 6" xfId="574" xr:uid="{00000000-0005-0000-0000-000036020000}"/>
    <cellStyle name="40% - 강조색1 2 6 2" xfId="575" xr:uid="{00000000-0005-0000-0000-000037020000}"/>
    <cellStyle name="40% - 강조색1 2 6 3" xfId="576" xr:uid="{00000000-0005-0000-0000-000038020000}"/>
    <cellStyle name="40% - 강조색1 2 6 4" xfId="577" xr:uid="{00000000-0005-0000-0000-000039020000}"/>
    <cellStyle name="40% - 강조색1 2 6 5" xfId="578" xr:uid="{00000000-0005-0000-0000-00003A020000}"/>
    <cellStyle name="40% - 강조색1 2 6 6" xfId="579" xr:uid="{00000000-0005-0000-0000-00003B020000}"/>
    <cellStyle name="40% - 강조색1 2 7" xfId="580" xr:uid="{00000000-0005-0000-0000-00003C020000}"/>
    <cellStyle name="40% - 강조색1 2 7 2" xfId="581" xr:uid="{00000000-0005-0000-0000-00003D020000}"/>
    <cellStyle name="40% - 강조색1 2 7 3" xfId="582" xr:uid="{00000000-0005-0000-0000-00003E020000}"/>
    <cellStyle name="40% - 강조색1 2 7 4" xfId="583" xr:uid="{00000000-0005-0000-0000-00003F020000}"/>
    <cellStyle name="40% - 강조색1 2 7 5" xfId="584" xr:uid="{00000000-0005-0000-0000-000040020000}"/>
    <cellStyle name="40% - 강조색1 2 7 6" xfId="585" xr:uid="{00000000-0005-0000-0000-000041020000}"/>
    <cellStyle name="40% - 강조색1 2 8" xfId="586" xr:uid="{00000000-0005-0000-0000-000042020000}"/>
    <cellStyle name="40% - 강조색1 2 8 2" xfId="587" xr:uid="{00000000-0005-0000-0000-000043020000}"/>
    <cellStyle name="40% - 강조색1 2 8 3" xfId="588" xr:uid="{00000000-0005-0000-0000-000044020000}"/>
    <cellStyle name="40% - 강조색1 2 8 4" xfId="589" xr:uid="{00000000-0005-0000-0000-000045020000}"/>
    <cellStyle name="40% - 강조색1 2 8 5" xfId="590" xr:uid="{00000000-0005-0000-0000-000046020000}"/>
    <cellStyle name="40% - 강조색1 2 8 6" xfId="591" xr:uid="{00000000-0005-0000-0000-000047020000}"/>
    <cellStyle name="40% - 강조색1 2 9" xfId="592" xr:uid="{00000000-0005-0000-0000-000048020000}"/>
    <cellStyle name="40% - 강조색1 2 9 2" xfId="593" xr:uid="{00000000-0005-0000-0000-000049020000}"/>
    <cellStyle name="40% - 강조색1 2 9 3" xfId="594" xr:uid="{00000000-0005-0000-0000-00004A020000}"/>
    <cellStyle name="40% - 강조색1 2 9 4" xfId="595" xr:uid="{00000000-0005-0000-0000-00004B020000}"/>
    <cellStyle name="40% - 강조색1 2 9 5" xfId="596" xr:uid="{00000000-0005-0000-0000-00004C020000}"/>
    <cellStyle name="40% - 강조색1 2 9 6" xfId="597" xr:uid="{00000000-0005-0000-0000-00004D020000}"/>
    <cellStyle name="40% - 강조색2 2" xfId="598" xr:uid="{00000000-0005-0000-0000-00004E020000}"/>
    <cellStyle name="40% - 강조색2 2 10" xfId="599" xr:uid="{00000000-0005-0000-0000-00004F020000}"/>
    <cellStyle name="40% - 강조색2 2 10 2" xfId="600" xr:uid="{00000000-0005-0000-0000-000050020000}"/>
    <cellStyle name="40% - 강조색2 2 10 3" xfId="601" xr:uid="{00000000-0005-0000-0000-000051020000}"/>
    <cellStyle name="40% - 강조색2 2 10 4" xfId="602" xr:uid="{00000000-0005-0000-0000-000052020000}"/>
    <cellStyle name="40% - 강조색2 2 10 5" xfId="603" xr:uid="{00000000-0005-0000-0000-000053020000}"/>
    <cellStyle name="40% - 강조색2 2 10 6" xfId="604" xr:uid="{00000000-0005-0000-0000-000054020000}"/>
    <cellStyle name="40% - 강조색2 2 11" xfId="605" xr:uid="{00000000-0005-0000-0000-000055020000}"/>
    <cellStyle name="40% - 강조색2 2 11 2" xfId="606" xr:uid="{00000000-0005-0000-0000-000056020000}"/>
    <cellStyle name="40% - 강조색2 2 11 3" xfId="607" xr:uid="{00000000-0005-0000-0000-000057020000}"/>
    <cellStyle name="40% - 강조색2 2 11 4" xfId="608" xr:uid="{00000000-0005-0000-0000-000058020000}"/>
    <cellStyle name="40% - 강조색2 2 11 5" xfId="609" xr:uid="{00000000-0005-0000-0000-000059020000}"/>
    <cellStyle name="40% - 강조색2 2 11 6" xfId="610" xr:uid="{00000000-0005-0000-0000-00005A020000}"/>
    <cellStyle name="40% - 강조색2 2 12" xfId="611" xr:uid="{00000000-0005-0000-0000-00005B020000}"/>
    <cellStyle name="40% - 강조색2 2 12 2" xfId="612" xr:uid="{00000000-0005-0000-0000-00005C020000}"/>
    <cellStyle name="40% - 강조색2 2 12 3" xfId="613" xr:uid="{00000000-0005-0000-0000-00005D020000}"/>
    <cellStyle name="40% - 강조색2 2 12 4" xfId="614" xr:uid="{00000000-0005-0000-0000-00005E020000}"/>
    <cellStyle name="40% - 강조색2 2 12 5" xfId="615" xr:uid="{00000000-0005-0000-0000-00005F020000}"/>
    <cellStyle name="40% - 강조색2 2 12 6" xfId="616" xr:uid="{00000000-0005-0000-0000-000060020000}"/>
    <cellStyle name="40% - 강조색2 2 13" xfId="617" xr:uid="{00000000-0005-0000-0000-000061020000}"/>
    <cellStyle name="40% - 강조색2 2 13 2" xfId="618" xr:uid="{00000000-0005-0000-0000-000062020000}"/>
    <cellStyle name="40% - 강조색2 2 13 3" xfId="619" xr:uid="{00000000-0005-0000-0000-000063020000}"/>
    <cellStyle name="40% - 강조색2 2 13 4" xfId="620" xr:uid="{00000000-0005-0000-0000-000064020000}"/>
    <cellStyle name="40% - 강조색2 2 13 5" xfId="621" xr:uid="{00000000-0005-0000-0000-000065020000}"/>
    <cellStyle name="40% - 강조색2 2 13 6" xfId="622" xr:uid="{00000000-0005-0000-0000-000066020000}"/>
    <cellStyle name="40% - 강조색2 2 14" xfId="623" xr:uid="{00000000-0005-0000-0000-000067020000}"/>
    <cellStyle name="40% - 강조색2 2 14 2" xfId="624" xr:uid="{00000000-0005-0000-0000-000068020000}"/>
    <cellStyle name="40% - 강조색2 2 14 3" xfId="625" xr:uid="{00000000-0005-0000-0000-000069020000}"/>
    <cellStyle name="40% - 강조색2 2 14 4" xfId="626" xr:uid="{00000000-0005-0000-0000-00006A020000}"/>
    <cellStyle name="40% - 강조색2 2 14 5" xfId="627" xr:uid="{00000000-0005-0000-0000-00006B020000}"/>
    <cellStyle name="40% - 강조색2 2 14 6" xfId="628" xr:uid="{00000000-0005-0000-0000-00006C020000}"/>
    <cellStyle name="40% - 강조색2 2 15" xfId="629" xr:uid="{00000000-0005-0000-0000-00006D020000}"/>
    <cellStyle name="40% - 강조색2 2 16" xfId="630" xr:uid="{00000000-0005-0000-0000-00006E020000}"/>
    <cellStyle name="40% - 강조색2 2 17" xfId="631" xr:uid="{00000000-0005-0000-0000-00006F020000}"/>
    <cellStyle name="40% - 강조색2 2 18" xfId="632" xr:uid="{00000000-0005-0000-0000-000070020000}"/>
    <cellStyle name="40% - 강조색2 2 19" xfId="633" xr:uid="{00000000-0005-0000-0000-000071020000}"/>
    <cellStyle name="40% - 강조색2 2 2" xfId="634" xr:uid="{00000000-0005-0000-0000-000072020000}"/>
    <cellStyle name="40% - 강조색2 2 2 2" xfId="635" xr:uid="{00000000-0005-0000-0000-000073020000}"/>
    <cellStyle name="40% - 강조색2 2 2 3" xfId="636" xr:uid="{00000000-0005-0000-0000-000074020000}"/>
    <cellStyle name="40% - 강조색2 2 2 4" xfId="637" xr:uid="{00000000-0005-0000-0000-000075020000}"/>
    <cellStyle name="40% - 강조색2 2 2 5" xfId="638" xr:uid="{00000000-0005-0000-0000-000076020000}"/>
    <cellStyle name="40% - 강조색2 2 2 6" xfId="639" xr:uid="{00000000-0005-0000-0000-000077020000}"/>
    <cellStyle name="40% - 강조색2 2 3" xfId="640" xr:uid="{00000000-0005-0000-0000-000078020000}"/>
    <cellStyle name="40% - 강조색2 2 3 2" xfId="641" xr:uid="{00000000-0005-0000-0000-000079020000}"/>
    <cellStyle name="40% - 강조색2 2 3 3" xfId="642" xr:uid="{00000000-0005-0000-0000-00007A020000}"/>
    <cellStyle name="40% - 강조색2 2 3 4" xfId="643" xr:uid="{00000000-0005-0000-0000-00007B020000}"/>
    <cellStyle name="40% - 강조색2 2 3 5" xfId="644" xr:uid="{00000000-0005-0000-0000-00007C020000}"/>
    <cellStyle name="40% - 강조색2 2 3 6" xfId="645" xr:uid="{00000000-0005-0000-0000-00007D020000}"/>
    <cellStyle name="40% - 강조색2 2 4" xfId="646" xr:uid="{00000000-0005-0000-0000-00007E020000}"/>
    <cellStyle name="40% - 강조색2 2 4 2" xfId="647" xr:uid="{00000000-0005-0000-0000-00007F020000}"/>
    <cellStyle name="40% - 강조색2 2 4 3" xfId="648" xr:uid="{00000000-0005-0000-0000-000080020000}"/>
    <cellStyle name="40% - 강조색2 2 4 4" xfId="649" xr:uid="{00000000-0005-0000-0000-000081020000}"/>
    <cellStyle name="40% - 강조색2 2 4 5" xfId="650" xr:uid="{00000000-0005-0000-0000-000082020000}"/>
    <cellStyle name="40% - 강조색2 2 4 6" xfId="651" xr:uid="{00000000-0005-0000-0000-000083020000}"/>
    <cellStyle name="40% - 강조색2 2 5" xfId="652" xr:uid="{00000000-0005-0000-0000-000084020000}"/>
    <cellStyle name="40% - 강조색2 2 5 2" xfId="653" xr:uid="{00000000-0005-0000-0000-000085020000}"/>
    <cellStyle name="40% - 강조색2 2 5 3" xfId="654" xr:uid="{00000000-0005-0000-0000-000086020000}"/>
    <cellStyle name="40% - 강조색2 2 5 4" xfId="655" xr:uid="{00000000-0005-0000-0000-000087020000}"/>
    <cellStyle name="40% - 강조색2 2 5 5" xfId="656" xr:uid="{00000000-0005-0000-0000-000088020000}"/>
    <cellStyle name="40% - 강조색2 2 5 6" xfId="657" xr:uid="{00000000-0005-0000-0000-000089020000}"/>
    <cellStyle name="40% - 강조색2 2 6" xfId="658" xr:uid="{00000000-0005-0000-0000-00008A020000}"/>
    <cellStyle name="40% - 강조색2 2 6 2" xfId="659" xr:uid="{00000000-0005-0000-0000-00008B020000}"/>
    <cellStyle name="40% - 강조색2 2 6 3" xfId="660" xr:uid="{00000000-0005-0000-0000-00008C020000}"/>
    <cellStyle name="40% - 강조색2 2 6 4" xfId="661" xr:uid="{00000000-0005-0000-0000-00008D020000}"/>
    <cellStyle name="40% - 강조색2 2 6 5" xfId="662" xr:uid="{00000000-0005-0000-0000-00008E020000}"/>
    <cellStyle name="40% - 강조색2 2 6 6" xfId="663" xr:uid="{00000000-0005-0000-0000-00008F020000}"/>
    <cellStyle name="40% - 강조색2 2 7" xfId="664" xr:uid="{00000000-0005-0000-0000-000090020000}"/>
    <cellStyle name="40% - 강조색2 2 7 2" xfId="665" xr:uid="{00000000-0005-0000-0000-000091020000}"/>
    <cellStyle name="40% - 강조색2 2 7 3" xfId="666" xr:uid="{00000000-0005-0000-0000-000092020000}"/>
    <cellStyle name="40% - 강조색2 2 7 4" xfId="667" xr:uid="{00000000-0005-0000-0000-000093020000}"/>
    <cellStyle name="40% - 강조색2 2 7 5" xfId="668" xr:uid="{00000000-0005-0000-0000-000094020000}"/>
    <cellStyle name="40% - 강조색2 2 7 6" xfId="669" xr:uid="{00000000-0005-0000-0000-000095020000}"/>
    <cellStyle name="40% - 강조색2 2 8" xfId="670" xr:uid="{00000000-0005-0000-0000-000096020000}"/>
    <cellStyle name="40% - 강조색2 2 8 2" xfId="671" xr:uid="{00000000-0005-0000-0000-000097020000}"/>
    <cellStyle name="40% - 강조색2 2 8 3" xfId="672" xr:uid="{00000000-0005-0000-0000-000098020000}"/>
    <cellStyle name="40% - 강조색2 2 8 4" xfId="673" xr:uid="{00000000-0005-0000-0000-000099020000}"/>
    <cellStyle name="40% - 강조색2 2 8 5" xfId="674" xr:uid="{00000000-0005-0000-0000-00009A020000}"/>
    <cellStyle name="40% - 강조색2 2 8 6" xfId="675" xr:uid="{00000000-0005-0000-0000-00009B020000}"/>
    <cellStyle name="40% - 강조색2 2 9" xfId="676" xr:uid="{00000000-0005-0000-0000-00009C020000}"/>
    <cellStyle name="40% - 강조색2 2 9 2" xfId="677" xr:uid="{00000000-0005-0000-0000-00009D020000}"/>
    <cellStyle name="40% - 강조색2 2 9 3" xfId="678" xr:uid="{00000000-0005-0000-0000-00009E020000}"/>
    <cellStyle name="40% - 강조색2 2 9 4" xfId="679" xr:uid="{00000000-0005-0000-0000-00009F020000}"/>
    <cellStyle name="40% - 강조색2 2 9 5" xfId="680" xr:uid="{00000000-0005-0000-0000-0000A0020000}"/>
    <cellStyle name="40% - 강조색2 2 9 6" xfId="681" xr:uid="{00000000-0005-0000-0000-0000A1020000}"/>
    <cellStyle name="40% - 강조색3 2" xfId="682" xr:uid="{00000000-0005-0000-0000-0000A2020000}"/>
    <cellStyle name="40% - 강조색3 2 10" xfId="683" xr:uid="{00000000-0005-0000-0000-0000A3020000}"/>
    <cellStyle name="40% - 강조색3 2 10 2" xfId="684" xr:uid="{00000000-0005-0000-0000-0000A4020000}"/>
    <cellStyle name="40% - 강조색3 2 10 3" xfId="685" xr:uid="{00000000-0005-0000-0000-0000A5020000}"/>
    <cellStyle name="40% - 강조색3 2 10 4" xfId="686" xr:uid="{00000000-0005-0000-0000-0000A6020000}"/>
    <cellStyle name="40% - 강조색3 2 10 5" xfId="687" xr:uid="{00000000-0005-0000-0000-0000A7020000}"/>
    <cellStyle name="40% - 강조색3 2 10 6" xfId="688" xr:uid="{00000000-0005-0000-0000-0000A8020000}"/>
    <cellStyle name="40% - 강조색3 2 11" xfId="689" xr:uid="{00000000-0005-0000-0000-0000A9020000}"/>
    <cellStyle name="40% - 강조색3 2 11 2" xfId="690" xr:uid="{00000000-0005-0000-0000-0000AA020000}"/>
    <cellStyle name="40% - 강조색3 2 11 3" xfId="691" xr:uid="{00000000-0005-0000-0000-0000AB020000}"/>
    <cellStyle name="40% - 강조색3 2 11 4" xfId="692" xr:uid="{00000000-0005-0000-0000-0000AC020000}"/>
    <cellStyle name="40% - 강조색3 2 11 5" xfId="693" xr:uid="{00000000-0005-0000-0000-0000AD020000}"/>
    <cellStyle name="40% - 강조색3 2 11 6" xfId="694" xr:uid="{00000000-0005-0000-0000-0000AE020000}"/>
    <cellStyle name="40% - 강조색3 2 12" xfId="695" xr:uid="{00000000-0005-0000-0000-0000AF020000}"/>
    <cellStyle name="40% - 강조색3 2 12 2" xfId="696" xr:uid="{00000000-0005-0000-0000-0000B0020000}"/>
    <cellStyle name="40% - 강조색3 2 12 3" xfId="697" xr:uid="{00000000-0005-0000-0000-0000B1020000}"/>
    <cellStyle name="40% - 강조색3 2 12 4" xfId="698" xr:uid="{00000000-0005-0000-0000-0000B2020000}"/>
    <cellStyle name="40% - 강조색3 2 12 5" xfId="699" xr:uid="{00000000-0005-0000-0000-0000B3020000}"/>
    <cellStyle name="40% - 강조색3 2 12 6" xfId="700" xr:uid="{00000000-0005-0000-0000-0000B4020000}"/>
    <cellStyle name="40% - 강조색3 2 13" xfId="701" xr:uid="{00000000-0005-0000-0000-0000B5020000}"/>
    <cellStyle name="40% - 강조색3 2 13 2" xfId="702" xr:uid="{00000000-0005-0000-0000-0000B6020000}"/>
    <cellStyle name="40% - 강조색3 2 13 3" xfId="703" xr:uid="{00000000-0005-0000-0000-0000B7020000}"/>
    <cellStyle name="40% - 강조색3 2 13 4" xfId="704" xr:uid="{00000000-0005-0000-0000-0000B8020000}"/>
    <cellStyle name="40% - 강조색3 2 13 5" xfId="705" xr:uid="{00000000-0005-0000-0000-0000B9020000}"/>
    <cellStyle name="40% - 강조색3 2 13 6" xfId="706" xr:uid="{00000000-0005-0000-0000-0000BA020000}"/>
    <cellStyle name="40% - 강조색3 2 14" xfId="707" xr:uid="{00000000-0005-0000-0000-0000BB020000}"/>
    <cellStyle name="40% - 강조색3 2 14 2" xfId="708" xr:uid="{00000000-0005-0000-0000-0000BC020000}"/>
    <cellStyle name="40% - 강조색3 2 14 3" xfId="709" xr:uid="{00000000-0005-0000-0000-0000BD020000}"/>
    <cellStyle name="40% - 강조색3 2 14 4" xfId="710" xr:uid="{00000000-0005-0000-0000-0000BE020000}"/>
    <cellStyle name="40% - 강조색3 2 14 5" xfId="711" xr:uid="{00000000-0005-0000-0000-0000BF020000}"/>
    <cellStyle name="40% - 강조색3 2 14 6" xfId="712" xr:uid="{00000000-0005-0000-0000-0000C0020000}"/>
    <cellStyle name="40% - 강조색3 2 15" xfId="713" xr:uid="{00000000-0005-0000-0000-0000C1020000}"/>
    <cellStyle name="40% - 강조색3 2 16" xfId="714" xr:uid="{00000000-0005-0000-0000-0000C2020000}"/>
    <cellStyle name="40% - 강조색3 2 17" xfId="715" xr:uid="{00000000-0005-0000-0000-0000C3020000}"/>
    <cellStyle name="40% - 강조색3 2 18" xfId="716" xr:uid="{00000000-0005-0000-0000-0000C4020000}"/>
    <cellStyle name="40% - 강조색3 2 19" xfId="717" xr:uid="{00000000-0005-0000-0000-0000C5020000}"/>
    <cellStyle name="40% - 강조색3 2 2" xfId="718" xr:uid="{00000000-0005-0000-0000-0000C6020000}"/>
    <cellStyle name="40% - 강조색3 2 2 2" xfId="719" xr:uid="{00000000-0005-0000-0000-0000C7020000}"/>
    <cellStyle name="40% - 강조색3 2 2 3" xfId="720" xr:uid="{00000000-0005-0000-0000-0000C8020000}"/>
    <cellStyle name="40% - 강조색3 2 2 4" xfId="721" xr:uid="{00000000-0005-0000-0000-0000C9020000}"/>
    <cellStyle name="40% - 강조색3 2 2 5" xfId="722" xr:uid="{00000000-0005-0000-0000-0000CA020000}"/>
    <cellStyle name="40% - 강조색3 2 2 6" xfId="723" xr:uid="{00000000-0005-0000-0000-0000CB020000}"/>
    <cellStyle name="40% - 강조색3 2 3" xfId="724" xr:uid="{00000000-0005-0000-0000-0000CC020000}"/>
    <cellStyle name="40% - 강조색3 2 3 2" xfId="725" xr:uid="{00000000-0005-0000-0000-0000CD020000}"/>
    <cellStyle name="40% - 강조색3 2 3 3" xfId="726" xr:uid="{00000000-0005-0000-0000-0000CE020000}"/>
    <cellStyle name="40% - 강조색3 2 3 4" xfId="727" xr:uid="{00000000-0005-0000-0000-0000CF020000}"/>
    <cellStyle name="40% - 강조색3 2 3 5" xfId="728" xr:uid="{00000000-0005-0000-0000-0000D0020000}"/>
    <cellStyle name="40% - 강조색3 2 3 6" xfId="729" xr:uid="{00000000-0005-0000-0000-0000D1020000}"/>
    <cellStyle name="40% - 강조색3 2 4" xfId="730" xr:uid="{00000000-0005-0000-0000-0000D2020000}"/>
    <cellStyle name="40% - 강조색3 2 4 2" xfId="731" xr:uid="{00000000-0005-0000-0000-0000D3020000}"/>
    <cellStyle name="40% - 강조색3 2 4 3" xfId="732" xr:uid="{00000000-0005-0000-0000-0000D4020000}"/>
    <cellStyle name="40% - 강조색3 2 4 4" xfId="733" xr:uid="{00000000-0005-0000-0000-0000D5020000}"/>
    <cellStyle name="40% - 강조색3 2 4 5" xfId="734" xr:uid="{00000000-0005-0000-0000-0000D6020000}"/>
    <cellStyle name="40% - 강조색3 2 4 6" xfId="735" xr:uid="{00000000-0005-0000-0000-0000D7020000}"/>
    <cellStyle name="40% - 강조색3 2 5" xfId="736" xr:uid="{00000000-0005-0000-0000-0000D8020000}"/>
    <cellStyle name="40% - 강조색3 2 5 2" xfId="737" xr:uid="{00000000-0005-0000-0000-0000D9020000}"/>
    <cellStyle name="40% - 강조색3 2 5 3" xfId="738" xr:uid="{00000000-0005-0000-0000-0000DA020000}"/>
    <cellStyle name="40% - 강조색3 2 5 4" xfId="739" xr:uid="{00000000-0005-0000-0000-0000DB020000}"/>
    <cellStyle name="40% - 강조색3 2 5 5" xfId="740" xr:uid="{00000000-0005-0000-0000-0000DC020000}"/>
    <cellStyle name="40% - 강조색3 2 5 6" xfId="741" xr:uid="{00000000-0005-0000-0000-0000DD020000}"/>
    <cellStyle name="40% - 강조색3 2 6" xfId="742" xr:uid="{00000000-0005-0000-0000-0000DE020000}"/>
    <cellStyle name="40% - 강조색3 2 6 2" xfId="743" xr:uid="{00000000-0005-0000-0000-0000DF020000}"/>
    <cellStyle name="40% - 강조색3 2 6 3" xfId="744" xr:uid="{00000000-0005-0000-0000-0000E0020000}"/>
    <cellStyle name="40% - 강조색3 2 6 4" xfId="745" xr:uid="{00000000-0005-0000-0000-0000E1020000}"/>
    <cellStyle name="40% - 강조색3 2 6 5" xfId="746" xr:uid="{00000000-0005-0000-0000-0000E2020000}"/>
    <cellStyle name="40% - 강조색3 2 6 6" xfId="747" xr:uid="{00000000-0005-0000-0000-0000E3020000}"/>
    <cellStyle name="40% - 강조색3 2 7" xfId="748" xr:uid="{00000000-0005-0000-0000-0000E4020000}"/>
    <cellStyle name="40% - 강조색3 2 7 2" xfId="749" xr:uid="{00000000-0005-0000-0000-0000E5020000}"/>
    <cellStyle name="40% - 강조색3 2 7 3" xfId="750" xr:uid="{00000000-0005-0000-0000-0000E6020000}"/>
    <cellStyle name="40% - 강조색3 2 7 4" xfId="751" xr:uid="{00000000-0005-0000-0000-0000E7020000}"/>
    <cellStyle name="40% - 강조색3 2 7 5" xfId="752" xr:uid="{00000000-0005-0000-0000-0000E8020000}"/>
    <cellStyle name="40% - 강조색3 2 7 6" xfId="753" xr:uid="{00000000-0005-0000-0000-0000E9020000}"/>
    <cellStyle name="40% - 강조색3 2 8" xfId="754" xr:uid="{00000000-0005-0000-0000-0000EA020000}"/>
    <cellStyle name="40% - 강조색3 2 8 2" xfId="755" xr:uid="{00000000-0005-0000-0000-0000EB020000}"/>
    <cellStyle name="40% - 강조색3 2 8 3" xfId="756" xr:uid="{00000000-0005-0000-0000-0000EC020000}"/>
    <cellStyle name="40% - 강조색3 2 8 4" xfId="757" xr:uid="{00000000-0005-0000-0000-0000ED020000}"/>
    <cellStyle name="40% - 강조색3 2 8 5" xfId="758" xr:uid="{00000000-0005-0000-0000-0000EE020000}"/>
    <cellStyle name="40% - 강조색3 2 8 6" xfId="759" xr:uid="{00000000-0005-0000-0000-0000EF020000}"/>
    <cellStyle name="40% - 강조색3 2 9" xfId="760" xr:uid="{00000000-0005-0000-0000-0000F0020000}"/>
    <cellStyle name="40% - 강조색3 2 9 2" xfId="761" xr:uid="{00000000-0005-0000-0000-0000F1020000}"/>
    <cellStyle name="40% - 강조색3 2 9 3" xfId="762" xr:uid="{00000000-0005-0000-0000-0000F2020000}"/>
    <cellStyle name="40% - 강조색3 2 9 4" xfId="763" xr:uid="{00000000-0005-0000-0000-0000F3020000}"/>
    <cellStyle name="40% - 강조색3 2 9 5" xfId="764" xr:uid="{00000000-0005-0000-0000-0000F4020000}"/>
    <cellStyle name="40% - 강조색3 2 9 6" xfId="765" xr:uid="{00000000-0005-0000-0000-0000F5020000}"/>
    <cellStyle name="40% - 강조색4 2" xfId="766" xr:uid="{00000000-0005-0000-0000-0000F6020000}"/>
    <cellStyle name="40% - 강조색4 2 10" xfId="767" xr:uid="{00000000-0005-0000-0000-0000F7020000}"/>
    <cellStyle name="40% - 강조색4 2 10 2" xfId="768" xr:uid="{00000000-0005-0000-0000-0000F8020000}"/>
    <cellStyle name="40% - 강조색4 2 10 3" xfId="769" xr:uid="{00000000-0005-0000-0000-0000F9020000}"/>
    <cellStyle name="40% - 강조색4 2 10 4" xfId="770" xr:uid="{00000000-0005-0000-0000-0000FA020000}"/>
    <cellStyle name="40% - 강조색4 2 10 5" xfId="771" xr:uid="{00000000-0005-0000-0000-0000FB020000}"/>
    <cellStyle name="40% - 강조색4 2 10 6" xfId="772" xr:uid="{00000000-0005-0000-0000-0000FC020000}"/>
    <cellStyle name="40% - 강조색4 2 11" xfId="773" xr:uid="{00000000-0005-0000-0000-0000FD020000}"/>
    <cellStyle name="40% - 강조색4 2 11 2" xfId="774" xr:uid="{00000000-0005-0000-0000-0000FE020000}"/>
    <cellStyle name="40% - 강조색4 2 11 3" xfId="775" xr:uid="{00000000-0005-0000-0000-0000FF020000}"/>
    <cellStyle name="40% - 강조색4 2 11 4" xfId="776" xr:uid="{00000000-0005-0000-0000-000000030000}"/>
    <cellStyle name="40% - 강조색4 2 11 5" xfId="777" xr:uid="{00000000-0005-0000-0000-000001030000}"/>
    <cellStyle name="40% - 강조색4 2 11 6" xfId="778" xr:uid="{00000000-0005-0000-0000-000002030000}"/>
    <cellStyle name="40% - 강조색4 2 12" xfId="779" xr:uid="{00000000-0005-0000-0000-000003030000}"/>
    <cellStyle name="40% - 강조색4 2 12 2" xfId="780" xr:uid="{00000000-0005-0000-0000-000004030000}"/>
    <cellStyle name="40% - 강조색4 2 12 3" xfId="781" xr:uid="{00000000-0005-0000-0000-000005030000}"/>
    <cellStyle name="40% - 강조색4 2 12 4" xfId="782" xr:uid="{00000000-0005-0000-0000-000006030000}"/>
    <cellStyle name="40% - 강조색4 2 12 5" xfId="783" xr:uid="{00000000-0005-0000-0000-000007030000}"/>
    <cellStyle name="40% - 강조색4 2 12 6" xfId="784" xr:uid="{00000000-0005-0000-0000-000008030000}"/>
    <cellStyle name="40% - 강조색4 2 13" xfId="785" xr:uid="{00000000-0005-0000-0000-000009030000}"/>
    <cellStyle name="40% - 강조색4 2 13 2" xfId="786" xr:uid="{00000000-0005-0000-0000-00000A030000}"/>
    <cellStyle name="40% - 강조색4 2 13 3" xfId="787" xr:uid="{00000000-0005-0000-0000-00000B030000}"/>
    <cellStyle name="40% - 강조색4 2 13 4" xfId="788" xr:uid="{00000000-0005-0000-0000-00000C030000}"/>
    <cellStyle name="40% - 강조색4 2 13 5" xfId="789" xr:uid="{00000000-0005-0000-0000-00000D030000}"/>
    <cellStyle name="40% - 강조색4 2 13 6" xfId="790" xr:uid="{00000000-0005-0000-0000-00000E030000}"/>
    <cellStyle name="40% - 강조색4 2 14" xfId="791" xr:uid="{00000000-0005-0000-0000-00000F030000}"/>
    <cellStyle name="40% - 강조색4 2 14 2" xfId="792" xr:uid="{00000000-0005-0000-0000-000010030000}"/>
    <cellStyle name="40% - 강조색4 2 14 3" xfId="793" xr:uid="{00000000-0005-0000-0000-000011030000}"/>
    <cellStyle name="40% - 강조색4 2 14 4" xfId="794" xr:uid="{00000000-0005-0000-0000-000012030000}"/>
    <cellStyle name="40% - 강조색4 2 14 5" xfId="795" xr:uid="{00000000-0005-0000-0000-000013030000}"/>
    <cellStyle name="40% - 강조색4 2 14 6" xfId="796" xr:uid="{00000000-0005-0000-0000-000014030000}"/>
    <cellStyle name="40% - 강조색4 2 15" xfId="797" xr:uid="{00000000-0005-0000-0000-000015030000}"/>
    <cellStyle name="40% - 강조색4 2 16" xfId="798" xr:uid="{00000000-0005-0000-0000-000016030000}"/>
    <cellStyle name="40% - 강조색4 2 17" xfId="799" xr:uid="{00000000-0005-0000-0000-000017030000}"/>
    <cellStyle name="40% - 강조색4 2 18" xfId="800" xr:uid="{00000000-0005-0000-0000-000018030000}"/>
    <cellStyle name="40% - 강조색4 2 19" xfId="801" xr:uid="{00000000-0005-0000-0000-000019030000}"/>
    <cellStyle name="40% - 강조색4 2 2" xfId="802" xr:uid="{00000000-0005-0000-0000-00001A030000}"/>
    <cellStyle name="40% - 강조색4 2 2 2" xfId="803" xr:uid="{00000000-0005-0000-0000-00001B030000}"/>
    <cellStyle name="40% - 강조색4 2 2 3" xfId="804" xr:uid="{00000000-0005-0000-0000-00001C030000}"/>
    <cellStyle name="40% - 강조색4 2 2 4" xfId="805" xr:uid="{00000000-0005-0000-0000-00001D030000}"/>
    <cellStyle name="40% - 강조색4 2 2 5" xfId="806" xr:uid="{00000000-0005-0000-0000-00001E030000}"/>
    <cellStyle name="40% - 강조색4 2 2 6" xfId="807" xr:uid="{00000000-0005-0000-0000-00001F030000}"/>
    <cellStyle name="40% - 강조색4 2 3" xfId="808" xr:uid="{00000000-0005-0000-0000-000020030000}"/>
    <cellStyle name="40% - 강조색4 2 3 2" xfId="809" xr:uid="{00000000-0005-0000-0000-000021030000}"/>
    <cellStyle name="40% - 강조색4 2 3 3" xfId="810" xr:uid="{00000000-0005-0000-0000-000022030000}"/>
    <cellStyle name="40% - 강조색4 2 3 4" xfId="811" xr:uid="{00000000-0005-0000-0000-000023030000}"/>
    <cellStyle name="40% - 강조색4 2 3 5" xfId="812" xr:uid="{00000000-0005-0000-0000-000024030000}"/>
    <cellStyle name="40% - 강조색4 2 3 6" xfId="813" xr:uid="{00000000-0005-0000-0000-000025030000}"/>
    <cellStyle name="40% - 강조색4 2 4" xfId="814" xr:uid="{00000000-0005-0000-0000-000026030000}"/>
    <cellStyle name="40% - 강조색4 2 4 2" xfId="815" xr:uid="{00000000-0005-0000-0000-000027030000}"/>
    <cellStyle name="40% - 강조색4 2 4 3" xfId="816" xr:uid="{00000000-0005-0000-0000-000028030000}"/>
    <cellStyle name="40% - 강조색4 2 4 4" xfId="817" xr:uid="{00000000-0005-0000-0000-000029030000}"/>
    <cellStyle name="40% - 강조색4 2 4 5" xfId="818" xr:uid="{00000000-0005-0000-0000-00002A030000}"/>
    <cellStyle name="40% - 강조색4 2 4 6" xfId="819" xr:uid="{00000000-0005-0000-0000-00002B030000}"/>
    <cellStyle name="40% - 강조색4 2 5" xfId="820" xr:uid="{00000000-0005-0000-0000-00002C030000}"/>
    <cellStyle name="40% - 강조색4 2 5 2" xfId="821" xr:uid="{00000000-0005-0000-0000-00002D030000}"/>
    <cellStyle name="40% - 강조색4 2 5 3" xfId="822" xr:uid="{00000000-0005-0000-0000-00002E030000}"/>
    <cellStyle name="40% - 강조색4 2 5 4" xfId="823" xr:uid="{00000000-0005-0000-0000-00002F030000}"/>
    <cellStyle name="40% - 강조색4 2 5 5" xfId="824" xr:uid="{00000000-0005-0000-0000-000030030000}"/>
    <cellStyle name="40% - 강조색4 2 5 6" xfId="825" xr:uid="{00000000-0005-0000-0000-000031030000}"/>
    <cellStyle name="40% - 강조색4 2 6" xfId="826" xr:uid="{00000000-0005-0000-0000-000032030000}"/>
    <cellStyle name="40% - 강조색4 2 6 2" xfId="827" xr:uid="{00000000-0005-0000-0000-000033030000}"/>
    <cellStyle name="40% - 강조색4 2 6 3" xfId="828" xr:uid="{00000000-0005-0000-0000-000034030000}"/>
    <cellStyle name="40% - 강조색4 2 6 4" xfId="829" xr:uid="{00000000-0005-0000-0000-000035030000}"/>
    <cellStyle name="40% - 강조색4 2 6 5" xfId="830" xr:uid="{00000000-0005-0000-0000-000036030000}"/>
    <cellStyle name="40% - 강조색4 2 6 6" xfId="831" xr:uid="{00000000-0005-0000-0000-000037030000}"/>
    <cellStyle name="40% - 강조색4 2 7" xfId="832" xr:uid="{00000000-0005-0000-0000-000038030000}"/>
    <cellStyle name="40% - 강조색4 2 7 2" xfId="833" xr:uid="{00000000-0005-0000-0000-000039030000}"/>
    <cellStyle name="40% - 강조색4 2 7 3" xfId="834" xr:uid="{00000000-0005-0000-0000-00003A030000}"/>
    <cellStyle name="40% - 강조색4 2 7 4" xfId="835" xr:uid="{00000000-0005-0000-0000-00003B030000}"/>
    <cellStyle name="40% - 강조색4 2 7 5" xfId="836" xr:uid="{00000000-0005-0000-0000-00003C030000}"/>
    <cellStyle name="40% - 강조색4 2 7 6" xfId="837" xr:uid="{00000000-0005-0000-0000-00003D030000}"/>
    <cellStyle name="40% - 강조색4 2 8" xfId="838" xr:uid="{00000000-0005-0000-0000-00003E030000}"/>
    <cellStyle name="40% - 강조색4 2 8 2" xfId="839" xr:uid="{00000000-0005-0000-0000-00003F030000}"/>
    <cellStyle name="40% - 강조색4 2 8 3" xfId="840" xr:uid="{00000000-0005-0000-0000-000040030000}"/>
    <cellStyle name="40% - 강조색4 2 8 4" xfId="841" xr:uid="{00000000-0005-0000-0000-000041030000}"/>
    <cellStyle name="40% - 강조색4 2 8 5" xfId="842" xr:uid="{00000000-0005-0000-0000-000042030000}"/>
    <cellStyle name="40% - 강조색4 2 8 6" xfId="843" xr:uid="{00000000-0005-0000-0000-000043030000}"/>
    <cellStyle name="40% - 강조색4 2 9" xfId="844" xr:uid="{00000000-0005-0000-0000-000044030000}"/>
    <cellStyle name="40% - 강조색4 2 9 2" xfId="845" xr:uid="{00000000-0005-0000-0000-000045030000}"/>
    <cellStyle name="40% - 강조색4 2 9 3" xfId="846" xr:uid="{00000000-0005-0000-0000-000046030000}"/>
    <cellStyle name="40% - 강조색4 2 9 4" xfId="847" xr:uid="{00000000-0005-0000-0000-000047030000}"/>
    <cellStyle name="40% - 강조색4 2 9 5" xfId="848" xr:uid="{00000000-0005-0000-0000-000048030000}"/>
    <cellStyle name="40% - 강조색4 2 9 6" xfId="849" xr:uid="{00000000-0005-0000-0000-000049030000}"/>
    <cellStyle name="40% - 강조색5 2" xfId="850" xr:uid="{00000000-0005-0000-0000-00004A030000}"/>
    <cellStyle name="40% - 강조색5 2 10" xfId="851" xr:uid="{00000000-0005-0000-0000-00004B030000}"/>
    <cellStyle name="40% - 강조색5 2 10 2" xfId="852" xr:uid="{00000000-0005-0000-0000-00004C030000}"/>
    <cellStyle name="40% - 강조색5 2 10 3" xfId="853" xr:uid="{00000000-0005-0000-0000-00004D030000}"/>
    <cellStyle name="40% - 강조색5 2 10 4" xfId="854" xr:uid="{00000000-0005-0000-0000-00004E030000}"/>
    <cellStyle name="40% - 강조색5 2 10 5" xfId="855" xr:uid="{00000000-0005-0000-0000-00004F030000}"/>
    <cellStyle name="40% - 강조색5 2 10 6" xfId="856" xr:uid="{00000000-0005-0000-0000-000050030000}"/>
    <cellStyle name="40% - 강조색5 2 11" xfId="857" xr:uid="{00000000-0005-0000-0000-000051030000}"/>
    <cellStyle name="40% - 강조색5 2 11 2" xfId="858" xr:uid="{00000000-0005-0000-0000-000052030000}"/>
    <cellStyle name="40% - 강조색5 2 11 3" xfId="859" xr:uid="{00000000-0005-0000-0000-000053030000}"/>
    <cellStyle name="40% - 강조색5 2 11 4" xfId="860" xr:uid="{00000000-0005-0000-0000-000054030000}"/>
    <cellStyle name="40% - 강조색5 2 11 5" xfId="861" xr:uid="{00000000-0005-0000-0000-000055030000}"/>
    <cellStyle name="40% - 강조색5 2 11 6" xfId="862" xr:uid="{00000000-0005-0000-0000-000056030000}"/>
    <cellStyle name="40% - 강조색5 2 12" xfId="863" xr:uid="{00000000-0005-0000-0000-000057030000}"/>
    <cellStyle name="40% - 강조색5 2 12 2" xfId="864" xr:uid="{00000000-0005-0000-0000-000058030000}"/>
    <cellStyle name="40% - 강조색5 2 12 3" xfId="865" xr:uid="{00000000-0005-0000-0000-000059030000}"/>
    <cellStyle name="40% - 강조색5 2 12 4" xfId="866" xr:uid="{00000000-0005-0000-0000-00005A030000}"/>
    <cellStyle name="40% - 강조색5 2 12 5" xfId="867" xr:uid="{00000000-0005-0000-0000-00005B030000}"/>
    <cellStyle name="40% - 강조색5 2 12 6" xfId="868" xr:uid="{00000000-0005-0000-0000-00005C030000}"/>
    <cellStyle name="40% - 강조색5 2 13" xfId="869" xr:uid="{00000000-0005-0000-0000-00005D030000}"/>
    <cellStyle name="40% - 강조색5 2 13 2" xfId="870" xr:uid="{00000000-0005-0000-0000-00005E030000}"/>
    <cellStyle name="40% - 강조색5 2 13 3" xfId="871" xr:uid="{00000000-0005-0000-0000-00005F030000}"/>
    <cellStyle name="40% - 강조색5 2 13 4" xfId="872" xr:uid="{00000000-0005-0000-0000-000060030000}"/>
    <cellStyle name="40% - 강조색5 2 13 5" xfId="873" xr:uid="{00000000-0005-0000-0000-000061030000}"/>
    <cellStyle name="40% - 강조색5 2 13 6" xfId="874" xr:uid="{00000000-0005-0000-0000-000062030000}"/>
    <cellStyle name="40% - 강조색5 2 14" xfId="875" xr:uid="{00000000-0005-0000-0000-000063030000}"/>
    <cellStyle name="40% - 강조색5 2 14 2" xfId="876" xr:uid="{00000000-0005-0000-0000-000064030000}"/>
    <cellStyle name="40% - 강조색5 2 14 3" xfId="877" xr:uid="{00000000-0005-0000-0000-000065030000}"/>
    <cellStyle name="40% - 강조색5 2 14 4" xfId="878" xr:uid="{00000000-0005-0000-0000-000066030000}"/>
    <cellStyle name="40% - 강조색5 2 14 5" xfId="879" xr:uid="{00000000-0005-0000-0000-000067030000}"/>
    <cellStyle name="40% - 강조색5 2 14 6" xfId="880" xr:uid="{00000000-0005-0000-0000-000068030000}"/>
    <cellStyle name="40% - 강조색5 2 15" xfId="881" xr:uid="{00000000-0005-0000-0000-000069030000}"/>
    <cellStyle name="40% - 강조색5 2 16" xfId="882" xr:uid="{00000000-0005-0000-0000-00006A030000}"/>
    <cellStyle name="40% - 강조색5 2 17" xfId="883" xr:uid="{00000000-0005-0000-0000-00006B030000}"/>
    <cellStyle name="40% - 강조색5 2 18" xfId="884" xr:uid="{00000000-0005-0000-0000-00006C030000}"/>
    <cellStyle name="40% - 강조색5 2 19" xfId="885" xr:uid="{00000000-0005-0000-0000-00006D030000}"/>
    <cellStyle name="40% - 강조색5 2 2" xfId="886" xr:uid="{00000000-0005-0000-0000-00006E030000}"/>
    <cellStyle name="40% - 강조색5 2 2 2" xfId="887" xr:uid="{00000000-0005-0000-0000-00006F030000}"/>
    <cellStyle name="40% - 강조색5 2 2 3" xfId="888" xr:uid="{00000000-0005-0000-0000-000070030000}"/>
    <cellStyle name="40% - 강조색5 2 2 4" xfId="889" xr:uid="{00000000-0005-0000-0000-000071030000}"/>
    <cellStyle name="40% - 강조색5 2 2 5" xfId="890" xr:uid="{00000000-0005-0000-0000-000072030000}"/>
    <cellStyle name="40% - 강조색5 2 2 6" xfId="891" xr:uid="{00000000-0005-0000-0000-000073030000}"/>
    <cellStyle name="40% - 강조색5 2 3" xfId="892" xr:uid="{00000000-0005-0000-0000-000074030000}"/>
    <cellStyle name="40% - 강조색5 2 3 2" xfId="893" xr:uid="{00000000-0005-0000-0000-000075030000}"/>
    <cellStyle name="40% - 강조색5 2 3 3" xfId="894" xr:uid="{00000000-0005-0000-0000-000076030000}"/>
    <cellStyle name="40% - 강조색5 2 3 4" xfId="895" xr:uid="{00000000-0005-0000-0000-000077030000}"/>
    <cellStyle name="40% - 강조색5 2 3 5" xfId="896" xr:uid="{00000000-0005-0000-0000-000078030000}"/>
    <cellStyle name="40% - 강조색5 2 3 6" xfId="897" xr:uid="{00000000-0005-0000-0000-000079030000}"/>
    <cellStyle name="40% - 강조색5 2 4" xfId="898" xr:uid="{00000000-0005-0000-0000-00007A030000}"/>
    <cellStyle name="40% - 강조색5 2 4 2" xfId="899" xr:uid="{00000000-0005-0000-0000-00007B030000}"/>
    <cellStyle name="40% - 강조색5 2 4 3" xfId="900" xr:uid="{00000000-0005-0000-0000-00007C030000}"/>
    <cellStyle name="40% - 강조색5 2 4 4" xfId="901" xr:uid="{00000000-0005-0000-0000-00007D030000}"/>
    <cellStyle name="40% - 강조색5 2 4 5" xfId="902" xr:uid="{00000000-0005-0000-0000-00007E030000}"/>
    <cellStyle name="40% - 강조색5 2 4 6" xfId="903" xr:uid="{00000000-0005-0000-0000-00007F030000}"/>
    <cellStyle name="40% - 강조색5 2 5" xfId="904" xr:uid="{00000000-0005-0000-0000-000080030000}"/>
    <cellStyle name="40% - 강조색5 2 5 2" xfId="905" xr:uid="{00000000-0005-0000-0000-000081030000}"/>
    <cellStyle name="40% - 강조색5 2 5 3" xfId="906" xr:uid="{00000000-0005-0000-0000-000082030000}"/>
    <cellStyle name="40% - 강조색5 2 5 4" xfId="907" xr:uid="{00000000-0005-0000-0000-000083030000}"/>
    <cellStyle name="40% - 강조색5 2 5 5" xfId="908" xr:uid="{00000000-0005-0000-0000-000084030000}"/>
    <cellStyle name="40% - 강조색5 2 5 6" xfId="909" xr:uid="{00000000-0005-0000-0000-000085030000}"/>
    <cellStyle name="40% - 강조색5 2 6" xfId="910" xr:uid="{00000000-0005-0000-0000-000086030000}"/>
    <cellStyle name="40% - 강조색5 2 6 2" xfId="911" xr:uid="{00000000-0005-0000-0000-000087030000}"/>
    <cellStyle name="40% - 강조색5 2 6 3" xfId="912" xr:uid="{00000000-0005-0000-0000-000088030000}"/>
    <cellStyle name="40% - 강조색5 2 6 4" xfId="913" xr:uid="{00000000-0005-0000-0000-000089030000}"/>
    <cellStyle name="40% - 강조색5 2 6 5" xfId="914" xr:uid="{00000000-0005-0000-0000-00008A030000}"/>
    <cellStyle name="40% - 강조색5 2 6 6" xfId="915" xr:uid="{00000000-0005-0000-0000-00008B030000}"/>
    <cellStyle name="40% - 강조색5 2 7" xfId="916" xr:uid="{00000000-0005-0000-0000-00008C030000}"/>
    <cellStyle name="40% - 강조색5 2 7 2" xfId="917" xr:uid="{00000000-0005-0000-0000-00008D030000}"/>
    <cellStyle name="40% - 강조색5 2 7 3" xfId="918" xr:uid="{00000000-0005-0000-0000-00008E030000}"/>
    <cellStyle name="40% - 강조색5 2 7 4" xfId="919" xr:uid="{00000000-0005-0000-0000-00008F030000}"/>
    <cellStyle name="40% - 강조색5 2 7 5" xfId="920" xr:uid="{00000000-0005-0000-0000-000090030000}"/>
    <cellStyle name="40% - 강조색5 2 7 6" xfId="921" xr:uid="{00000000-0005-0000-0000-000091030000}"/>
    <cellStyle name="40% - 강조색5 2 8" xfId="922" xr:uid="{00000000-0005-0000-0000-000092030000}"/>
    <cellStyle name="40% - 강조색5 2 8 2" xfId="923" xr:uid="{00000000-0005-0000-0000-000093030000}"/>
    <cellStyle name="40% - 강조색5 2 8 3" xfId="924" xr:uid="{00000000-0005-0000-0000-000094030000}"/>
    <cellStyle name="40% - 강조색5 2 8 4" xfId="925" xr:uid="{00000000-0005-0000-0000-000095030000}"/>
    <cellStyle name="40% - 강조색5 2 8 5" xfId="926" xr:uid="{00000000-0005-0000-0000-000096030000}"/>
    <cellStyle name="40% - 강조색5 2 8 6" xfId="927" xr:uid="{00000000-0005-0000-0000-000097030000}"/>
    <cellStyle name="40% - 강조색5 2 9" xfId="928" xr:uid="{00000000-0005-0000-0000-000098030000}"/>
    <cellStyle name="40% - 강조색5 2 9 2" xfId="929" xr:uid="{00000000-0005-0000-0000-000099030000}"/>
    <cellStyle name="40% - 강조색5 2 9 3" xfId="930" xr:uid="{00000000-0005-0000-0000-00009A030000}"/>
    <cellStyle name="40% - 강조색5 2 9 4" xfId="931" xr:uid="{00000000-0005-0000-0000-00009B030000}"/>
    <cellStyle name="40% - 강조색5 2 9 5" xfId="932" xr:uid="{00000000-0005-0000-0000-00009C030000}"/>
    <cellStyle name="40% - 강조색5 2 9 6" xfId="933" xr:uid="{00000000-0005-0000-0000-00009D030000}"/>
    <cellStyle name="40% - 강조색6 2" xfId="934" xr:uid="{00000000-0005-0000-0000-00009E030000}"/>
    <cellStyle name="40% - 강조색6 2 10" xfId="935" xr:uid="{00000000-0005-0000-0000-00009F030000}"/>
    <cellStyle name="40% - 강조색6 2 10 2" xfId="936" xr:uid="{00000000-0005-0000-0000-0000A0030000}"/>
    <cellStyle name="40% - 강조색6 2 10 3" xfId="937" xr:uid="{00000000-0005-0000-0000-0000A1030000}"/>
    <cellStyle name="40% - 강조색6 2 10 4" xfId="938" xr:uid="{00000000-0005-0000-0000-0000A2030000}"/>
    <cellStyle name="40% - 강조색6 2 10 5" xfId="939" xr:uid="{00000000-0005-0000-0000-0000A3030000}"/>
    <cellStyle name="40% - 강조색6 2 10 6" xfId="940" xr:uid="{00000000-0005-0000-0000-0000A4030000}"/>
    <cellStyle name="40% - 강조색6 2 11" xfId="941" xr:uid="{00000000-0005-0000-0000-0000A5030000}"/>
    <cellStyle name="40% - 강조색6 2 11 2" xfId="942" xr:uid="{00000000-0005-0000-0000-0000A6030000}"/>
    <cellStyle name="40% - 강조색6 2 11 3" xfId="943" xr:uid="{00000000-0005-0000-0000-0000A7030000}"/>
    <cellStyle name="40% - 강조색6 2 11 4" xfId="944" xr:uid="{00000000-0005-0000-0000-0000A8030000}"/>
    <cellStyle name="40% - 강조색6 2 11 5" xfId="945" xr:uid="{00000000-0005-0000-0000-0000A9030000}"/>
    <cellStyle name="40% - 강조색6 2 11 6" xfId="946" xr:uid="{00000000-0005-0000-0000-0000AA030000}"/>
    <cellStyle name="40% - 강조색6 2 12" xfId="947" xr:uid="{00000000-0005-0000-0000-0000AB030000}"/>
    <cellStyle name="40% - 강조색6 2 12 2" xfId="948" xr:uid="{00000000-0005-0000-0000-0000AC030000}"/>
    <cellStyle name="40% - 강조색6 2 12 3" xfId="949" xr:uid="{00000000-0005-0000-0000-0000AD030000}"/>
    <cellStyle name="40% - 강조색6 2 12 4" xfId="950" xr:uid="{00000000-0005-0000-0000-0000AE030000}"/>
    <cellStyle name="40% - 강조색6 2 12 5" xfId="951" xr:uid="{00000000-0005-0000-0000-0000AF030000}"/>
    <cellStyle name="40% - 강조색6 2 12 6" xfId="952" xr:uid="{00000000-0005-0000-0000-0000B0030000}"/>
    <cellStyle name="40% - 강조색6 2 13" xfId="953" xr:uid="{00000000-0005-0000-0000-0000B1030000}"/>
    <cellStyle name="40% - 강조색6 2 13 2" xfId="954" xr:uid="{00000000-0005-0000-0000-0000B2030000}"/>
    <cellStyle name="40% - 강조색6 2 13 3" xfId="955" xr:uid="{00000000-0005-0000-0000-0000B3030000}"/>
    <cellStyle name="40% - 강조색6 2 13 4" xfId="956" xr:uid="{00000000-0005-0000-0000-0000B4030000}"/>
    <cellStyle name="40% - 강조색6 2 13 5" xfId="957" xr:uid="{00000000-0005-0000-0000-0000B5030000}"/>
    <cellStyle name="40% - 강조색6 2 13 6" xfId="958" xr:uid="{00000000-0005-0000-0000-0000B6030000}"/>
    <cellStyle name="40% - 강조색6 2 14" xfId="959" xr:uid="{00000000-0005-0000-0000-0000B7030000}"/>
    <cellStyle name="40% - 강조색6 2 14 2" xfId="960" xr:uid="{00000000-0005-0000-0000-0000B8030000}"/>
    <cellStyle name="40% - 강조색6 2 14 3" xfId="961" xr:uid="{00000000-0005-0000-0000-0000B9030000}"/>
    <cellStyle name="40% - 강조색6 2 14 4" xfId="962" xr:uid="{00000000-0005-0000-0000-0000BA030000}"/>
    <cellStyle name="40% - 강조색6 2 14 5" xfId="963" xr:uid="{00000000-0005-0000-0000-0000BB030000}"/>
    <cellStyle name="40% - 강조색6 2 14 6" xfId="964" xr:uid="{00000000-0005-0000-0000-0000BC030000}"/>
    <cellStyle name="40% - 강조색6 2 15" xfId="965" xr:uid="{00000000-0005-0000-0000-0000BD030000}"/>
    <cellStyle name="40% - 강조색6 2 16" xfId="966" xr:uid="{00000000-0005-0000-0000-0000BE030000}"/>
    <cellStyle name="40% - 강조색6 2 17" xfId="967" xr:uid="{00000000-0005-0000-0000-0000BF030000}"/>
    <cellStyle name="40% - 강조색6 2 18" xfId="968" xr:uid="{00000000-0005-0000-0000-0000C0030000}"/>
    <cellStyle name="40% - 강조색6 2 19" xfId="969" xr:uid="{00000000-0005-0000-0000-0000C1030000}"/>
    <cellStyle name="40% - 강조색6 2 2" xfId="970" xr:uid="{00000000-0005-0000-0000-0000C2030000}"/>
    <cellStyle name="40% - 강조색6 2 2 2" xfId="971" xr:uid="{00000000-0005-0000-0000-0000C3030000}"/>
    <cellStyle name="40% - 강조색6 2 2 3" xfId="972" xr:uid="{00000000-0005-0000-0000-0000C4030000}"/>
    <cellStyle name="40% - 강조색6 2 2 4" xfId="973" xr:uid="{00000000-0005-0000-0000-0000C5030000}"/>
    <cellStyle name="40% - 강조색6 2 2 5" xfId="974" xr:uid="{00000000-0005-0000-0000-0000C6030000}"/>
    <cellStyle name="40% - 강조색6 2 2 6" xfId="975" xr:uid="{00000000-0005-0000-0000-0000C7030000}"/>
    <cellStyle name="40% - 강조색6 2 3" xfId="976" xr:uid="{00000000-0005-0000-0000-0000C8030000}"/>
    <cellStyle name="40% - 강조색6 2 3 2" xfId="977" xr:uid="{00000000-0005-0000-0000-0000C9030000}"/>
    <cellStyle name="40% - 강조색6 2 3 3" xfId="978" xr:uid="{00000000-0005-0000-0000-0000CA030000}"/>
    <cellStyle name="40% - 강조색6 2 3 4" xfId="979" xr:uid="{00000000-0005-0000-0000-0000CB030000}"/>
    <cellStyle name="40% - 강조색6 2 3 5" xfId="980" xr:uid="{00000000-0005-0000-0000-0000CC030000}"/>
    <cellStyle name="40% - 강조색6 2 3 6" xfId="981" xr:uid="{00000000-0005-0000-0000-0000CD030000}"/>
    <cellStyle name="40% - 강조색6 2 4" xfId="982" xr:uid="{00000000-0005-0000-0000-0000CE030000}"/>
    <cellStyle name="40% - 강조색6 2 4 2" xfId="983" xr:uid="{00000000-0005-0000-0000-0000CF030000}"/>
    <cellStyle name="40% - 강조색6 2 4 3" xfId="984" xr:uid="{00000000-0005-0000-0000-0000D0030000}"/>
    <cellStyle name="40% - 강조색6 2 4 4" xfId="985" xr:uid="{00000000-0005-0000-0000-0000D1030000}"/>
    <cellStyle name="40% - 강조색6 2 4 5" xfId="986" xr:uid="{00000000-0005-0000-0000-0000D2030000}"/>
    <cellStyle name="40% - 강조색6 2 4 6" xfId="987" xr:uid="{00000000-0005-0000-0000-0000D3030000}"/>
    <cellStyle name="40% - 강조색6 2 5" xfId="988" xr:uid="{00000000-0005-0000-0000-0000D4030000}"/>
    <cellStyle name="40% - 강조색6 2 5 2" xfId="989" xr:uid="{00000000-0005-0000-0000-0000D5030000}"/>
    <cellStyle name="40% - 강조색6 2 5 3" xfId="990" xr:uid="{00000000-0005-0000-0000-0000D6030000}"/>
    <cellStyle name="40% - 강조색6 2 5 4" xfId="991" xr:uid="{00000000-0005-0000-0000-0000D7030000}"/>
    <cellStyle name="40% - 강조색6 2 5 5" xfId="992" xr:uid="{00000000-0005-0000-0000-0000D8030000}"/>
    <cellStyle name="40% - 강조색6 2 5 6" xfId="993" xr:uid="{00000000-0005-0000-0000-0000D9030000}"/>
    <cellStyle name="40% - 강조색6 2 6" xfId="994" xr:uid="{00000000-0005-0000-0000-0000DA030000}"/>
    <cellStyle name="40% - 강조색6 2 6 2" xfId="995" xr:uid="{00000000-0005-0000-0000-0000DB030000}"/>
    <cellStyle name="40% - 강조색6 2 6 3" xfId="996" xr:uid="{00000000-0005-0000-0000-0000DC030000}"/>
    <cellStyle name="40% - 강조색6 2 6 4" xfId="997" xr:uid="{00000000-0005-0000-0000-0000DD030000}"/>
    <cellStyle name="40% - 강조색6 2 6 5" xfId="998" xr:uid="{00000000-0005-0000-0000-0000DE030000}"/>
    <cellStyle name="40% - 강조색6 2 6 6" xfId="999" xr:uid="{00000000-0005-0000-0000-0000DF030000}"/>
    <cellStyle name="40% - 강조색6 2 7" xfId="1000" xr:uid="{00000000-0005-0000-0000-0000E0030000}"/>
    <cellStyle name="40% - 강조색6 2 7 2" xfId="1001" xr:uid="{00000000-0005-0000-0000-0000E1030000}"/>
    <cellStyle name="40% - 강조색6 2 7 3" xfId="1002" xr:uid="{00000000-0005-0000-0000-0000E2030000}"/>
    <cellStyle name="40% - 강조색6 2 7 4" xfId="1003" xr:uid="{00000000-0005-0000-0000-0000E3030000}"/>
    <cellStyle name="40% - 강조색6 2 7 5" xfId="1004" xr:uid="{00000000-0005-0000-0000-0000E4030000}"/>
    <cellStyle name="40% - 강조색6 2 7 6" xfId="1005" xr:uid="{00000000-0005-0000-0000-0000E5030000}"/>
    <cellStyle name="40% - 강조색6 2 8" xfId="1006" xr:uid="{00000000-0005-0000-0000-0000E6030000}"/>
    <cellStyle name="40% - 강조색6 2 8 2" xfId="1007" xr:uid="{00000000-0005-0000-0000-0000E7030000}"/>
    <cellStyle name="40% - 강조색6 2 8 3" xfId="1008" xr:uid="{00000000-0005-0000-0000-0000E8030000}"/>
    <cellStyle name="40% - 강조색6 2 8 4" xfId="1009" xr:uid="{00000000-0005-0000-0000-0000E9030000}"/>
    <cellStyle name="40% - 강조색6 2 8 5" xfId="1010" xr:uid="{00000000-0005-0000-0000-0000EA030000}"/>
    <cellStyle name="40% - 강조색6 2 8 6" xfId="1011" xr:uid="{00000000-0005-0000-0000-0000EB030000}"/>
    <cellStyle name="40% - 강조색6 2 9" xfId="1012" xr:uid="{00000000-0005-0000-0000-0000EC030000}"/>
    <cellStyle name="40% - 강조색6 2 9 2" xfId="1013" xr:uid="{00000000-0005-0000-0000-0000ED030000}"/>
    <cellStyle name="40% - 강조색6 2 9 3" xfId="1014" xr:uid="{00000000-0005-0000-0000-0000EE030000}"/>
    <cellStyle name="40% - 강조색6 2 9 4" xfId="1015" xr:uid="{00000000-0005-0000-0000-0000EF030000}"/>
    <cellStyle name="40% - 강조색6 2 9 5" xfId="1016" xr:uid="{00000000-0005-0000-0000-0000F0030000}"/>
    <cellStyle name="40% - 강조색6 2 9 6" xfId="1017" xr:uid="{00000000-0005-0000-0000-0000F1030000}"/>
    <cellStyle name="60% - 강조색1 2" xfId="1018" xr:uid="{00000000-0005-0000-0000-0000F2030000}"/>
    <cellStyle name="60% - 강조색2 2" xfId="1019" xr:uid="{00000000-0005-0000-0000-0000F3030000}"/>
    <cellStyle name="60% - 강조색3 2" xfId="1020" xr:uid="{00000000-0005-0000-0000-0000F4030000}"/>
    <cellStyle name="60% - 강조색4 2" xfId="1021" xr:uid="{00000000-0005-0000-0000-0000F5030000}"/>
    <cellStyle name="60% - 강조색5 2" xfId="1022" xr:uid="{00000000-0005-0000-0000-0000F6030000}"/>
    <cellStyle name="60% - 강조색6 2" xfId="1023" xr:uid="{00000000-0005-0000-0000-0000F7030000}"/>
    <cellStyle name="aryInformation" xfId="3130" xr:uid="{00000000-0005-0000-0000-0000F8030000}"/>
    <cellStyle name="category" xfId="1024" xr:uid="{00000000-0005-0000-0000-0000F9030000}"/>
    <cellStyle name="Comma" xfId="1025" xr:uid="{00000000-0005-0000-0000-0000FA030000}"/>
    <cellStyle name="Comma [0]_판매계획 (2)" xfId="3131" xr:uid="{00000000-0005-0000-0000-0000FB030000}"/>
    <cellStyle name="Comma [0]Ctls" xfId="3132" xr:uid="{00000000-0005-0000-0000-0000FC030000}"/>
    <cellStyle name="Comma_판매계획 (2)" xfId="3133" xr:uid="{00000000-0005-0000-0000-0000FD030000}"/>
    <cellStyle name="CRevision Log" xfId="3134" xr:uid="{00000000-0005-0000-0000-0000FE030000}"/>
    <cellStyle name="Currency" xfId="1026" xr:uid="{00000000-0005-0000-0000-0000FF030000}"/>
    <cellStyle name="Currency [0]_판매계획 (2)" xfId="3135" xr:uid="{00000000-0005-0000-0000-000000040000}"/>
    <cellStyle name="Currency_판매계획 (2)" xfId="3136" xr:uid="{00000000-0005-0000-0000-000001040000}"/>
    <cellStyle name="Date" xfId="1027" xr:uid="{00000000-0005-0000-0000-000002040000}"/>
    <cellStyle name="Fixed" xfId="1028" xr:uid="{00000000-0005-0000-0000-000003040000}"/>
    <cellStyle name="Grey" xfId="1029" xr:uid="{00000000-0005-0000-0000-000004040000}"/>
    <cellStyle name="HEADER" xfId="1030" xr:uid="{00000000-0005-0000-0000-000005040000}"/>
    <cellStyle name="Header1" xfId="1031" xr:uid="{00000000-0005-0000-0000-000006040000}"/>
    <cellStyle name="Header2" xfId="1032" xr:uid="{00000000-0005-0000-0000-000007040000}"/>
    <cellStyle name="Heading1" xfId="1033" xr:uid="{00000000-0005-0000-0000-000008040000}"/>
    <cellStyle name="Heading2" xfId="1034" xr:uid="{00000000-0005-0000-0000-000009040000}"/>
    <cellStyle name="Input [yellow]" xfId="1035" xr:uid="{00000000-0005-0000-0000-00000A040000}"/>
    <cellStyle name="kbook" xfId="3137" xr:uid="{00000000-0005-0000-0000-00000B040000}"/>
    <cellStyle name="Model" xfId="1036" xr:uid="{00000000-0005-0000-0000-00000C040000}"/>
    <cellStyle name="Normal - Style1" xfId="1037" xr:uid="{00000000-0005-0000-0000-00000D040000}"/>
    <cellStyle name="Normal_Certs Q2" xfId="3138" xr:uid="{00000000-0005-0000-0000-00000E040000}"/>
    <cellStyle name="OJECT_CUR" xfId="3139" xr:uid="{00000000-0005-0000-0000-00000F040000}"/>
    <cellStyle name="on" xfId="3140" xr:uid="{00000000-0005-0000-0000-000010040000}"/>
    <cellStyle name="Percent" xfId="1038" xr:uid="{00000000-0005-0000-0000-000011040000}"/>
    <cellStyle name="Percent [2]" xfId="1039" xr:uid="{00000000-0005-0000-0000-000012040000}"/>
    <cellStyle name="subhead" xfId="1040" xr:uid="{00000000-0005-0000-0000-000013040000}"/>
    <cellStyle name="Total" xfId="1041" xr:uid="{00000000-0005-0000-0000-000014040000}"/>
    <cellStyle name="yInformation" xfId="3141" xr:uid="{00000000-0005-0000-0000-000015040000}"/>
    <cellStyle name="ㄱ" xfId="3142" xr:uid="{00000000-0005-0000-0000-000016040000}"/>
    <cellStyle name="강조색1 2" xfId="1042" xr:uid="{00000000-0005-0000-0000-000017040000}"/>
    <cellStyle name="강조색2 2" xfId="1043" xr:uid="{00000000-0005-0000-0000-000018040000}"/>
    <cellStyle name="강조색3 2" xfId="1044" xr:uid="{00000000-0005-0000-0000-000019040000}"/>
    <cellStyle name="강조색4 2" xfId="1045" xr:uid="{00000000-0005-0000-0000-00001A040000}"/>
    <cellStyle name="강조색5 2" xfId="1046" xr:uid="{00000000-0005-0000-0000-00001B040000}"/>
    <cellStyle name="강조색6 2" xfId="1047" xr:uid="{00000000-0005-0000-0000-00001C040000}"/>
    <cellStyle name="경고문 2" xfId="1048" xr:uid="{00000000-0005-0000-0000-00001D040000}"/>
    <cellStyle name="계산 2" xfId="1049" xr:uid="{00000000-0005-0000-0000-00001E040000}"/>
    <cellStyle name="나쁨 2" xfId="1050" xr:uid="{00000000-0005-0000-0000-00001F040000}"/>
    <cellStyle name="메모 2" xfId="1051" xr:uid="{00000000-0005-0000-0000-000020040000}"/>
    <cellStyle name="백분율" xfId="8" builtinId="5"/>
    <cellStyle name="백분율 10" xfId="3297" xr:uid="{00000000-0005-0000-0000-000022040000}"/>
    <cellStyle name="백분율 11" xfId="3518" xr:uid="{00000000-0005-0000-0000-000023040000}"/>
    <cellStyle name="백분율 12" xfId="1052" xr:uid="{00000000-0005-0000-0000-000024040000}"/>
    <cellStyle name="백분율 2" xfId="3" xr:uid="{00000000-0005-0000-0000-000025040000}"/>
    <cellStyle name="백분율 2 10" xfId="1054" xr:uid="{00000000-0005-0000-0000-000026040000}"/>
    <cellStyle name="백분율 2 10 2" xfId="1055" xr:uid="{00000000-0005-0000-0000-000027040000}"/>
    <cellStyle name="백분율 2 10 3" xfId="1056" xr:uid="{00000000-0005-0000-0000-000028040000}"/>
    <cellStyle name="백분율 2 11" xfId="1057" xr:uid="{00000000-0005-0000-0000-000029040000}"/>
    <cellStyle name="백분율 2 11 2" xfId="1058" xr:uid="{00000000-0005-0000-0000-00002A040000}"/>
    <cellStyle name="백분율 2 11 3" xfId="1059" xr:uid="{00000000-0005-0000-0000-00002B040000}"/>
    <cellStyle name="백분율 2 12" xfId="1060" xr:uid="{00000000-0005-0000-0000-00002C040000}"/>
    <cellStyle name="백분율 2 12 2" xfId="1061" xr:uid="{00000000-0005-0000-0000-00002D040000}"/>
    <cellStyle name="백분율 2 12 3" xfId="1062" xr:uid="{00000000-0005-0000-0000-00002E040000}"/>
    <cellStyle name="백분율 2 13" xfId="1063" xr:uid="{00000000-0005-0000-0000-00002F040000}"/>
    <cellStyle name="백분율 2 14" xfId="1064" xr:uid="{00000000-0005-0000-0000-000030040000}"/>
    <cellStyle name="백분율 2 15" xfId="1065" xr:uid="{00000000-0005-0000-0000-000031040000}"/>
    <cellStyle name="백분율 2 16" xfId="1066" xr:uid="{00000000-0005-0000-0000-000032040000}"/>
    <cellStyle name="백분율 2 17" xfId="1067" xr:uid="{00000000-0005-0000-0000-000033040000}"/>
    <cellStyle name="백분율 2 18" xfId="1068" xr:uid="{00000000-0005-0000-0000-000034040000}"/>
    <cellStyle name="백분율 2 19" xfId="1069" xr:uid="{00000000-0005-0000-0000-000035040000}"/>
    <cellStyle name="백분율 2 2" xfId="1070" xr:uid="{00000000-0005-0000-0000-000036040000}"/>
    <cellStyle name="백분율 2 2 10" xfId="1071" xr:uid="{00000000-0005-0000-0000-000037040000}"/>
    <cellStyle name="백분율 2 2 2" xfId="1072" xr:uid="{00000000-0005-0000-0000-000038040000}"/>
    <cellStyle name="백분율 2 2 2 2" xfId="1073" xr:uid="{00000000-0005-0000-0000-000039040000}"/>
    <cellStyle name="백분율 2 2 2 2 2" xfId="1074" xr:uid="{00000000-0005-0000-0000-00003A040000}"/>
    <cellStyle name="백분율 2 2 2 2 3" xfId="1075" xr:uid="{00000000-0005-0000-0000-00003B040000}"/>
    <cellStyle name="백분율 2 2 3" xfId="1076" xr:uid="{00000000-0005-0000-0000-00003C040000}"/>
    <cellStyle name="백분율 2 2 4" xfId="1077" xr:uid="{00000000-0005-0000-0000-00003D040000}"/>
    <cellStyle name="백분율 2 2 5" xfId="1078" xr:uid="{00000000-0005-0000-0000-00003E040000}"/>
    <cellStyle name="백분율 2 2 5 2" xfId="1079" xr:uid="{00000000-0005-0000-0000-00003F040000}"/>
    <cellStyle name="백분율 2 2 5 3" xfId="1080" xr:uid="{00000000-0005-0000-0000-000040040000}"/>
    <cellStyle name="백분율 2 2 5 3 2" xfId="1081" xr:uid="{00000000-0005-0000-0000-000041040000}"/>
    <cellStyle name="백분율 2 2 5 4" xfId="1082" xr:uid="{00000000-0005-0000-0000-000042040000}"/>
    <cellStyle name="백분율 2 2 6" xfId="1083" xr:uid="{00000000-0005-0000-0000-000043040000}"/>
    <cellStyle name="백분율 2 2 6 2" xfId="1084" xr:uid="{00000000-0005-0000-0000-000044040000}"/>
    <cellStyle name="백분율 2 2 6 2 2" xfId="1085" xr:uid="{00000000-0005-0000-0000-000045040000}"/>
    <cellStyle name="백분율 2 2 7" xfId="1086" xr:uid="{00000000-0005-0000-0000-000046040000}"/>
    <cellStyle name="백분율 2 2 8" xfId="1087" xr:uid="{00000000-0005-0000-0000-000047040000}"/>
    <cellStyle name="백분율 2 2 9" xfId="1088" xr:uid="{00000000-0005-0000-0000-000048040000}"/>
    <cellStyle name="백분율 2 20" xfId="1089" xr:uid="{00000000-0005-0000-0000-000049040000}"/>
    <cellStyle name="백분율 2 21" xfId="1090" xr:uid="{00000000-0005-0000-0000-00004A040000}"/>
    <cellStyle name="백분율 2 22" xfId="1091" xr:uid="{00000000-0005-0000-0000-00004B040000}"/>
    <cellStyle name="백분율 2 23" xfId="1092" xr:uid="{00000000-0005-0000-0000-00004C040000}"/>
    <cellStyle name="백분율 2 24" xfId="1093" xr:uid="{00000000-0005-0000-0000-00004D040000}"/>
    <cellStyle name="백분율 2 25" xfId="1094" xr:uid="{00000000-0005-0000-0000-00004E040000}"/>
    <cellStyle name="백분율 2 25 2" xfId="1095" xr:uid="{00000000-0005-0000-0000-00004F040000}"/>
    <cellStyle name="백분율 2 26" xfId="3144" xr:uid="{00000000-0005-0000-0000-000050040000}"/>
    <cellStyle name="백분율 2 27" xfId="1053" xr:uid="{00000000-0005-0000-0000-000051040000}"/>
    <cellStyle name="백분율 2 3" xfId="1096" xr:uid="{00000000-0005-0000-0000-000052040000}"/>
    <cellStyle name="백분율 2 3 2" xfId="1097" xr:uid="{00000000-0005-0000-0000-000053040000}"/>
    <cellStyle name="백분율 2 3 2 2" xfId="1098" xr:uid="{00000000-0005-0000-0000-000054040000}"/>
    <cellStyle name="백분율 2 3 2 2 2" xfId="1099" xr:uid="{00000000-0005-0000-0000-000055040000}"/>
    <cellStyle name="백분율 2 3 2 3" xfId="1100" xr:uid="{00000000-0005-0000-0000-000056040000}"/>
    <cellStyle name="백분율 2 3 3" xfId="1101" xr:uid="{00000000-0005-0000-0000-000057040000}"/>
    <cellStyle name="백분율 2 3 4" xfId="1102" xr:uid="{00000000-0005-0000-0000-000058040000}"/>
    <cellStyle name="백분율 2 3 5" xfId="1103" xr:uid="{00000000-0005-0000-0000-000059040000}"/>
    <cellStyle name="백분율 2 3 6" xfId="1104" xr:uid="{00000000-0005-0000-0000-00005A040000}"/>
    <cellStyle name="백분율 2 3 7" xfId="1105" xr:uid="{00000000-0005-0000-0000-00005B040000}"/>
    <cellStyle name="백분율 2 4" xfId="1106" xr:uid="{00000000-0005-0000-0000-00005C040000}"/>
    <cellStyle name="백분율 2 4 2" xfId="1107" xr:uid="{00000000-0005-0000-0000-00005D040000}"/>
    <cellStyle name="백분율 2 4 2 2" xfId="1108" xr:uid="{00000000-0005-0000-0000-00005E040000}"/>
    <cellStyle name="백분율 2 4 3" xfId="1109" xr:uid="{00000000-0005-0000-0000-00005F040000}"/>
    <cellStyle name="백분율 2 5" xfId="1110" xr:uid="{00000000-0005-0000-0000-000060040000}"/>
    <cellStyle name="백분율 2 5 2" xfId="1111" xr:uid="{00000000-0005-0000-0000-000061040000}"/>
    <cellStyle name="백분율 2 5 3" xfId="1112" xr:uid="{00000000-0005-0000-0000-000062040000}"/>
    <cellStyle name="백분율 2 6" xfId="1113" xr:uid="{00000000-0005-0000-0000-000063040000}"/>
    <cellStyle name="백분율 2 6 2" xfId="1114" xr:uid="{00000000-0005-0000-0000-000064040000}"/>
    <cellStyle name="백분율 2 6 3" xfId="1115" xr:uid="{00000000-0005-0000-0000-000065040000}"/>
    <cellStyle name="백분율 2 7" xfId="1116" xr:uid="{00000000-0005-0000-0000-000066040000}"/>
    <cellStyle name="백분율 2 7 2" xfId="1117" xr:uid="{00000000-0005-0000-0000-000067040000}"/>
    <cellStyle name="백분율 2 7 3" xfId="1118" xr:uid="{00000000-0005-0000-0000-000068040000}"/>
    <cellStyle name="백분율 2 8" xfId="1119" xr:uid="{00000000-0005-0000-0000-000069040000}"/>
    <cellStyle name="백분율 2 8 2" xfId="1120" xr:uid="{00000000-0005-0000-0000-00006A040000}"/>
    <cellStyle name="백분율 2 8 3" xfId="1121" xr:uid="{00000000-0005-0000-0000-00006B040000}"/>
    <cellStyle name="백분율 2 9" xfId="1122" xr:uid="{00000000-0005-0000-0000-00006C040000}"/>
    <cellStyle name="백분율 2 9 2" xfId="1123" xr:uid="{00000000-0005-0000-0000-00006D040000}"/>
    <cellStyle name="백분율 2 9 3" xfId="1124" xr:uid="{00000000-0005-0000-0000-00006E040000}"/>
    <cellStyle name="백분율 24" xfId="1125" xr:uid="{00000000-0005-0000-0000-00006F040000}"/>
    <cellStyle name="백분율 24 2" xfId="1126" xr:uid="{00000000-0005-0000-0000-000070040000}"/>
    <cellStyle name="백분율 3" xfId="3114" xr:uid="{00000000-0005-0000-0000-000071040000}"/>
    <cellStyle name="백분율 3 2" xfId="1127" xr:uid="{00000000-0005-0000-0000-000072040000}"/>
    <cellStyle name="백분율 3 3" xfId="1128" xr:uid="{00000000-0005-0000-0000-000073040000}"/>
    <cellStyle name="백분율 4" xfId="3124" xr:uid="{00000000-0005-0000-0000-000074040000}"/>
    <cellStyle name="백분율 5" xfId="3143" xr:uid="{00000000-0005-0000-0000-000075040000}"/>
    <cellStyle name="백분율 6" xfId="3174" xr:uid="{00000000-0005-0000-0000-000076040000}"/>
    <cellStyle name="백분율 7" xfId="3183" xr:uid="{00000000-0005-0000-0000-000077040000}"/>
    <cellStyle name="백분율 8" xfId="3196" xr:uid="{00000000-0005-0000-0000-000078040000}"/>
    <cellStyle name="백분율 9" xfId="3239" xr:uid="{00000000-0005-0000-0000-000079040000}"/>
    <cellStyle name="보통 2" xfId="1129" xr:uid="{00000000-0005-0000-0000-00007A040000}"/>
    <cellStyle name="설명 텍스트 2" xfId="1130" xr:uid="{00000000-0005-0000-0000-00007B040000}"/>
    <cellStyle name="셀 확인 2" xfId="1131" xr:uid="{00000000-0005-0000-0000-00007C040000}"/>
    <cellStyle name="쉼표 [0]" xfId="1" builtinId="6"/>
    <cellStyle name="쉼표 [0] 10" xfId="1133" xr:uid="{00000000-0005-0000-0000-00007E040000}"/>
    <cellStyle name="쉼표 [0] 10 10" xfId="1134" xr:uid="{00000000-0005-0000-0000-00007F040000}"/>
    <cellStyle name="쉼표 [0] 10 11" xfId="1135" xr:uid="{00000000-0005-0000-0000-000080040000}"/>
    <cellStyle name="쉼표 [0] 10 12" xfId="1136" xr:uid="{00000000-0005-0000-0000-000081040000}"/>
    <cellStyle name="쉼표 [0] 10 2" xfId="1137" xr:uid="{00000000-0005-0000-0000-000082040000}"/>
    <cellStyle name="쉼표 [0] 10 3" xfId="1138" xr:uid="{00000000-0005-0000-0000-000083040000}"/>
    <cellStyle name="쉼표 [0] 10 4" xfId="1139" xr:uid="{00000000-0005-0000-0000-000084040000}"/>
    <cellStyle name="쉼표 [0] 10 5" xfId="1140" xr:uid="{00000000-0005-0000-0000-000085040000}"/>
    <cellStyle name="쉼표 [0] 10 6" xfId="1141" xr:uid="{00000000-0005-0000-0000-000086040000}"/>
    <cellStyle name="쉼표 [0] 10 7" xfId="1142" xr:uid="{00000000-0005-0000-0000-000087040000}"/>
    <cellStyle name="쉼표 [0] 10 8" xfId="1143" xr:uid="{00000000-0005-0000-0000-000088040000}"/>
    <cellStyle name="쉼표 [0] 10 9" xfId="1144" xr:uid="{00000000-0005-0000-0000-000089040000}"/>
    <cellStyle name="쉼표 [0] 11" xfId="1145" xr:uid="{00000000-0005-0000-0000-00008A040000}"/>
    <cellStyle name="쉼표 [0] 11 10" xfId="1146" xr:uid="{00000000-0005-0000-0000-00008B040000}"/>
    <cellStyle name="쉼표 [0] 11 11" xfId="1147" xr:uid="{00000000-0005-0000-0000-00008C040000}"/>
    <cellStyle name="쉼표 [0] 11 12" xfId="1148" xr:uid="{00000000-0005-0000-0000-00008D040000}"/>
    <cellStyle name="쉼표 [0] 11 2" xfId="1149" xr:uid="{00000000-0005-0000-0000-00008E040000}"/>
    <cellStyle name="쉼표 [0] 11 3" xfId="1150" xr:uid="{00000000-0005-0000-0000-00008F040000}"/>
    <cellStyle name="쉼표 [0] 11 4" xfId="1151" xr:uid="{00000000-0005-0000-0000-000090040000}"/>
    <cellStyle name="쉼표 [0] 11 5" xfId="1152" xr:uid="{00000000-0005-0000-0000-000091040000}"/>
    <cellStyle name="쉼표 [0] 11 6" xfId="1153" xr:uid="{00000000-0005-0000-0000-000092040000}"/>
    <cellStyle name="쉼표 [0] 11 7" xfId="1154" xr:uid="{00000000-0005-0000-0000-000093040000}"/>
    <cellStyle name="쉼표 [0] 11 8" xfId="1155" xr:uid="{00000000-0005-0000-0000-000094040000}"/>
    <cellStyle name="쉼표 [0] 11 9" xfId="1156" xr:uid="{00000000-0005-0000-0000-000095040000}"/>
    <cellStyle name="쉼표 [0] 12" xfId="1157" xr:uid="{00000000-0005-0000-0000-000096040000}"/>
    <cellStyle name="쉼표 [0] 12 2" xfId="1158" xr:uid="{00000000-0005-0000-0000-000097040000}"/>
    <cellStyle name="쉼표 [0] 12 2 2" xfId="1159" xr:uid="{00000000-0005-0000-0000-000098040000}"/>
    <cellStyle name="쉼표 [0] 12 2 2 2" xfId="1160" xr:uid="{00000000-0005-0000-0000-000099040000}"/>
    <cellStyle name="쉼표 [0] 12 2 2 2 2" xfId="1161" xr:uid="{00000000-0005-0000-0000-00009A040000}"/>
    <cellStyle name="쉼표 [0] 12 2 3" xfId="1162" xr:uid="{00000000-0005-0000-0000-00009B040000}"/>
    <cellStyle name="쉼표 [0] 12 2 4" xfId="1163" xr:uid="{00000000-0005-0000-0000-00009C040000}"/>
    <cellStyle name="쉼표 [0] 12 2 5" xfId="1164" xr:uid="{00000000-0005-0000-0000-00009D040000}"/>
    <cellStyle name="쉼표 [0] 12 2 6" xfId="1165" xr:uid="{00000000-0005-0000-0000-00009E040000}"/>
    <cellStyle name="쉼표 [0] 12 3" xfId="1166" xr:uid="{00000000-0005-0000-0000-00009F040000}"/>
    <cellStyle name="쉼표 [0] 12 3 2" xfId="1167" xr:uid="{00000000-0005-0000-0000-0000A0040000}"/>
    <cellStyle name="쉼표 [0] 12 3 2 2" xfId="1168" xr:uid="{00000000-0005-0000-0000-0000A1040000}"/>
    <cellStyle name="쉼표 [0] 12 3 2 2 2" xfId="1169" xr:uid="{00000000-0005-0000-0000-0000A2040000}"/>
    <cellStyle name="쉼표 [0] 12 3 3" xfId="1170" xr:uid="{00000000-0005-0000-0000-0000A3040000}"/>
    <cellStyle name="쉼표 [0] 12 3 4" xfId="1171" xr:uid="{00000000-0005-0000-0000-0000A4040000}"/>
    <cellStyle name="쉼표 [0] 12 3 5" xfId="1172" xr:uid="{00000000-0005-0000-0000-0000A5040000}"/>
    <cellStyle name="쉼표 [0] 12 3 6" xfId="1173" xr:uid="{00000000-0005-0000-0000-0000A6040000}"/>
    <cellStyle name="쉼표 [0] 12 4" xfId="1174" xr:uid="{00000000-0005-0000-0000-0000A7040000}"/>
    <cellStyle name="쉼표 [0] 12 4 2" xfId="1175" xr:uid="{00000000-0005-0000-0000-0000A8040000}"/>
    <cellStyle name="쉼표 [0] 12 4 2 2" xfId="1176" xr:uid="{00000000-0005-0000-0000-0000A9040000}"/>
    <cellStyle name="쉼표 [0] 12 4 2 2 2" xfId="1177" xr:uid="{00000000-0005-0000-0000-0000AA040000}"/>
    <cellStyle name="쉼표 [0] 12 4 3" xfId="1178" xr:uid="{00000000-0005-0000-0000-0000AB040000}"/>
    <cellStyle name="쉼표 [0] 12 4 4" xfId="1179" xr:uid="{00000000-0005-0000-0000-0000AC040000}"/>
    <cellStyle name="쉼표 [0] 12 4 5" xfId="1180" xr:uid="{00000000-0005-0000-0000-0000AD040000}"/>
    <cellStyle name="쉼표 [0] 12 4 6" xfId="1181" xr:uid="{00000000-0005-0000-0000-0000AE040000}"/>
    <cellStyle name="쉼표 [0] 12 5" xfId="1182" xr:uid="{00000000-0005-0000-0000-0000AF040000}"/>
    <cellStyle name="쉼표 [0] 12 5 2" xfId="1183" xr:uid="{00000000-0005-0000-0000-0000B0040000}"/>
    <cellStyle name="쉼표 [0] 12 5 2 2" xfId="1184" xr:uid="{00000000-0005-0000-0000-0000B1040000}"/>
    <cellStyle name="쉼표 [0] 12 6" xfId="1185" xr:uid="{00000000-0005-0000-0000-0000B2040000}"/>
    <cellStyle name="쉼표 [0] 12 7" xfId="1186" xr:uid="{00000000-0005-0000-0000-0000B3040000}"/>
    <cellStyle name="쉼표 [0] 12 8" xfId="1187" xr:uid="{00000000-0005-0000-0000-0000B4040000}"/>
    <cellStyle name="쉼표 [0] 12 9" xfId="1188" xr:uid="{00000000-0005-0000-0000-0000B5040000}"/>
    <cellStyle name="쉼표 [0] 13" xfId="1189" xr:uid="{00000000-0005-0000-0000-0000B6040000}"/>
    <cellStyle name="쉼표 [0] 13 10" xfId="1190" xr:uid="{00000000-0005-0000-0000-0000B7040000}"/>
    <cellStyle name="쉼표 [0] 13 11" xfId="1191" xr:uid="{00000000-0005-0000-0000-0000B8040000}"/>
    <cellStyle name="쉼표 [0] 13 12" xfId="1192" xr:uid="{00000000-0005-0000-0000-0000B9040000}"/>
    <cellStyle name="쉼표 [0] 13 2" xfId="1193" xr:uid="{00000000-0005-0000-0000-0000BA040000}"/>
    <cellStyle name="쉼표 [0] 13 2 2" xfId="1194" xr:uid="{00000000-0005-0000-0000-0000BB040000}"/>
    <cellStyle name="쉼표 [0] 13 2 2 2" xfId="1195" xr:uid="{00000000-0005-0000-0000-0000BC040000}"/>
    <cellStyle name="쉼표 [0] 13 2 2 2 2" xfId="1196" xr:uid="{00000000-0005-0000-0000-0000BD040000}"/>
    <cellStyle name="쉼표 [0] 13 2 3" xfId="1197" xr:uid="{00000000-0005-0000-0000-0000BE040000}"/>
    <cellStyle name="쉼표 [0] 13 2 4" xfId="1198" xr:uid="{00000000-0005-0000-0000-0000BF040000}"/>
    <cellStyle name="쉼표 [0] 13 2 5" xfId="1199" xr:uid="{00000000-0005-0000-0000-0000C0040000}"/>
    <cellStyle name="쉼표 [0] 13 2 6" xfId="1200" xr:uid="{00000000-0005-0000-0000-0000C1040000}"/>
    <cellStyle name="쉼표 [0] 13 3" xfId="1201" xr:uid="{00000000-0005-0000-0000-0000C2040000}"/>
    <cellStyle name="쉼표 [0] 13 3 2" xfId="1202" xr:uid="{00000000-0005-0000-0000-0000C3040000}"/>
    <cellStyle name="쉼표 [0] 13 3 2 2" xfId="1203" xr:uid="{00000000-0005-0000-0000-0000C4040000}"/>
    <cellStyle name="쉼표 [0] 13 3 2 2 2" xfId="1204" xr:uid="{00000000-0005-0000-0000-0000C5040000}"/>
    <cellStyle name="쉼표 [0] 13 3 3" xfId="1205" xr:uid="{00000000-0005-0000-0000-0000C6040000}"/>
    <cellStyle name="쉼표 [0] 13 3 4" xfId="1206" xr:uid="{00000000-0005-0000-0000-0000C7040000}"/>
    <cellStyle name="쉼표 [0] 13 3 5" xfId="1207" xr:uid="{00000000-0005-0000-0000-0000C8040000}"/>
    <cellStyle name="쉼표 [0] 13 3 6" xfId="1208" xr:uid="{00000000-0005-0000-0000-0000C9040000}"/>
    <cellStyle name="쉼표 [0] 13 4" xfId="1209" xr:uid="{00000000-0005-0000-0000-0000CA040000}"/>
    <cellStyle name="쉼표 [0] 13 4 2" xfId="1210" xr:uid="{00000000-0005-0000-0000-0000CB040000}"/>
    <cellStyle name="쉼표 [0] 13 4 2 2" xfId="1211" xr:uid="{00000000-0005-0000-0000-0000CC040000}"/>
    <cellStyle name="쉼표 [0] 13 4 2 2 2" xfId="1212" xr:uid="{00000000-0005-0000-0000-0000CD040000}"/>
    <cellStyle name="쉼표 [0] 13 4 3" xfId="1213" xr:uid="{00000000-0005-0000-0000-0000CE040000}"/>
    <cellStyle name="쉼표 [0] 13 4 4" xfId="1214" xr:uid="{00000000-0005-0000-0000-0000CF040000}"/>
    <cellStyle name="쉼표 [0] 13 4 5" xfId="1215" xr:uid="{00000000-0005-0000-0000-0000D0040000}"/>
    <cellStyle name="쉼표 [0] 13 4 6" xfId="1216" xr:uid="{00000000-0005-0000-0000-0000D1040000}"/>
    <cellStyle name="쉼표 [0] 13 5" xfId="1217" xr:uid="{00000000-0005-0000-0000-0000D2040000}"/>
    <cellStyle name="쉼표 [0] 13 5 2" xfId="1218" xr:uid="{00000000-0005-0000-0000-0000D3040000}"/>
    <cellStyle name="쉼표 [0] 13 5 2 2" xfId="1219" xr:uid="{00000000-0005-0000-0000-0000D4040000}"/>
    <cellStyle name="쉼표 [0] 13 5 2 2 2" xfId="1220" xr:uid="{00000000-0005-0000-0000-0000D5040000}"/>
    <cellStyle name="쉼표 [0] 13 5 3" xfId="1221" xr:uid="{00000000-0005-0000-0000-0000D6040000}"/>
    <cellStyle name="쉼표 [0] 13 5 4" xfId="1222" xr:uid="{00000000-0005-0000-0000-0000D7040000}"/>
    <cellStyle name="쉼표 [0] 13 5 5" xfId="1223" xr:uid="{00000000-0005-0000-0000-0000D8040000}"/>
    <cellStyle name="쉼표 [0] 13 5 6" xfId="1224" xr:uid="{00000000-0005-0000-0000-0000D9040000}"/>
    <cellStyle name="쉼표 [0] 13 6" xfId="1225" xr:uid="{00000000-0005-0000-0000-0000DA040000}"/>
    <cellStyle name="쉼표 [0] 13 6 2" xfId="1226" xr:uid="{00000000-0005-0000-0000-0000DB040000}"/>
    <cellStyle name="쉼표 [0] 13 6 2 2" xfId="1227" xr:uid="{00000000-0005-0000-0000-0000DC040000}"/>
    <cellStyle name="쉼표 [0] 13 6 2 2 2" xfId="1228" xr:uid="{00000000-0005-0000-0000-0000DD040000}"/>
    <cellStyle name="쉼표 [0] 13 6 3" xfId="1229" xr:uid="{00000000-0005-0000-0000-0000DE040000}"/>
    <cellStyle name="쉼표 [0] 13 6 4" xfId="1230" xr:uid="{00000000-0005-0000-0000-0000DF040000}"/>
    <cellStyle name="쉼표 [0] 13 6 5" xfId="1231" xr:uid="{00000000-0005-0000-0000-0000E0040000}"/>
    <cellStyle name="쉼표 [0] 13 6 6" xfId="1232" xr:uid="{00000000-0005-0000-0000-0000E1040000}"/>
    <cellStyle name="쉼표 [0] 13 7" xfId="1233" xr:uid="{00000000-0005-0000-0000-0000E2040000}"/>
    <cellStyle name="쉼표 [0] 13 7 2" xfId="1234" xr:uid="{00000000-0005-0000-0000-0000E3040000}"/>
    <cellStyle name="쉼표 [0] 13 7 2 2" xfId="1235" xr:uid="{00000000-0005-0000-0000-0000E4040000}"/>
    <cellStyle name="쉼표 [0] 13 7 2 2 2" xfId="1236" xr:uid="{00000000-0005-0000-0000-0000E5040000}"/>
    <cellStyle name="쉼표 [0] 13 7 3" xfId="1237" xr:uid="{00000000-0005-0000-0000-0000E6040000}"/>
    <cellStyle name="쉼표 [0] 13 7 4" xfId="1238" xr:uid="{00000000-0005-0000-0000-0000E7040000}"/>
    <cellStyle name="쉼표 [0] 13 7 5" xfId="1239" xr:uid="{00000000-0005-0000-0000-0000E8040000}"/>
    <cellStyle name="쉼표 [0] 13 7 6" xfId="1240" xr:uid="{00000000-0005-0000-0000-0000E9040000}"/>
    <cellStyle name="쉼표 [0] 13 8" xfId="1241" xr:uid="{00000000-0005-0000-0000-0000EA040000}"/>
    <cellStyle name="쉼표 [0] 13 8 2" xfId="1242" xr:uid="{00000000-0005-0000-0000-0000EB040000}"/>
    <cellStyle name="쉼표 [0] 13 8 2 2" xfId="1243" xr:uid="{00000000-0005-0000-0000-0000EC040000}"/>
    <cellStyle name="쉼표 [0] 13 9" xfId="1244" xr:uid="{00000000-0005-0000-0000-0000ED040000}"/>
    <cellStyle name="쉼표 [0] 14" xfId="3115" xr:uid="{00000000-0005-0000-0000-0000EE040000}"/>
    <cellStyle name="쉼표 [0] 14 2" xfId="1245" xr:uid="{00000000-0005-0000-0000-0000EF040000}"/>
    <cellStyle name="쉼표 [0] 14 3" xfId="1246" xr:uid="{00000000-0005-0000-0000-0000F0040000}"/>
    <cellStyle name="쉼표 [0] 15" xfId="1247" xr:uid="{00000000-0005-0000-0000-0000F1040000}"/>
    <cellStyle name="쉼표 [0] 16" xfId="1248" xr:uid="{00000000-0005-0000-0000-0000F2040000}"/>
    <cellStyle name="쉼표 [0] 17" xfId="1249" xr:uid="{00000000-0005-0000-0000-0000F3040000}"/>
    <cellStyle name="쉼표 [0] 18" xfId="1250" xr:uid="{00000000-0005-0000-0000-0000F4040000}"/>
    <cellStyle name="쉼표 [0] 19" xfId="1251" xr:uid="{00000000-0005-0000-0000-0000F5040000}"/>
    <cellStyle name="쉼표 [0] 2" xfId="4" xr:uid="{00000000-0005-0000-0000-0000F6040000}"/>
    <cellStyle name="쉼표 [0] 2 10" xfId="1253" xr:uid="{00000000-0005-0000-0000-0000F7040000}"/>
    <cellStyle name="쉼표 [0] 2 10 2" xfId="1254" xr:uid="{00000000-0005-0000-0000-0000F8040000}"/>
    <cellStyle name="쉼표 [0] 2 10 2 2" xfId="1255" xr:uid="{00000000-0005-0000-0000-0000F9040000}"/>
    <cellStyle name="쉼표 [0] 2 10 2 2 2" xfId="1256" xr:uid="{00000000-0005-0000-0000-0000FA040000}"/>
    <cellStyle name="쉼표 [0] 2 10 2 3" xfId="1257" xr:uid="{00000000-0005-0000-0000-0000FB040000}"/>
    <cellStyle name="쉼표 [0] 2 10 3" xfId="1258" xr:uid="{00000000-0005-0000-0000-0000FC040000}"/>
    <cellStyle name="쉼표 [0] 2 10 4" xfId="1259" xr:uid="{00000000-0005-0000-0000-0000FD040000}"/>
    <cellStyle name="쉼표 [0] 2 10 5" xfId="1260" xr:uid="{00000000-0005-0000-0000-0000FE040000}"/>
    <cellStyle name="쉼표 [0] 2 10 6" xfId="1261" xr:uid="{00000000-0005-0000-0000-0000FF040000}"/>
    <cellStyle name="쉼표 [0] 2 10 7" xfId="1262" xr:uid="{00000000-0005-0000-0000-000000050000}"/>
    <cellStyle name="쉼표 [0] 2 11" xfId="1263" xr:uid="{00000000-0005-0000-0000-000001050000}"/>
    <cellStyle name="쉼표 [0] 2 11 2" xfId="1264" xr:uid="{00000000-0005-0000-0000-000002050000}"/>
    <cellStyle name="쉼표 [0] 2 11 2 2" xfId="1265" xr:uid="{00000000-0005-0000-0000-000003050000}"/>
    <cellStyle name="쉼표 [0] 2 11 2 2 2" xfId="1266" xr:uid="{00000000-0005-0000-0000-000004050000}"/>
    <cellStyle name="쉼표 [0] 2 11 2 3" xfId="1267" xr:uid="{00000000-0005-0000-0000-000005050000}"/>
    <cellStyle name="쉼표 [0] 2 11 3" xfId="1268" xr:uid="{00000000-0005-0000-0000-000006050000}"/>
    <cellStyle name="쉼표 [0] 2 11 4" xfId="1269" xr:uid="{00000000-0005-0000-0000-000007050000}"/>
    <cellStyle name="쉼표 [0] 2 11 5" xfId="1270" xr:uid="{00000000-0005-0000-0000-000008050000}"/>
    <cellStyle name="쉼표 [0] 2 11 6" xfId="1271" xr:uid="{00000000-0005-0000-0000-000009050000}"/>
    <cellStyle name="쉼표 [0] 2 11 7" xfId="1272" xr:uid="{00000000-0005-0000-0000-00000A050000}"/>
    <cellStyle name="쉼표 [0] 2 12" xfId="1273" xr:uid="{00000000-0005-0000-0000-00000B050000}"/>
    <cellStyle name="쉼표 [0] 2 12 2" xfId="1274" xr:uid="{00000000-0005-0000-0000-00000C050000}"/>
    <cellStyle name="쉼표 [0] 2 12 2 2" xfId="1275" xr:uid="{00000000-0005-0000-0000-00000D050000}"/>
    <cellStyle name="쉼표 [0] 2 12 2 2 2" xfId="1276" xr:uid="{00000000-0005-0000-0000-00000E050000}"/>
    <cellStyle name="쉼표 [0] 2 12 2 3" xfId="1277" xr:uid="{00000000-0005-0000-0000-00000F050000}"/>
    <cellStyle name="쉼표 [0] 2 12 3" xfId="1278" xr:uid="{00000000-0005-0000-0000-000010050000}"/>
    <cellStyle name="쉼표 [0] 2 12 4" xfId="1279" xr:uid="{00000000-0005-0000-0000-000011050000}"/>
    <cellStyle name="쉼표 [0] 2 12 5" xfId="1280" xr:uid="{00000000-0005-0000-0000-000012050000}"/>
    <cellStyle name="쉼표 [0] 2 12 6" xfId="1281" xr:uid="{00000000-0005-0000-0000-000013050000}"/>
    <cellStyle name="쉼표 [0] 2 12 7" xfId="1282" xr:uid="{00000000-0005-0000-0000-000014050000}"/>
    <cellStyle name="쉼표 [0] 2 13" xfId="1283" xr:uid="{00000000-0005-0000-0000-000015050000}"/>
    <cellStyle name="쉼표 [0] 2 13 2" xfId="1284" xr:uid="{00000000-0005-0000-0000-000016050000}"/>
    <cellStyle name="쉼표 [0] 2 13 2 2" xfId="1285" xr:uid="{00000000-0005-0000-0000-000017050000}"/>
    <cellStyle name="쉼표 [0] 2 13 2 2 2" xfId="1286" xr:uid="{00000000-0005-0000-0000-000018050000}"/>
    <cellStyle name="쉼표 [0] 2 13 2 3" xfId="1287" xr:uid="{00000000-0005-0000-0000-000019050000}"/>
    <cellStyle name="쉼표 [0] 2 13 3" xfId="1288" xr:uid="{00000000-0005-0000-0000-00001A050000}"/>
    <cellStyle name="쉼표 [0] 2 13 4" xfId="1289" xr:uid="{00000000-0005-0000-0000-00001B050000}"/>
    <cellStyle name="쉼표 [0] 2 13 5" xfId="1290" xr:uid="{00000000-0005-0000-0000-00001C050000}"/>
    <cellStyle name="쉼표 [0] 2 13 6" xfId="1291" xr:uid="{00000000-0005-0000-0000-00001D050000}"/>
    <cellStyle name="쉼표 [0] 2 13 7" xfId="1292" xr:uid="{00000000-0005-0000-0000-00001E050000}"/>
    <cellStyle name="쉼표 [0] 2 14" xfId="1293" xr:uid="{00000000-0005-0000-0000-00001F050000}"/>
    <cellStyle name="쉼표 [0] 2 14 2" xfId="1294" xr:uid="{00000000-0005-0000-0000-000020050000}"/>
    <cellStyle name="쉼표 [0] 2 14 2 2" xfId="1295" xr:uid="{00000000-0005-0000-0000-000021050000}"/>
    <cellStyle name="쉼표 [0] 2 14 2 2 2" xfId="1296" xr:uid="{00000000-0005-0000-0000-000022050000}"/>
    <cellStyle name="쉼표 [0] 2 14 2 3" xfId="1297" xr:uid="{00000000-0005-0000-0000-000023050000}"/>
    <cellStyle name="쉼표 [0] 2 14 3" xfId="1298" xr:uid="{00000000-0005-0000-0000-000024050000}"/>
    <cellStyle name="쉼표 [0] 2 14 4" xfId="1299" xr:uid="{00000000-0005-0000-0000-000025050000}"/>
    <cellStyle name="쉼표 [0] 2 14 5" xfId="1300" xr:uid="{00000000-0005-0000-0000-000026050000}"/>
    <cellStyle name="쉼표 [0] 2 14 6" xfId="1301" xr:uid="{00000000-0005-0000-0000-000027050000}"/>
    <cellStyle name="쉼표 [0] 2 14 7" xfId="1302" xr:uid="{00000000-0005-0000-0000-000028050000}"/>
    <cellStyle name="쉼표 [0] 2 15" xfId="1303" xr:uid="{00000000-0005-0000-0000-000029050000}"/>
    <cellStyle name="쉼표 [0] 2 15 2" xfId="1304" xr:uid="{00000000-0005-0000-0000-00002A050000}"/>
    <cellStyle name="쉼표 [0] 2 15 2 2" xfId="1305" xr:uid="{00000000-0005-0000-0000-00002B050000}"/>
    <cellStyle name="쉼표 [0] 2 15 2 2 2" xfId="1306" xr:uid="{00000000-0005-0000-0000-00002C050000}"/>
    <cellStyle name="쉼표 [0] 2 15 2 3" xfId="1307" xr:uid="{00000000-0005-0000-0000-00002D050000}"/>
    <cellStyle name="쉼표 [0] 2 15 3" xfId="1308" xr:uid="{00000000-0005-0000-0000-00002E050000}"/>
    <cellStyle name="쉼표 [0] 2 15 4" xfId="1309" xr:uid="{00000000-0005-0000-0000-00002F050000}"/>
    <cellStyle name="쉼표 [0] 2 15 5" xfId="1310" xr:uid="{00000000-0005-0000-0000-000030050000}"/>
    <cellStyle name="쉼표 [0] 2 15 6" xfId="1311" xr:uid="{00000000-0005-0000-0000-000031050000}"/>
    <cellStyle name="쉼표 [0] 2 15 7" xfId="1312" xr:uid="{00000000-0005-0000-0000-000032050000}"/>
    <cellStyle name="쉼표 [0] 2 16" xfId="1313" xr:uid="{00000000-0005-0000-0000-000033050000}"/>
    <cellStyle name="쉼표 [0] 2 16 2" xfId="1314" xr:uid="{00000000-0005-0000-0000-000034050000}"/>
    <cellStyle name="쉼표 [0] 2 16 2 2" xfId="1315" xr:uid="{00000000-0005-0000-0000-000035050000}"/>
    <cellStyle name="쉼표 [0] 2 16 2 2 2" xfId="1316" xr:uid="{00000000-0005-0000-0000-000036050000}"/>
    <cellStyle name="쉼표 [0] 2 16 2 3" xfId="1317" xr:uid="{00000000-0005-0000-0000-000037050000}"/>
    <cellStyle name="쉼표 [0] 2 16 3" xfId="1318" xr:uid="{00000000-0005-0000-0000-000038050000}"/>
    <cellStyle name="쉼표 [0] 2 16 4" xfId="1319" xr:uid="{00000000-0005-0000-0000-000039050000}"/>
    <cellStyle name="쉼표 [0] 2 16 5" xfId="1320" xr:uid="{00000000-0005-0000-0000-00003A050000}"/>
    <cellStyle name="쉼표 [0] 2 16 6" xfId="1321" xr:uid="{00000000-0005-0000-0000-00003B050000}"/>
    <cellStyle name="쉼표 [0] 2 16 7" xfId="1322" xr:uid="{00000000-0005-0000-0000-00003C050000}"/>
    <cellStyle name="쉼표 [0] 2 17" xfId="1323" xr:uid="{00000000-0005-0000-0000-00003D050000}"/>
    <cellStyle name="쉼표 [0] 2 17 2" xfId="1324" xr:uid="{00000000-0005-0000-0000-00003E050000}"/>
    <cellStyle name="쉼표 [0] 2 17 2 2" xfId="1325" xr:uid="{00000000-0005-0000-0000-00003F050000}"/>
    <cellStyle name="쉼표 [0] 2 17 2 2 2" xfId="1326" xr:uid="{00000000-0005-0000-0000-000040050000}"/>
    <cellStyle name="쉼표 [0] 2 17 2 3" xfId="1327" xr:uid="{00000000-0005-0000-0000-000041050000}"/>
    <cellStyle name="쉼표 [0] 2 17 3" xfId="1328" xr:uid="{00000000-0005-0000-0000-000042050000}"/>
    <cellStyle name="쉼표 [0] 2 17 4" xfId="1329" xr:uid="{00000000-0005-0000-0000-000043050000}"/>
    <cellStyle name="쉼표 [0] 2 17 5" xfId="1330" xr:uid="{00000000-0005-0000-0000-000044050000}"/>
    <cellStyle name="쉼표 [0] 2 17 6" xfId="1331" xr:uid="{00000000-0005-0000-0000-000045050000}"/>
    <cellStyle name="쉼표 [0] 2 17 7" xfId="1332" xr:uid="{00000000-0005-0000-0000-000046050000}"/>
    <cellStyle name="쉼표 [0] 2 18" xfId="1333" xr:uid="{00000000-0005-0000-0000-000047050000}"/>
    <cellStyle name="쉼표 [0] 2 18 2" xfId="1334" xr:uid="{00000000-0005-0000-0000-000048050000}"/>
    <cellStyle name="쉼표 [0] 2 18 2 2" xfId="1335" xr:uid="{00000000-0005-0000-0000-000049050000}"/>
    <cellStyle name="쉼표 [0] 2 18 2 2 2" xfId="1336" xr:uid="{00000000-0005-0000-0000-00004A050000}"/>
    <cellStyle name="쉼표 [0] 2 18 2 3" xfId="1337" xr:uid="{00000000-0005-0000-0000-00004B050000}"/>
    <cellStyle name="쉼표 [0] 2 18 3" xfId="1338" xr:uid="{00000000-0005-0000-0000-00004C050000}"/>
    <cellStyle name="쉼표 [0] 2 18 4" xfId="1339" xr:uid="{00000000-0005-0000-0000-00004D050000}"/>
    <cellStyle name="쉼표 [0] 2 18 5" xfId="1340" xr:uid="{00000000-0005-0000-0000-00004E050000}"/>
    <cellStyle name="쉼표 [0] 2 18 6" xfId="1341" xr:uid="{00000000-0005-0000-0000-00004F050000}"/>
    <cellStyle name="쉼표 [0] 2 18 7" xfId="1342" xr:uid="{00000000-0005-0000-0000-000050050000}"/>
    <cellStyle name="쉼표 [0] 2 19" xfId="1343" xr:uid="{00000000-0005-0000-0000-000051050000}"/>
    <cellStyle name="쉼표 [0] 2 19 10" xfId="1344" xr:uid="{00000000-0005-0000-0000-000052050000}"/>
    <cellStyle name="쉼표 [0] 2 19 11" xfId="1345" xr:uid="{00000000-0005-0000-0000-000053050000}"/>
    <cellStyle name="쉼표 [0] 2 19 12" xfId="1346" xr:uid="{00000000-0005-0000-0000-000054050000}"/>
    <cellStyle name="쉼표 [0] 2 19 2" xfId="1347" xr:uid="{00000000-0005-0000-0000-000055050000}"/>
    <cellStyle name="쉼표 [0] 2 19 2 10" xfId="1348" xr:uid="{00000000-0005-0000-0000-000056050000}"/>
    <cellStyle name="쉼표 [0] 2 19 2 10 2" xfId="1349" xr:uid="{00000000-0005-0000-0000-000057050000}"/>
    <cellStyle name="쉼표 [0] 2 19 2 11" xfId="1350" xr:uid="{00000000-0005-0000-0000-000058050000}"/>
    <cellStyle name="쉼표 [0] 2 19 2 11 2" xfId="1351" xr:uid="{00000000-0005-0000-0000-000059050000}"/>
    <cellStyle name="쉼표 [0] 2 19 2 12" xfId="1352" xr:uid="{00000000-0005-0000-0000-00005A050000}"/>
    <cellStyle name="쉼표 [0] 2 19 2 12 2" xfId="1353" xr:uid="{00000000-0005-0000-0000-00005B050000}"/>
    <cellStyle name="쉼표 [0] 2 19 2 13" xfId="1354" xr:uid="{00000000-0005-0000-0000-00005C050000}"/>
    <cellStyle name="쉼표 [0] 2 19 2 14" xfId="1355" xr:uid="{00000000-0005-0000-0000-00005D050000}"/>
    <cellStyle name="쉼표 [0] 2 19 2 15" xfId="1356" xr:uid="{00000000-0005-0000-0000-00005E050000}"/>
    <cellStyle name="쉼표 [0] 2 19 2 16" xfId="1357" xr:uid="{00000000-0005-0000-0000-00005F050000}"/>
    <cellStyle name="쉼표 [0] 2 19 2 17" xfId="1358" xr:uid="{00000000-0005-0000-0000-000060050000}"/>
    <cellStyle name="쉼표 [0] 2 19 2 2" xfId="1359" xr:uid="{00000000-0005-0000-0000-000061050000}"/>
    <cellStyle name="쉼표 [0] 2 19 2 2 2" xfId="1360" xr:uid="{00000000-0005-0000-0000-000062050000}"/>
    <cellStyle name="쉼표 [0] 2 19 2 2 2 2" xfId="1361" xr:uid="{00000000-0005-0000-0000-000063050000}"/>
    <cellStyle name="쉼표 [0] 2 19 2 2 3" xfId="1362" xr:uid="{00000000-0005-0000-0000-000064050000}"/>
    <cellStyle name="쉼표 [0] 2 19 2 2 3 2" xfId="1363" xr:uid="{00000000-0005-0000-0000-000065050000}"/>
    <cellStyle name="쉼표 [0] 2 19 2 3" xfId="1364" xr:uid="{00000000-0005-0000-0000-000066050000}"/>
    <cellStyle name="쉼표 [0] 2 19 2 3 2" xfId="1365" xr:uid="{00000000-0005-0000-0000-000067050000}"/>
    <cellStyle name="쉼표 [0] 2 19 2 4" xfId="1366" xr:uid="{00000000-0005-0000-0000-000068050000}"/>
    <cellStyle name="쉼표 [0] 2 19 2 4 2" xfId="1367" xr:uid="{00000000-0005-0000-0000-000069050000}"/>
    <cellStyle name="쉼표 [0] 2 19 2 5" xfId="1368" xr:uid="{00000000-0005-0000-0000-00006A050000}"/>
    <cellStyle name="쉼표 [0] 2 19 2 5 2" xfId="1369" xr:uid="{00000000-0005-0000-0000-00006B050000}"/>
    <cellStyle name="쉼표 [0] 2 19 2 6" xfId="1370" xr:uid="{00000000-0005-0000-0000-00006C050000}"/>
    <cellStyle name="쉼표 [0] 2 19 2 6 2" xfId="1371" xr:uid="{00000000-0005-0000-0000-00006D050000}"/>
    <cellStyle name="쉼표 [0] 2 19 2 7" xfId="1372" xr:uid="{00000000-0005-0000-0000-00006E050000}"/>
    <cellStyle name="쉼표 [0] 2 19 2 7 2" xfId="1373" xr:uid="{00000000-0005-0000-0000-00006F050000}"/>
    <cellStyle name="쉼표 [0] 2 19 2 8" xfId="1374" xr:uid="{00000000-0005-0000-0000-000070050000}"/>
    <cellStyle name="쉼표 [0] 2 19 2 8 2" xfId="1375" xr:uid="{00000000-0005-0000-0000-000071050000}"/>
    <cellStyle name="쉼표 [0] 2 19 2 9" xfId="1376" xr:uid="{00000000-0005-0000-0000-000072050000}"/>
    <cellStyle name="쉼표 [0] 2 19 2 9 2" xfId="1377" xr:uid="{00000000-0005-0000-0000-000073050000}"/>
    <cellStyle name="쉼표 [0] 2 19 3" xfId="1378" xr:uid="{00000000-0005-0000-0000-000074050000}"/>
    <cellStyle name="쉼표 [0] 2 19 3 2" xfId="1379" xr:uid="{00000000-0005-0000-0000-000075050000}"/>
    <cellStyle name="쉼표 [0] 2 19 3 3" xfId="1380" xr:uid="{00000000-0005-0000-0000-000076050000}"/>
    <cellStyle name="쉼표 [0] 2 19 4" xfId="1381" xr:uid="{00000000-0005-0000-0000-000077050000}"/>
    <cellStyle name="쉼표 [0] 2 19 5" xfId="1382" xr:uid="{00000000-0005-0000-0000-000078050000}"/>
    <cellStyle name="쉼표 [0] 2 19 6" xfId="1383" xr:uid="{00000000-0005-0000-0000-000079050000}"/>
    <cellStyle name="쉼표 [0] 2 19 7" xfId="1384" xr:uid="{00000000-0005-0000-0000-00007A050000}"/>
    <cellStyle name="쉼표 [0] 2 19 8" xfId="1385" xr:uid="{00000000-0005-0000-0000-00007B050000}"/>
    <cellStyle name="쉼표 [0] 2 19 9" xfId="1386" xr:uid="{00000000-0005-0000-0000-00007C050000}"/>
    <cellStyle name="쉼표 [0] 2 2" xfId="1387" xr:uid="{00000000-0005-0000-0000-00007D050000}"/>
    <cellStyle name="쉼표 [0] 2 2 2" xfId="1388" xr:uid="{00000000-0005-0000-0000-00007E050000}"/>
    <cellStyle name="쉼표 [0] 2 2 2 2" xfId="1389" xr:uid="{00000000-0005-0000-0000-00007F050000}"/>
    <cellStyle name="쉼표 [0] 2 2 2 2 2" xfId="1390" xr:uid="{00000000-0005-0000-0000-000080050000}"/>
    <cellStyle name="쉼표 [0] 2 2 2 2 2 2" xfId="1391" xr:uid="{00000000-0005-0000-0000-000081050000}"/>
    <cellStyle name="쉼표 [0] 2 2 2 3" xfId="1392" xr:uid="{00000000-0005-0000-0000-000082050000}"/>
    <cellStyle name="쉼표 [0] 2 2 2 3 2" xfId="1393" xr:uid="{00000000-0005-0000-0000-000083050000}"/>
    <cellStyle name="쉼표 [0] 2 2 2 4" xfId="1394" xr:uid="{00000000-0005-0000-0000-000084050000}"/>
    <cellStyle name="쉼표 [0] 2 2 3" xfId="1395" xr:uid="{00000000-0005-0000-0000-000085050000}"/>
    <cellStyle name="쉼표 [0] 2 2 3 2" xfId="3218" xr:uid="{00000000-0005-0000-0000-000086050000}"/>
    <cellStyle name="쉼표 [0] 2 2 4" xfId="1396" xr:uid="{00000000-0005-0000-0000-000087050000}"/>
    <cellStyle name="쉼표 [0] 2 2 5" xfId="1397" xr:uid="{00000000-0005-0000-0000-000088050000}"/>
    <cellStyle name="쉼표 [0] 2 2 6" xfId="1398" xr:uid="{00000000-0005-0000-0000-000089050000}"/>
    <cellStyle name="쉼표 [0] 2 2 7" xfId="1399" xr:uid="{00000000-0005-0000-0000-00008A050000}"/>
    <cellStyle name="쉼표 [0] 2 20" xfId="1400" xr:uid="{00000000-0005-0000-0000-00008B050000}"/>
    <cellStyle name="쉼표 [0] 2 20 2" xfId="1401" xr:uid="{00000000-0005-0000-0000-00008C050000}"/>
    <cellStyle name="쉼표 [0] 2 20 2 2" xfId="1402" xr:uid="{00000000-0005-0000-0000-00008D050000}"/>
    <cellStyle name="쉼표 [0] 2 20 2 2 2" xfId="1403" xr:uid="{00000000-0005-0000-0000-00008E050000}"/>
    <cellStyle name="쉼표 [0] 2 20 2 3" xfId="1404" xr:uid="{00000000-0005-0000-0000-00008F050000}"/>
    <cellStyle name="쉼표 [0] 2 20 3" xfId="1405" xr:uid="{00000000-0005-0000-0000-000090050000}"/>
    <cellStyle name="쉼표 [0] 2 20 4" xfId="1406" xr:uid="{00000000-0005-0000-0000-000091050000}"/>
    <cellStyle name="쉼표 [0] 2 20 5" xfId="1407" xr:uid="{00000000-0005-0000-0000-000092050000}"/>
    <cellStyle name="쉼표 [0] 2 20 6" xfId="1408" xr:uid="{00000000-0005-0000-0000-000093050000}"/>
    <cellStyle name="쉼표 [0] 2 20 7" xfId="1409" xr:uid="{00000000-0005-0000-0000-000094050000}"/>
    <cellStyle name="쉼표 [0] 2 21" xfId="1410" xr:uid="{00000000-0005-0000-0000-000095050000}"/>
    <cellStyle name="쉼표 [0] 2 21 10" xfId="1411" xr:uid="{00000000-0005-0000-0000-000096050000}"/>
    <cellStyle name="쉼표 [0] 2 21 11" xfId="1412" xr:uid="{00000000-0005-0000-0000-000097050000}"/>
    <cellStyle name="쉼표 [0] 2 21 12" xfId="1413" xr:uid="{00000000-0005-0000-0000-000098050000}"/>
    <cellStyle name="쉼표 [0] 2 21 2" xfId="1414" xr:uid="{00000000-0005-0000-0000-000099050000}"/>
    <cellStyle name="쉼표 [0] 2 21 2 2" xfId="1415" xr:uid="{00000000-0005-0000-0000-00009A050000}"/>
    <cellStyle name="쉼표 [0] 2 21 2 3" xfId="1416" xr:uid="{00000000-0005-0000-0000-00009B050000}"/>
    <cellStyle name="쉼표 [0] 2 21 3" xfId="1417" xr:uid="{00000000-0005-0000-0000-00009C050000}"/>
    <cellStyle name="쉼표 [0] 2 21 4" xfId="1418" xr:uid="{00000000-0005-0000-0000-00009D050000}"/>
    <cellStyle name="쉼표 [0] 2 21 5" xfId="1419" xr:uid="{00000000-0005-0000-0000-00009E050000}"/>
    <cellStyle name="쉼표 [0] 2 21 6" xfId="1420" xr:uid="{00000000-0005-0000-0000-00009F050000}"/>
    <cellStyle name="쉼표 [0] 2 21 7" xfId="1421" xr:uid="{00000000-0005-0000-0000-0000A0050000}"/>
    <cellStyle name="쉼표 [0] 2 21 8" xfId="1422" xr:uid="{00000000-0005-0000-0000-0000A1050000}"/>
    <cellStyle name="쉼표 [0] 2 21 9" xfId="1423" xr:uid="{00000000-0005-0000-0000-0000A2050000}"/>
    <cellStyle name="쉼표 [0] 2 22" xfId="1424" xr:uid="{00000000-0005-0000-0000-0000A3050000}"/>
    <cellStyle name="쉼표 [0] 2 22 2" xfId="1425" xr:uid="{00000000-0005-0000-0000-0000A4050000}"/>
    <cellStyle name="쉼표 [0] 2 22 2 2" xfId="1426" xr:uid="{00000000-0005-0000-0000-0000A5050000}"/>
    <cellStyle name="쉼표 [0] 2 22 2 2 2" xfId="1427" xr:uid="{00000000-0005-0000-0000-0000A6050000}"/>
    <cellStyle name="쉼표 [0] 2 22 2 3" xfId="1428" xr:uid="{00000000-0005-0000-0000-0000A7050000}"/>
    <cellStyle name="쉼표 [0] 2 22 3" xfId="1429" xr:uid="{00000000-0005-0000-0000-0000A8050000}"/>
    <cellStyle name="쉼표 [0] 2 22 4" xfId="1430" xr:uid="{00000000-0005-0000-0000-0000A9050000}"/>
    <cellStyle name="쉼표 [0] 2 22 5" xfId="1431" xr:uid="{00000000-0005-0000-0000-0000AA050000}"/>
    <cellStyle name="쉼표 [0] 2 22 6" xfId="1432" xr:uid="{00000000-0005-0000-0000-0000AB050000}"/>
    <cellStyle name="쉼표 [0] 2 22 7" xfId="1433" xr:uid="{00000000-0005-0000-0000-0000AC050000}"/>
    <cellStyle name="쉼표 [0] 2 23" xfId="1434" xr:uid="{00000000-0005-0000-0000-0000AD050000}"/>
    <cellStyle name="쉼표 [0] 2 23 2" xfId="1435" xr:uid="{00000000-0005-0000-0000-0000AE050000}"/>
    <cellStyle name="쉼표 [0] 2 23 2 2" xfId="1436" xr:uid="{00000000-0005-0000-0000-0000AF050000}"/>
    <cellStyle name="쉼표 [0] 2 23 2 2 2" xfId="1437" xr:uid="{00000000-0005-0000-0000-0000B0050000}"/>
    <cellStyle name="쉼표 [0] 2 23 2 3" xfId="1438" xr:uid="{00000000-0005-0000-0000-0000B1050000}"/>
    <cellStyle name="쉼표 [0] 2 23 3" xfId="1439" xr:uid="{00000000-0005-0000-0000-0000B2050000}"/>
    <cellStyle name="쉼표 [0] 2 23 4" xfId="1440" xr:uid="{00000000-0005-0000-0000-0000B3050000}"/>
    <cellStyle name="쉼표 [0] 2 23 5" xfId="1441" xr:uid="{00000000-0005-0000-0000-0000B4050000}"/>
    <cellStyle name="쉼표 [0] 2 23 6" xfId="1442" xr:uid="{00000000-0005-0000-0000-0000B5050000}"/>
    <cellStyle name="쉼표 [0] 2 23 7" xfId="1443" xr:uid="{00000000-0005-0000-0000-0000B6050000}"/>
    <cellStyle name="쉼표 [0] 2 24" xfId="1444" xr:uid="{00000000-0005-0000-0000-0000B7050000}"/>
    <cellStyle name="쉼표 [0] 2 24 2" xfId="1445" xr:uid="{00000000-0005-0000-0000-0000B8050000}"/>
    <cellStyle name="쉼표 [0] 2 24 2 2" xfId="1446" xr:uid="{00000000-0005-0000-0000-0000B9050000}"/>
    <cellStyle name="쉼표 [0] 2 24 2 2 2" xfId="1447" xr:uid="{00000000-0005-0000-0000-0000BA050000}"/>
    <cellStyle name="쉼표 [0] 2 24 2 3" xfId="1448" xr:uid="{00000000-0005-0000-0000-0000BB050000}"/>
    <cellStyle name="쉼표 [0] 2 24 3" xfId="1449" xr:uid="{00000000-0005-0000-0000-0000BC050000}"/>
    <cellStyle name="쉼표 [0] 2 24 4" xfId="1450" xr:uid="{00000000-0005-0000-0000-0000BD050000}"/>
    <cellStyle name="쉼표 [0] 2 24 5" xfId="1451" xr:uid="{00000000-0005-0000-0000-0000BE050000}"/>
    <cellStyle name="쉼표 [0] 2 24 6" xfId="1452" xr:uid="{00000000-0005-0000-0000-0000BF050000}"/>
    <cellStyle name="쉼표 [0] 2 24 7" xfId="1453" xr:uid="{00000000-0005-0000-0000-0000C0050000}"/>
    <cellStyle name="쉼표 [0] 2 25" xfId="1454" xr:uid="{00000000-0005-0000-0000-0000C1050000}"/>
    <cellStyle name="쉼표 [0] 2 25 2" xfId="1455" xr:uid="{00000000-0005-0000-0000-0000C2050000}"/>
    <cellStyle name="쉼표 [0] 2 25 2 2" xfId="1456" xr:uid="{00000000-0005-0000-0000-0000C3050000}"/>
    <cellStyle name="쉼표 [0] 2 25 2 2 2" xfId="1457" xr:uid="{00000000-0005-0000-0000-0000C4050000}"/>
    <cellStyle name="쉼표 [0] 2 25 2 3" xfId="1458" xr:uid="{00000000-0005-0000-0000-0000C5050000}"/>
    <cellStyle name="쉼표 [0] 2 25 3" xfId="1459" xr:uid="{00000000-0005-0000-0000-0000C6050000}"/>
    <cellStyle name="쉼표 [0] 2 25 4" xfId="1460" xr:uid="{00000000-0005-0000-0000-0000C7050000}"/>
    <cellStyle name="쉼표 [0] 2 25 5" xfId="1461" xr:uid="{00000000-0005-0000-0000-0000C8050000}"/>
    <cellStyle name="쉼표 [0] 2 25 6" xfId="1462" xr:uid="{00000000-0005-0000-0000-0000C9050000}"/>
    <cellStyle name="쉼표 [0] 2 25 7" xfId="1463" xr:uid="{00000000-0005-0000-0000-0000CA050000}"/>
    <cellStyle name="쉼표 [0] 2 26" xfId="1464" xr:uid="{00000000-0005-0000-0000-0000CB050000}"/>
    <cellStyle name="쉼표 [0] 2 26 2" xfId="1465" xr:uid="{00000000-0005-0000-0000-0000CC050000}"/>
    <cellStyle name="쉼표 [0] 2 26 2 2" xfId="1466" xr:uid="{00000000-0005-0000-0000-0000CD050000}"/>
    <cellStyle name="쉼표 [0] 2 26 2 2 2" xfId="1467" xr:uid="{00000000-0005-0000-0000-0000CE050000}"/>
    <cellStyle name="쉼표 [0] 2 26 2 3" xfId="1468" xr:uid="{00000000-0005-0000-0000-0000CF050000}"/>
    <cellStyle name="쉼표 [0] 2 26 3" xfId="1469" xr:uid="{00000000-0005-0000-0000-0000D0050000}"/>
    <cellStyle name="쉼표 [0] 2 26 4" xfId="1470" xr:uid="{00000000-0005-0000-0000-0000D1050000}"/>
    <cellStyle name="쉼표 [0] 2 26 5" xfId="1471" xr:uid="{00000000-0005-0000-0000-0000D2050000}"/>
    <cellStyle name="쉼표 [0] 2 26 6" xfId="1472" xr:uid="{00000000-0005-0000-0000-0000D3050000}"/>
    <cellStyle name="쉼표 [0] 2 26 7" xfId="1473" xr:uid="{00000000-0005-0000-0000-0000D4050000}"/>
    <cellStyle name="쉼표 [0] 2 27" xfId="1474" xr:uid="{00000000-0005-0000-0000-0000D5050000}"/>
    <cellStyle name="쉼표 [0] 2 27 2" xfId="1475" xr:uid="{00000000-0005-0000-0000-0000D6050000}"/>
    <cellStyle name="쉼표 [0] 2 27 2 2" xfId="1476" xr:uid="{00000000-0005-0000-0000-0000D7050000}"/>
    <cellStyle name="쉼표 [0] 2 27 2 2 2" xfId="1477" xr:uid="{00000000-0005-0000-0000-0000D8050000}"/>
    <cellStyle name="쉼표 [0] 2 27 2 3" xfId="1478" xr:uid="{00000000-0005-0000-0000-0000D9050000}"/>
    <cellStyle name="쉼표 [0] 2 27 3" xfId="1479" xr:uid="{00000000-0005-0000-0000-0000DA050000}"/>
    <cellStyle name="쉼표 [0] 2 27 4" xfId="1480" xr:uid="{00000000-0005-0000-0000-0000DB050000}"/>
    <cellStyle name="쉼표 [0] 2 27 5" xfId="1481" xr:uid="{00000000-0005-0000-0000-0000DC050000}"/>
    <cellStyle name="쉼표 [0] 2 27 6" xfId="1482" xr:uid="{00000000-0005-0000-0000-0000DD050000}"/>
    <cellStyle name="쉼표 [0] 2 27 7" xfId="1483" xr:uid="{00000000-0005-0000-0000-0000DE050000}"/>
    <cellStyle name="쉼표 [0] 2 28" xfId="1484" xr:uid="{00000000-0005-0000-0000-0000DF050000}"/>
    <cellStyle name="쉼표 [0] 2 28 2" xfId="1485" xr:uid="{00000000-0005-0000-0000-0000E0050000}"/>
    <cellStyle name="쉼표 [0] 2 28 2 2" xfId="1486" xr:uid="{00000000-0005-0000-0000-0000E1050000}"/>
    <cellStyle name="쉼표 [0] 2 28 2 2 2" xfId="1487" xr:uid="{00000000-0005-0000-0000-0000E2050000}"/>
    <cellStyle name="쉼표 [0] 2 28 2 3" xfId="1488" xr:uid="{00000000-0005-0000-0000-0000E3050000}"/>
    <cellStyle name="쉼표 [0] 2 28 3" xfId="1489" xr:uid="{00000000-0005-0000-0000-0000E4050000}"/>
    <cellStyle name="쉼표 [0] 2 28 4" xfId="1490" xr:uid="{00000000-0005-0000-0000-0000E5050000}"/>
    <cellStyle name="쉼표 [0] 2 28 5" xfId="1491" xr:uid="{00000000-0005-0000-0000-0000E6050000}"/>
    <cellStyle name="쉼표 [0] 2 28 6" xfId="1492" xr:uid="{00000000-0005-0000-0000-0000E7050000}"/>
    <cellStyle name="쉼표 [0] 2 28 7" xfId="1493" xr:uid="{00000000-0005-0000-0000-0000E8050000}"/>
    <cellStyle name="쉼표 [0] 2 29" xfId="1494" xr:uid="{00000000-0005-0000-0000-0000E9050000}"/>
    <cellStyle name="쉼표 [0] 2 29 2" xfId="1495" xr:uid="{00000000-0005-0000-0000-0000EA050000}"/>
    <cellStyle name="쉼표 [0] 2 29 2 2" xfId="1496" xr:uid="{00000000-0005-0000-0000-0000EB050000}"/>
    <cellStyle name="쉼표 [0] 2 29 2 2 2" xfId="1497" xr:uid="{00000000-0005-0000-0000-0000EC050000}"/>
    <cellStyle name="쉼표 [0] 2 29 2 3" xfId="1498" xr:uid="{00000000-0005-0000-0000-0000ED050000}"/>
    <cellStyle name="쉼표 [0] 2 29 3" xfId="1499" xr:uid="{00000000-0005-0000-0000-0000EE050000}"/>
    <cellStyle name="쉼표 [0] 2 29 4" xfId="1500" xr:uid="{00000000-0005-0000-0000-0000EF050000}"/>
    <cellStyle name="쉼표 [0] 2 29 5" xfId="1501" xr:uid="{00000000-0005-0000-0000-0000F0050000}"/>
    <cellStyle name="쉼표 [0] 2 29 6" xfId="1502" xr:uid="{00000000-0005-0000-0000-0000F1050000}"/>
    <cellStyle name="쉼표 [0] 2 29 7" xfId="1503" xr:uid="{00000000-0005-0000-0000-0000F2050000}"/>
    <cellStyle name="쉼표 [0] 2 3" xfId="1504" xr:uid="{00000000-0005-0000-0000-0000F3050000}"/>
    <cellStyle name="쉼표 [0] 2 3 2" xfId="1505" xr:uid="{00000000-0005-0000-0000-0000F4050000}"/>
    <cellStyle name="쉼표 [0] 2 3 2 2" xfId="1506" xr:uid="{00000000-0005-0000-0000-0000F5050000}"/>
    <cellStyle name="쉼표 [0] 2 3 2 2 2" xfId="1507" xr:uid="{00000000-0005-0000-0000-0000F6050000}"/>
    <cellStyle name="쉼표 [0] 2 3 2 3" xfId="1508" xr:uid="{00000000-0005-0000-0000-0000F7050000}"/>
    <cellStyle name="쉼표 [0] 2 3 3" xfId="1509" xr:uid="{00000000-0005-0000-0000-0000F8050000}"/>
    <cellStyle name="쉼표 [0] 2 3 4" xfId="1510" xr:uid="{00000000-0005-0000-0000-0000F9050000}"/>
    <cellStyle name="쉼표 [0] 2 3 5" xfId="1511" xr:uid="{00000000-0005-0000-0000-0000FA050000}"/>
    <cellStyle name="쉼표 [0] 2 3 6" xfId="1512" xr:uid="{00000000-0005-0000-0000-0000FB050000}"/>
    <cellStyle name="쉼표 [0] 2 3 7" xfId="1513" xr:uid="{00000000-0005-0000-0000-0000FC050000}"/>
    <cellStyle name="쉼표 [0] 2 30" xfId="1514" xr:uid="{00000000-0005-0000-0000-0000FD050000}"/>
    <cellStyle name="쉼표 [0] 2 30 2" xfId="1515" xr:uid="{00000000-0005-0000-0000-0000FE050000}"/>
    <cellStyle name="쉼표 [0] 2 30 2 2" xfId="1516" xr:uid="{00000000-0005-0000-0000-0000FF050000}"/>
    <cellStyle name="쉼표 [0] 2 30 3" xfId="1517" xr:uid="{00000000-0005-0000-0000-000000060000}"/>
    <cellStyle name="쉼표 [0] 2 30 3 2" xfId="1518" xr:uid="{00000000-0005-0000-0000-000001060000}"/>
    <cellStyle name="쉼표 [0] 2 31" xfId="1519" xr:uid="{00000000-0005-0000-0000-000002060000}"/>
    <cellStyle name="쉼표 [0] 2 31 2" xfId="1520" xr:uid="{00000000-0005-0000-0000-000003060000}"/>
    <cellStyle name="쉼표 [0] 2 32" xfId="1521" xr:uid="{00000000-0005-0000-0000-000004060000}"/>
    <cellStyle name="쉼표 [0] 2 32 2" xfId="1522" xr:uid="{00000000-0005-0000-0000-000005060000}"/>
    <cellStyle name="쉼표 [0] 2 33" xfId="1523" xr:uid="{00000000-0005-0000-0000-000006060000}"/>
    <cellStyle name="쉼표 [0] 2 33 2" xfId="1524" xr:uid="{00000000-0005-0000-0000-000007060000}"/>
    <cellStyle name="쉼표 [0] 2 34" xfId="1525" xr:uid="{00000000-0005-0000-0000-000008060000}"/>
    <cellStyle name="쉼표 [0] 2 34 2" xfId="1526" xr:uid="{00000000-0005-0000-0000-000009060000}"/>
    <cellStyle name="쉼표 [0] 2 35" xfId="1527" xr:uid="{00000000-0005-0000-0000-00000A060000}"/>
    <cellStyle name="쉼표 [0] 2 35 2" xfId="1528" xr:uid="{00000000-0005-0000-0000-00000B060000}"/>
    <cellStyle name="쉼표 [0] 2 36" xfId="1529" xr:uid="{00000000-0005-0000-0000-00000C060000}"/>
    <cellStyle name="쉼표 [0] 2 36 2" xfId="1530" xr:uid="{00000000-0005-0000-0000-00000D060000}"/>
    <cellStyle name="쉼표 [0] 2 37" xfId="1531" xr:uid="{00000000-0005-0000-0000-00000E060000}"/>
    <cellStyle name="쉼표 [0] 2 37 2" xfId="1532" xr:uid="{00000000-0005-0000-0000-00000F060000}"/>
    <cellStyle name="쉼표 [0] 2 38" xfId="1533" xr:uid="{00000000-0005-0000-0000-000010060000}"/>
    <cellStyle name="쉼표 [0] 2 38 2" xfId="1534" xr:uid="{00000000-0005-0000-0000-000011060000}"/>
    <cellStyle name="쉼표 [0] 2 39" xfId="1535" xr:uid="{00000000-0005-0000-0000-000012060000}"/>
    <cellStyle name="쉼표 [0] 2 39 2" xfId="1536" xr:uid="{00000000-0005-0000-0000-000013060000}"/>
    <cellStyle name="쉼표 [0] 2 4" xfId="1537" xr:uid="{00000000-0005-0000-0000-000014060000}"/>
    <cellStyle name="쉼표 [0] 2 4 2" xfId="1538" xr:uid="{00000000-0005-0000-0000-000015060000}"/>
    <cellStyle name="쉼표 [0] 2 4 2 2" xfId="1539" xr:uid="{00000000-0005-0000-0000-000016060000}"/>
    <cellStyle name="쉼표 [0] 2 4 2 2 2" xfId="1540" xr:uid="{00000000-0005-0000-0000-000017060000}"/>
    <cellStyle name="쉼표 [0] 2 4 2 3" xfId="1541" xr:uid="{00000000-0005-0000-0000-000018060000}"/>
    <cellStyle name="쉼표 [0] 2 4 3" xfId="1542" xr:uid="{00000000-0005-0000-0000-000019060000}"/>
    <cellStyle name="쉼표 [0] 2 4 4" xfId="1543" xr:uid="{00000000-0005-0000-0000-00001A060000}"/>
    <cellStyle name="쉼표 [0] 2 4 5" xfId="1544" xr:uid="{00000000-0005-0000-0000-00001B060000}"/>
    <cellStyle name="쉼표 [0] 2 4 6" xfId="1545" xr:uid="{00000000-0005-0000-0000-00001C060000}"/>
    <cellStyle name="쉼표 [0] 2 4 7" xfId="1546" xr:uid="{00000000-0005-0000-0000-00001D060000}"/>
    <cellStyle name="쉼표 [0] 2 40" xfId="1547" xr:uid="{00000000-0005-0000-0000-00001E060000}"/>
    <cellStyle name="쉼표 [0] 2 40 2" xfId="1548" xr:uid="{00000000-0005-0000-0000-00001F060000}"/>
    <cellStyle name="쉼표 [0] 2 41" xfId="1549" xr:uid="{00000000-0005-0000-0000-000020060000}"/>
    <cellStyle name="쉼표 [0] 2 41 2" xfId="1550" xr:uid="{00000000-0005-0000-0000-000021060000}"/>
    <cellStyle name="쉼표 [0] 2 42" xfId="1551" xr:uid="{00000000-0005-0000-0000-000022060000}"/>
    <cellStyle name="쉼표 [0] 2 42 2" xfId="1552" xr:uid="{00000000-0005-0000-0000-000023060000}"/>
    <cellStyle name="쉼표 [0] 2 43" xfId="1553" xr:uid="{00000000-0005-0000-0000-000024060000}"/>
    <cellStyle name="쉼표 [0] 2 43 2" xfId="1554" xr:uid="{00000000-0005-0000-0000-000025060000}"/>
    <cellStyle name="쉼표 [0] 2 44" xfId="1555" xr:uid="{00000000-0005-0000-0000-000026060000}"/>
    <cellStyle name="쉼표 [0] 2 44 2" xfId="1556" xr:uid="{00000000-0005-0000-0000-000027060000}"/>
    <cellStyle name="쉼표 [0] 2 45" xfId="1557" xr:uid="{00000000-0005-0000-0000-000028060000}"/>
    <cellStyle name="쉼표 [0] 2 45 2" xfId="1558" xr:uid="{00000000-0005-0000-0000-000029060000}"/>
    <cellStyle name="쉼표 [0] 2 46" xfId="1559" xr:uid="{00000000-0005-0000-0000-00002A060000}"/>
    <cellStyle name="쉼표 [0] 2 46 2" xfId="1560" xr:uid="{00000000-0005-0000-0000-00002B060000}"/>
    <cellStyle name="쉼표 [0] 2 47" xfId="1561" xr:uid="{00000000-0005-0000-0000-00002C060000}"/>
    <cellStyle name="쉼표 [0] 2 47 2" xfId="1562" xr:uid="{00000000-0005-0000-0000-00002D060000}"/>
    <cellStyle name="쉼표 [0] 2 48" xfId="1563" xr:uid="{00000000-0005-0000-0000-00002E060000}"/>
    <cellStyle name="쉼표 [0] 2 48 2" xfId="1564" xr:uid="{00000000-0005-0000-0000-00002F060000}"/>
    <cellStyle name="쉼표 [0] 2 49" xfId="1565" xr:uid="{00000000-0005-0000-0000-000030060000}"/>
    <cellStyle name="쉼표 [0] 2 49 2" xfId="1566" xr:uid="{00000000-0005-0000-0000-000031060000}"/>
    <cellStyle name="쉼표 [0] 2 5" xfId="1567" xr:uid="{00000000-0005-0000-0000-000032060000}"/>
    <cellStyle name="쉼표 [0] 2 5 2" xfId="1568" xr:uid="{00000000-0005-0000-0000-000033060000}"/>
    <cellStyle name="쉼표 [0] 2 5 2 2" xfId="1569" xr:uid="{00000000-0005-0000-0000-000034060000}"/>
    <cellStyle name="쉼표 [0] 2 5 2 2 2" xfId="1570" xr:uid="{00000000-0005-0000-0000-000035060000}"/>
    <cellStyle name="쉼표 [0] 2 5 2 3" xfId="1571" xr:uid="{00000000-0005-0000-0000-000036060000}"/>
    <cellStyle name="쉼표 [0] 2 5 3" xfId="1572" xr:uid="{00000000-0005-0000-0000-000037060000}"/>
    <cellStyle name="쉼표 [0] 2 5 4" xfId="1573" xr:uid="{00000000-0005-0000-0000-000038060000}"/>
    <cellStyle name="쉼표 [0] 2 5 5" xfId="1574" xr:uid="{00000000-0005-0000-0000-000039060000}"/>
    <cellStyle name="쉼표 [0] 2 5 6" xfId="1575" xr:uid="{00000000-0005-0000-0000-00003A060000}"/>
    <cellStyle name="쉼표 [0] 2 5 7" xfId="1576" xr:uid="{00000000-0005-0000-0000-00003B060000}"/>
    <cellStyle name="쉼표 [0] 2 50" xfId="1577" xr:uid="{00000000-0005-0000-0000-00003C060000}"/>
    <cellStyle name="쉼표 [0] 2 51" xfId="1578" xr:uid="{00000000-0005-0000-0000-00003D060000}"/>
    <cellStyle name="쉼표 [0] 2 52" xfId="3146" xr:uid="{00000000-0005-0000-0000-00003E060000}"/>
    <cellStyle name="쉼표 [0] 2 53" xfId="1252" xr:uid="{00000000-0005-0000-0000-00003F060000}"/>
    <cellStyle name="쉼표 [0] 2 6" xfId="1579" xr:uid="{00000000-0005-0000-0000-000040060000}"/>
    <cellStyle name="쉼표 [0] 2 6 2" xfId="1580" xr:uid="{00000000-0005-0000-0000-000041060000}"/>
    <cellStyle name="쉼표 [0] 2 6 2 2" xfId="1581" xr:uid="{00000000-0005-0000-0000-000042060000}"/>
    <cellStyle name="쉼표 [0] 2 6 2 2 2" xfId="1582" xr:uid="{00000000-0005-0000-0000-000043060000}"/>
    <cellStyle name="쉼표 [0] 2 6 2 3" xfId="1583" xr:uid="{00000000-0005-0000-0000-000044060000}"/>
    <cellStyle name="쉼표 [0] 2 6 3" xfId="1584" xr:uid="{00000000-0005-0000-0000-000045060000}"/>
    <cellStyle name="쉼표 [0] 2 6 4" xfId="1585" xr:uid="{00000000-0005-0000-0000-000046060000}"/>
    <cellStyle name="쉼표 [0] 2 6 5" xfId="1586" xr:uid="{00000000-0005-0000-0000-000047060000}"/>
    <cellStyle name="쉼표 [0] 2 6 6" xfId="1587" xr:uid="{00000000-0005-0000-0000-000048060000}"/>
    <cellStyle name="쉼표 [0] 2 6 7" xfId="1588" xr:uid="{00000000-0005-0000-0000-000049060000}"/>
    <cellStyle name="쉼표 [0] 2 7" xfId="1589" xr:uid="{00000000-0005-0000-0000-00004A060000}"/>
    <cellStyle name="쉼표 [0] 2 7 2" xfId="1590" xr:uid="{00000000-0005-0000-0000-00004B060000}"/>
    <cellStyle name="쉼표 [0] 2 7 2 2" xfId="1591" xr:uid="{00000000-0005-0000-0000-00004C060000}"/>
    <cellStyle name="쉼표 [0] 2 7 2 2 2" xfId="1592" xr:uid="{00000000-0005-0000-0000-00004D060000}"/>
    <cellStyle name="쉼표 [0] 2 7 2 3" xfId="1593" xr:uid="{00000000-0005-0000-0000-00004E060000}"/>
    <cellStyle name="쉼표 [0] 2 7 3" xfId="1594" xr:uid="{00000000-0005-0000-0000-00004F060000}"/>
    <cellStyle name="쉼표 [0] 2 7 4" xfId="1595" xr:uid="{00000000-0005-0000-0000-000050060000}"/>
    <cellStyle name="쉼표 [0] 2 7 5" xfId="1596" xr:uid="{00000000-0005-0000-0000-000051060000}"/>
    <cellStyle name="쉼표 [0] 2 7 6" xfId="1597" xr:uid="{00000000-0005-0000-0000-000052060000}"/>
    <cellStyle name="쉼표 [0] 2 7 7" xfId="1598" xr:uid="{00000000-0005-0000-0000-000053060000}"/>
    <cellStyle name="쉼표 [0] 2 8" xfId="1599" xr:uid="{00000000-0005-0000-0000-000054060000}"/>
    <cellStyle name="쉼표 [0] 2 8 2" xfId="1600" xr:uid="{00000000-0005-0000-0000-000055060000}"/>
    <cellStyle name="쉼표 [0] 2 8 2 2" xfId="1601" xr:uid="{00000000-0005-0000-0000-000056060000}"/>
    <cellStyle name="쉼표 [0] 2 8 2 2 2" xfId="1602" xr:uid="{00000000-0005-0000-0000-000057060000}"/>
    <cellStyle name="쉼표 [0] 2 8 2 3" xfId="1603" xr:uid="{00000000-0005-0000-0000-000058060000}"/>
    <cellStyle name="쉼표 [0] 2 8 3" xfId="1604" xr:uid="{00000000-0005-0000-0000-000059060000}"/>
    <cellStyle name="쉼표 [0] 2 8 4" xfId="1605" xr:uid="{00000000-0005-0000-0000-00005A060000}"/>
    <cellStyle name="쉼표 [0] 2 8 5" xfId="1606" xr:uid="{00000000-0005-0000-0000-00005B060000}"/>
    <cellStyle name="쉼표 [0] 2 8 6" xfId="1607" xr:uid="{00000000-0005-0000-0000-00005C060000}"/>
    <cellStyle name="쉼표 [0] 2 8 7" xfId="1608" xr:uid="{00000000-0005-0000-0000-00005D060000}"/>
    <cellStyle name="쉼표 [0] 2 9" xfId="1609" xr:uid="{00000000-0005-0000-0000-00005E060000}"/>
    <cellStyle name="쉼표 [0] 2 9 2" xfId="1610" xr:uid="{00000000-0005-0000-0000-00005F060000}"/>
    <cellStyle name="쉼표 [0] 2 9 2 2" xfId="1611" xr:uid="{00000000-0005-0000-0000-000060060000}"/>
    <cellStyle name="쉼표 [0] 2 9 2 2 2" xfId="1612" xr:uid="{00000000-0005-0000-0000-000061060000}"/>
    <cellStyle name="쉼표 [0] 2 9 2 3" xfId="1613" xr:uid="{00000000-0005-0000-0000-000062060000}"/>
    <cellStyle name="쉼표 [0] 2 9 3" xfId="1614" xr:uid="{00000000-0005-0000-0000-000063060000}"/>
    <cellStyle name="쉼표 [0] 2 9 4" xfId="1615" xr:uid="{00000000-0005-0000-0000-000064060000}"/>
    <cellStyle name="쉼표 [0] 2 9 5" xfId="1616" xr:uid="{00000000-0005-0000-0000-000065060000}"/>
    <cellStyle name="쉼표 [0] 2 9 6" xfId="1617" xr:uid="{00000000-0005-0000-0000-000066060000}"/>
    <cellStyle name="쉼표 [0] 2 9 7" xfId="1618" xr:uid="{00000000-0005-0000-0000-000067060000}"/>
    <cellStyle name="쉼표 [0] 20" xfId="1619" xr:uid="{00000000-0005-0000-0000-000068060000}"/>
    <cellStyle name="쉼표 [0] 21" xfId="1620" xr:uid="{00000000-0005-0000-0000-000069060000}"/>
    <cellStyle name="쉼표 [0] 21 2" xfId="1621" xr:uid="{00000000-0005-0000-0000-00006A060000}"/>
    <cellStyle name="쉼표 [0] 21 2 2" xfId="1622" xr:uid="{00000000-0005-0000-0000-00006B060000}"/>
    <cellStyle name="쉼표 [0] 21 2 3" xfId="1623" xr:uid="{00000000-0005-0000-0000-00006C060000}"/>
    <cellStyle name="쉼표 [0] 21 2 4" xfId="1624" xr:uid="{00000000-0005-0000-0000-00006D060000}"/>
    <cellStyle name="쉼표 [0] 21 2 5" xfId="1625" xr:uid="{00000000-0005-0000-0000-00006E060000}"/>
    <cellStyle name="쉼표 [0] 21 2 5 2" xfId="1626" xr:uid="{00000000-0005-0000-0000-00006F060000}"/>
    <cellStyle name="쉼표 [0] 21 2 6" xfId="1627" xr:uid="{00000000-0005-0000-0000-000070060000}"/>
    <cellStyle name="쉼표 [0] 21 3" xfId="1628" xr:uid="{00000000-0005-0000-0000-000071060000}"/>
    <cellStyle name="쉼표 [0] 21 3 2" xfId="1629" xr:uid="{00000000-0005-0000-0000-000072060000}"/>
    <cellStyle name="쉼표 [0] 21 3 3" xfId="1630" xr:uid="{00000000-0005-0000-0000-000073060000}"/>
    <cellStyle name="쉼표 [0] 21 3 4" xfId="1631" xr:uid="{00000000-0005-0000-0000-000074060000}"/>
    <cellStyle name="쉼표 [0] 21 3 5" xfId="1632" xr:uid="{00000000-0005-0000-0000-000075060000}"/>
    <cellStyle name="쉼표 [0] 21 4" xfId="1633" xr:uid="{00000000-0005-0000-0000-000076060000}"/>
    <cellStyle name="쉼표 [0] 21 4 2" xfId="1634" xr:uid="{00000000-0005-0000-0000-000077060000}"/>
    <cellStyle name="쉼표 [0] 21 4 3" xfId="1635" xr:uid="{00000000-0005-0000-0000-000078060000}"/>
    <cellStyle name="쉼표 [0] 21 4 4" xfId="1636" xr:uid="{00000000-0005-0000-0000-000079060000}"/>
    <cellStyle name="쉼표 [0] 21 4 5" xfId="1637" xr:uid="{00000000-0005-0000-0000-00007A060000}"/>
    <cellStyle name="쉼표 [0] 22" xfId="1638" xr:uid="{00000000-0005-0000-0000-00007B060000}"/>
    <cellStyle name="쉼표 [0] 23" xfId="1639" xr:uid="{00000000-0005-0000-0000-00007C060000}"/>
    <cellStyle name="쉼표 [0] 24" xfId="1640" xr:uid="{00000000-0005-0000-0000-00007D060000}"/>
    <cellStyle name="쉼표 [0] 25" xfId="1641" xr:uid="{00000000-0005-0000-0000-00007E060000}"/>
    <cellStyle name="쉼표 [0] 26" xfId="1642" xr:uid="{00000000-0005-0000-0000-00007F060000}"/>
    <cellStyle name="쉼표 [0] 27" xfId="1643" xr:uid="{00000000-0005-0000-0000-000080060000}"/>
    <cellStyle name="쉼표 [0] 27 2" xfId="1644" xr:uid="{00000000-0005-0000-0000-000081060000}"/>
    <cellStyle name="쉼표 [0] 28" xfId="1645" xr:uid="{00000000-0005-0000-0000-000082060000}"/>
    <cellStyle name="쉼표 [0] 29" xfId="1646" xr:uid="{00000000-0005-0000-0000-000083060000}"/>
    <cellStyle name="쉼표 [0] 3" xfId="1647" xr:uid="{00000000-0005-0000-0000-000084060000}"/>
    <cellStyle name="쉼표 [0] 3 10" xfId="1648" xr:uid="{00000000-0005-0000-0000-000085060000}"/>
    <cellStyle name="쉼표 [0] 3 10 2" xfId="1649" xr:uid="{00000000-0005-0000-0000-000086060000}"/>
    <cellStyle name="쉼표 [0] 3 10 2 2" xfId="1650" xr:uid="{00000000-0005-0000-0000-000087060000}"/>
    <cellStyle name="쉼표 [0] 3 11" xfId="1651" xr:uid="{00000000-0005-0000-0000-000088060000}"/>
    <cellStyle name="쉼표 [0] 3 12" xfId="1652" xr:uid="{00000000-0005-0000-0000-000089060000}"/>
    <cellStyle name="쉼표 [0] 3 13" xfId="1653" xr:uid="{00000000-0005-0000-0000-00008A060000}"/>
    <cellStyle name="쉼표 [0] 3 14" xfId="1654" xr:uid="{00000000-0005-0000-0000-00008B060000}"/>
    <cellStyle name="쉼표 [0] 3 15" xfId="1655" xr:uid="{00000000-0005-0000-0000-00008C060000}"/>
    <cellStyle name="쉼표 [0] 3 16" xfId="1656" xr:uid="{00000000-0005-0000-0000-00008D060000}"/>
    <cellStyle name="쉼표 [0] 3 17" xfId="1657" xr:uid="{00000000-0005-0000-0000-00008E060000}"/>
    <cellStyle name="쉼표 [0] 3 18" xfId="1658" xr:uid="{00000000-0005-0000-0000-00008F060000}"/>
    <cellStyle name="쉼표 [0] 3 19" xfId="1659" xr:uid="{00000000-0005-0000-0000-000090060000}"/>
    <cellStyle name="쉼표 [0] 3 2" xfId="1660" xr:uid="{00000000-0005-0000-0000-000091060000}"/>
    <cellStyle name="쉼표 [0] 3 2 10" xfId="1661" xr:uid="{00000000-0005-0000-0000-000092060000}"/>
    <cellStyle name="쉼표 [0] 3 2 10 2" xfId="1662" xr:uid="{00000000-0005-0000-0000-000093060000}"/>
    <cellStyle name="쉼표 [0] 3 2 10 2 2" xfId="1663" xr:uid="{00000000-0005-0000-0000-000094060000}"/>
    <cellStyle name="쉼표 [0] 3 2 10 2 2 2" xfId="1664" xr:uid="{00000000-0005-0000-0000-000095060000}"/>
    <cellStyle name="쉼표 [0] 3 2 10 3" xfId="1665" xr:uid="{00000000-0005-0000-0000-000096060000}"/>
    <cellStyle name="쉼표 [0] 3 2 10 4" xfId="1666" xr:uid="{00000000-0005-0000-0000-000097060000}"/>
    <cellStyle name="쉼표 [0] 3 2 10 5" xfId="1667" xr:uid="{00000000-0005-0000-0000-000098060000}"/>
    <cellStyle name="쉼표 [0] 3 2 10 6" xfId="1668" xr:uid="{00000000-0005-0000-0000-000099060000}"/>
    <cellStyle name="쉼표 [0] 3 2 11" xfId="1669" xr:uid="{00000000-0005-0000-0000-00009A060000}"/>
    <cellStyle name="쉼표 [0] 3 2 11 2" xfId="1670" xr:uid="{00000000-0005-0000-0000-00009B060000}"/>
    <cellStyle name="쉼표 [0] 3 2 11 2 2" xfId="1671" xr:uid="{00000000-0005-0000-0000-00009C060000}"/>
    <cellStyle name="쉼표 [0] 3 2 11 2 2 2" xfId="1672" xr:uid="{00000000-0005-0000-0000-00009D060000}"/>
    <cellStyle name="쉼표 [0] 3 2 11 3" xfId="1673" xr:uid="{00000000-0005-0000-0000-00009E060000}"/>
    <cellStyle name="쉼표 [0] 3 2 11 4" xfId="1674" xr:uid="{00000000-0005-0000-0000-00009F060000}"/>
    <cellStyle name="쉼표 [0] 3 2 11 5" xfId="1675" xr:uid="{00000000-0005-0000-0000-0000A0060000}"/>
    <cellStyle name="쉼표 [0] 3 2 11 6" xfId="1676" xr:uid="{00000000-0005-0000-0000-0000A1060000}"/>
    <cellStyle name="쉼표 [0] 3 2 12" xfId="1677" xr:uid="{00000000-0005-0000-0000-0000A2060000}"/>
    <cellStyle name="쉼표 [0] 3 2 12 2" xfId="1678" xr:uid="{00000000-0005-0000-0000-0000A3060000}"/>
    <cellStyle name="쉼표 [0] 3 2 12 2 2" xfId="1679" xr:uid="{00000000-0005-0000-0000-0000A4060000}"/>
    <cellStyle name="쉼표 [0] 3 2 12 2 2 2" xfId="1680" xr:uid="{00000000-0005-0000-0000-0000A5060000}"/>
    <cellStyle name="쉼표 [0] 3 2 12 3" xfId="1681" xr:uid="{00000000-0005-0000-0000-0000A6060000}"/>
    <cellStyle name="쉼표 [0] 3 2 12 4" xfId="1682" xr:uid="{00000000-0005-0000-0000-0000A7060000}"/>
    <cellStyle name="쉼표 [0] 3 2 12 5" xfId="1683" xr:uid="{00000000-0005-0000-0000-0000A8060000}"/>
    <cellStyle name="쉼표 [0] 3 2 12 6" xfId="1684" xr:uid="{00000000-0005-0000-0000-0000A9060000}"/>
    <cellStyle name="쉼표 [0] 3 2 13" xfId="1685" xr:uid="{00000000-0005-0000-0000-0000AA060000}"/>
    <cellStyle name="쉼표 [0] 3 2 13 2" xfId="1686" xr:uid="{00000000-0005-0000-0000-0000AB060000}"/>
    <cellStyle name="쉼표 [0] 3 2 13 2 2" xfId="1687" xr:uid="{00000000-0005-0000-0000-0000AC060000}"/>
    <cellStyle name="쉼표 [0] 3 2 13 2 2 2" xfId="1688" xr:uid="{00000000-0005-0000-0000-0000AD060000}"/>
    <cellStyle name="쉼표 [0] 3 2 13 3" xfId="1689" xr:uid="{00000000-0005-0000-0000-0000AE060000}"/>
    <cellStyle name="쉼표 [0] 3 2 13 4" xfId="1690" xr:uid="{00000000-0005-0000-0000-0000AF060000}"/>
    <cellStyle name="쉼표 [0] 3 2 13 5" xfId="1691" xr:uid="{00000000-0005-0000-0000-0000B0060000}"/>
    <cellStyle name="쉼표 [0] 3 2 13 6" xfId="1692" xr:uid="{00000000-0005-0000-0000-0000B1060000}"/>
    <cellStyle name="쉼표 [0] 3 2 14" xfId="1693" xr:uid="{00000000-0005-0000-0000-0000B2060000}"/>
    <cellStyle name="쉼표 [0] 3 2 14 2" xfId="1694" xr:uid="{00000000-0005-0000-0000-0000B3060000}"/>
    <cellStyle name="쉼표 [0] 3 2 14 2 2" xfId="1695" xr:uid="{00000000-0005-0000-0000-0000B4060000}"/>
    <cellStyle name="쉼표 [0] 3 2 14 2 2 2" xfId="1696" xr:uid="{00000000-0005-0000-0000-0000B5060000}"/>
    <cellStyle name="쉼표 [0] 3 2 14 3" xfId="1697" xr:uid="{00000000-0005-0000-0000-0000B6060000}"/>
    <cellStyle name="쉼표 [0] 3 2 14 4" xfId="1698" xr:uid="{00000000-0005-0000-0000-0000B7060000}"/>
    <cellStyle name="쉼표 [0] 3 2 14 5" xfId="1699" xr:uid="{00000000-0005-0000-0000-0000B8060000}"/>
    <cellStyle name="쉼표 [0] 3 2 14 6" xfId="1700" xr:uid="{00000000-0005-0000-0000-0000B9060000}"/>
    <cellStyle name="쉼표 [0] 3 2 15" xfId="1701" xr:uid="{00000000-0005-0000-0000-0000BA060000}"/>
    <cellStyle name="쉼표 [0] 3 2 15 2" xfId="1702" xr:uid="{00000000-0005-0000-0000-0000BB060000}"/>
    <cellStyle name="쉼표 [0] 3 2 15 2 2" xfId="1703" xr:uid="{00000000-0005-0000-0000-0000BC060000}"/>
    <cellStyle name="쉼표 [0] 3 2 15 2 2 2" xfId="1704" xr:uid="{00000000-0005-0000-0000-0000BD060000}"/>
    <cellStyle name="쉼표 [0] 3 2 15 3" xfId="1705" xr:uid="{00000000-0005-0000-0000-0000BE060000}"/>
    <cellStyle name="쉼표 [0] 3 2 15 4" xfId="1706" xr:uid="{00000000-0005-0000-0000-0000BF060000}"/>
    <cellStyle name="쉼표 [0] 3 2 15 5" xfId="1707" xr:uid="{00000000-0005-0000-0000-0000C0060000}"/>
    <cellStyle name="쉼표 [0] 3 2 15 6" xfId="1708" xr:uid="{00000000-0005-0000-0000-0000C1060000}"/>
    <cellStyle name="쉼표 [0] 3 2 16" xfId="1709" xr:uid="{00000000-0005-0000-0000-0000C2060000}"/>
    <cellStyle name="쉼표 [0] 3 2 16 2" xfId="1710" xr:uid="{00000000-0005-0000-0000-0000C3060000}"/>
    <cellStyle name="쉼표 [0] 3 2 16 2 2" xfId="1711" xr:uid="{00000000-0005-0000-0000-0000C4060000}"/>
    <cellStyle name="쉼표 [0] 3 2 16 2 2 2" xfId="1712" xr:uid="{00000000-0005-0000-0000-0000C5060000}"/>
    <cellStyle name="쉼표 [0] 3 2 16 3" xfId="1713" xr:uid="{00000000-0005-0000-0000-0000C6060000}"/>
    <cellStyle name="쉼표 [0] 3 2 16 4" xfId="1714" xr:uid="{00000000-0005-0000-0000-0000C7060000}"/>
    <cellStyle name="쉼표 [0] 3 2 16 5" xfId="1715" xr:uid="{00000000-0005-0000-0000-0000C8060000}"/>
    <cellStyle name="쉼표 [0] 3 2 16 6" xfId="1716" xr:uid="{00000000-0005-0000-0000-0000C9060000}"/>
    <cellStyle name="쉼표 [0] 3 2 17" xfId="1717" xr:uid="{00000000-0005-0000-0000-0000CA060000}"/>
    <cellStyle name="쉼표 [0] 3 2 17 2" xfId="1718" xr:uid="{00000000-0005-0000-0000-0000CB060000}"/>
    <cellStyle name="쉼표 [0] 3 2 17 2 2" xfId="1719" xr:uid="{00000000-0005-0000-0000-0000CC060000}"/>
    <cellStyle name="쉼표 [0] 3 2 17 2 2 2" xfId="1720" xr:uid="{00000000-0005-0000-0000-0000CD060000}"/>
    <cellStyle name="쉼표 [0] 3 2 17 3" xfId="1721" xr:uid="{00000000-0005-0000-0000-0000CE060000}"/>
    <cellStyle name="쉼표 [0] 3 2 17 4" xfId="1722" xr:uid="{00000000-0005-0000-0000-0000CF060000}"/>
    <cellStyle name="쉼표 [0] 3 2 17 5" xfId="1723" xr:uid="{00000000-0005-0000-0000-0000D0060000}"/>
    <cellStyle name="쉼표 [0] 3 2 17 6" xfId="1724" xr:uid="{00000000-0005-0000-0000-0000D1060000}"/>
    <cellStyle name="쉼표 [0] 3 2 18" xfId="1725" xr:uid="{00000000-0005-0000-0000-0000D2060000}"/>
    <cellStyle name="쉼표 [0] 3 2 18 2" xfId="1726" xr:uid="{00000000-0005-0000-0000-0000D3060000}"/>
    <cellStyle name="쉼표 [0] 3 2 18 2 2" xfId="1727" xr:uid="{00000000-0005-0000-0000-0000D4060000}"/>
    <cellStyle name="쉼표 [0] 3 2 18 2 2 2" xfId="1728" xr:uid="{00000000-0005-0000-0000-0000D5060000}"/>
    <cellStyle name="쉼표 [0] 3 2 18 3" xfId="1729" xr:uid="{00000000-0005-0000-0000-0000D6060000}"/>
    <cellStyle name="쉼표 [0] 3 2 18 4" xfId="1730" xr:uid="{00000000-0005-0000-0000-0000D7060000}"/>
    <cellStyle name="쉼표 [0] 3 2 18 5" xfId="1731" xr:uid="{00000000-0005-0000-0000-0000D8060000}"/>
    <cellStyle name="쉼표 [0] 3 2 18 6" xfId="1732" xr:uid="{00000000-0005-0000-0000-0000D9060000}"/>
    <cellStyle name="쉼표 [0] 3 2 19" xfId="1733" xr:uid="{00000000-0005-0000-0000-0000DA060000}"/>
    <cellStyle name="쉼표 [0] 3 2 19 2" xfId="1734" xr:uid="{00000000-0005-0000-0000-0000DB060000}"/>
    <cellStyle name="쉼표 [0] 3 2 19 2 2" xfId="1735" xr:uid="{00000000-0005-0000-0000-0000DC060000}"/>
    <cellStyle name="쉼표 [0] 3 2 19 2 2 2" xfId="1736" xr:uid="{00000000-0005-0000-0000-0000DD060000}"/>
    <cellStyle name="쉼표 [0] 3 2 19 3" xfId="1737" xr:uid="{00000000-0005-0000-0000-0000DE060000}"/>
    <cellStyle name="쉼표 [0] 3 2 19 4" xfId="1738" xr:uid="{00000000-0005-0000-0000-0000DF060000}"/>
    <cellStyle name="쉼표 [0] 3 2 19 5" xfId="1739" xr:uid="{00000000-0005-0000-0000-0000E0060000}"/>
    <cellStyle name="쉼표 [0] 3 2 19 6" xfId="1740" xr:uid="{00000000-0005-0000-0000-0000E1060000}"/>
    <cellStyle name="쉼표 [0] 3 2 2" xfId="1741" xr:uid="{00000000-0005-0000-0000-0000E2060000}"/>
    <cellStyle name="쉼표 [0] 3 2 2 2" xfId="1742" xr:uid="{00000000-0005-0000-0000-0000E3060000}"/>
    <cellStyle name="쉼표 [0] 3 2 2 2 2" xfId="1743" xr:uid="{00000000-0005-0000-0000-0000E4060000}"/>
    <cellStyle name="쉼표 [0] 3 2 2 2 2 2" xfId="1744" xr:uid="{00000000-0005-0000-0000-0000E5060000}"/>
    <cellStyle name="쉼표 [0] 3 2 2 2 2 3" xfId="1745" xr:uid="{00000000-0005-0000-0000-0000E6060000}"/>
    <cellStyle name="쉼표 [0] 3 2 2 2 2 4" xfId="1746" xr:uid="{00000000-0005-0000-0000-0000E7060000}"/>
    <cellStyle name="쉼표 [0] 3 2 2 2 2 5" xfId="1747" xr:uid="{00000000-0005-0000-0000-0000E8060000}"/>
    <cellStyle name="쉼표 [0] 3 2 2 2 2 5 2" xfId="1748" xr:uid="{00000000-0005-0000-0000-0000E9060000}"/>
    <cellStyle name="쉼표 [0] 3 2 2 2 2 6" xfId="1749" xr:uid="{00000000-0005-0000-0000-0000EA060000}"/>
    <cellStyle name="쉼표 [0] 3 2 2 2 3" xfId="1750" xr:uid="{00000000-0005-0000-0000-0000EB060000}"/>
    <cellStyle name="쉼표 [0] 3 2 2 2 3 2" xfId="1751" xr:uid="{00000000-0005-0000-0000-0000EC060000}"/>
    <cellStyle name="쉼표 [0] 3 2 2 2 3 3" xfId="1752" xr:uid="{00000000-0005-0000-0000-0000ED060000}"/>
    <cellStyle name="쉼표 [0] 3 2 2 2 3 4" xfId="1753" xr:uid="{00000000-0005-0000-0000-0000EE060000}"/>
    <cellStyle name="쉼표 [0] 3 2 2 2 3 5" xfId="1754" xr:uid="{00000000-0005-0000-0000-0000EF060000}"/>
    <cellStyle name="쉼표 [0] 3 2 2 2 4" xfId="1755" xr:uid="{00000000-0005-0000-0000-0000F0060000}"/>
    <cellStyle name="쉼표 [0] 3 2 2 2 4 2" xfId="1756" xr:uid="{00000000-0005-0000-0000-0000F1060000}"/>
    <cellStyle name="쉼표 [0] 3 2 2 2 4 3" xfId="1757" xr:uid="{00000000-0005-0000-0000-0000F2060000}"/>
    <cellStyle name="쉼표 [0] 3 2 2 2 4 4" xfId="1758" xr:uid="{00000000-0005-0000-0000-0000F3060000}"/>
    <cellStyle name="쉼표 [0] 3 2 2 2 4 5" xfId="1759" xr:uid="{00000000-0005-0000-0000-0000F4060000}"/>
    <cellStyle name="쉼표 [0] 3 2 2 2 5" xfId="1760" xr:uid="{00000000-0005-0000-0000-0000F5060000}"/>
    <cellStyle name="쉼표 [0] 3 2 2 3" xfId="1761" xr:uid="{00000000-0005-0000-0000-0000F6060000}"/>
    <cellStyle name="쉼표 [0] 3 2 2 4" xfId="1762" xr:uid="{00000000-0005-0000-0000-0000F7060000}"/>
    <cellStyle name="쉼표 [0] 3 2 2 5" xfId="1763" xr:uid="{00000000-0005-0000-0000-0000F8060000}"/>
    <cellStyle name="쉼표 [0] 3 2 2 6" xfId="1764" xr:uid="{00000000-0005-0000-0000-0000F9060000}"/>
    <cellStyle name="쉼표 [0] 3 2 2 7" xfId="1765" xr:uid="{00000000-0005-0000-0000-0000FA060000}"/>
    <cellStyle name="쉼표 [0] 3 2 2 8" xfId="1766" xr:uid="{00000000-0005-0000-0000-0000FB060000}"/>
    <cellStyle name="쉼표 [0] 3 2 2 9" xfId="1767" xr:uid="{00000000-0005-0000-0000-0000FC060000}"/>
    <cellStyle name="쉼표 [0] 3 2 20" xfId="1768" xr:uid="{00000000-0005-0000-0000-0000FD060000}"/>
    <cellStyle name="쉼표 [0] 3 2 20 2" xfId="1769" xr:uid="{00000000-0005-0000-0000-0000FE060000}"/>
    <cellStyle name="쉼표 [0] 3 2 20 2 2" xfId="1770" xr:uid="{00000000-0005-0000-0000-0000FF060000}"/>
    <cellStyle name="쉼표 [0] 3 2 20 2 2 2" xfId="1771" xr:uid="{00000000-0005-0000-0000-000000070000}"/>
    <cellStyle name="쉼표 [0] 3 2 20 3" xfId="1772" xr:uid="{00000000-0005-0000-0000-000001070000}"/>
    <cellStyle name="쉼표 [0] 3 2 20 4" xfId="1773" xr:uid="{00000000-0005-0000-0000-000002070000}"/>
    <cellStyle name="쉼표 [0] 3 2 20 5" xfId="1774" xr:uid="{00000000-0005-0000-0000-000003070000}"/>
    <cellStyle name="쉼표 [0] 3 2 20 6" xfId="1775" xr:uid="{00000000-0005-0000-0000-000004070000}"/>
    <cellStyle name="쉼표 [0] 3 2 21" xfId="1776" xr:uid="{00000000-0005-0000-0000-000005070000}"/>
    <cellStyle name="쉼표 [0] 3 2 21 2" xfId="1777" xr:uid="{00000000-0005-0000-0000-000006070000}"/>
    <cellStyle name="쉼표 [0] 3 2 21 2 2" xfId="1778" xr:uid="{00000000-0005-0000-0000-000007070000}"/>
    <cellStyle name="쉼표 [0] 3 2 21 2 2 2" xfId="1779" xr:uid="{00000000-0005-0000-0000-000008070000}"/>
    <cellStyle name="쉼표 [0] 3 2 21 3" xfId="1780" xr:uid="{00000000-0005-0000-0000-000009070000}"/>
    <cellStyle name="쉼표 [0] 3 2 21 4" xfId="1781" xr:uid="{00000000-0005-0000-0000-00000A070000}"/>
    <cellStyle name="쉼표 [0] 3 2 21 5" xfId="1782" xr:uid="{00000000-0005-0000-0000-00000B070000}"/>
    <cellStyle name="쉼표 [0] 3 2 21 6" xfId="1783" xr:uid="{00000000-0005-0000-0000-00000C070000}"/>
    <cellStyle name="쉼표 [0] 3 2 22" xfId="1784" xr:uid="{00000000-0005-0000-0000-00000D070000}"/>
    <cellStyle name="쉼표 [0] 3 2 22 2" xfId="1785" xr:uid="{00000000-0005-0000-0000-00000E070000}"/>
    <cellStyle name="쉼표 [0] 3 2 22 2 2" xfId="1786" xr:uid="{00000000-0005-0000-0000-00000F070000}"/>
    <cellStyle name="쉼표 [0] 3 2 22 2 2 2" xfId="1787" xr:uid="{00000000-0005-0000-0000-000010070000}"/>
    <cellStyle name="쉼표 [0] 3 2 22 3" xfId="1788" xr:uid="{00000000-0005-0000-0000-000011070000}"/>
    <cellStyle name="쉼표 [0] 3 2 22 4" xfId="1789" xr:uid="{00000000-0005-0000-0000-000012070000}"/>
    <cellStyle name="쉼표 [0] 3 2 22 5" xfId="1790" xr:uid="{00000000-0005-0000-0000-000013070000}"/>
    <cellStyle name="쉼표 [0] 3 2 22 6" xfId="1791" xr:uid="{00000000-0005-0000-0000-000014070000}"/>
    <cellStyle name="쉼표 [0] 3 2 23" xfId="1792" xr:uid="{00000000-0005-0000-0000-000015070000}"/>
    <cellStyle name="쉼표 [0] 3 2 23 2" xfId="1793" xr:uid="{00000000-0005-0000-0000-000016070000}"/>
    <cellStyle name="쉼표 [0] 3 2 23 2 2" xfId="1794" xr:uid="{00000000-0005-0000-0000-000017070000}"/>
    <cellStyle name="쉼표 [0] 3 2 23 2 2 2" xfId="1795" xr:uid="{00000000-0005-0000-0000-000018070000}"/>
    <cellStyle name="쉼표 [0] 3 2 23 3" xfId="1796" xr:uid="{00000000-0005-0000-0000-000019070000}"/>
    <cellStyle name="쉼표 [0] 3 2 23 4" xfId="1797" xr:uid="{00000000-0005-0000-0000-00001A070000}"/>
    <cellStyle name="쉼표 [0] 3 2 23 5" xfId="1798" xr:uid="{00000000-0005-0000-0000-00001B070000}"/>
    <cellStyle name="쉼표 [0] 3 2 23 6" xfId="1799" xr:uid="{00000000-0005-0000-0000-00001C070000}"/>
    <cellStyle name="쉼표 [0] 3 2 24" xfId="1800" xr:uid="{00000000-0005-0000-0000-00001D070000}"/>
    <cellStyle name="쉼표 [0] 3 2 24 2" xfId="1801" xr:uid="{00000000-0005-0000-0000-00001E070000}"/>
    <cellStyle name="쉼표 [0] 3 2 24 2 2" xfId="1802" xr:uid="{00000000-0005-0000-0000-00001F070000}"/>
    <cellStyle name="쉼표 [0] 3 2 24 2 2 2" xfId="1803" xr:uid="{00000000-0005-0000-0000-000020070000}"/>
    <cellStyle name="쉼표 [0] 3 2 24 3" xfId="1804" xr:uid="{00000000-0005-0000-0000-000021070000}"/>
    <cellStyle name="쉼표 [0] 3 2 24 4" xfId="1805" xr:uid="{00000000-0005-0000-0000-000022070000}"/>
    <cellStyle name="쉼표 [0] 3 2 24 5" xfId="1806" xr:uid="{00000000-0005-0000-0000-000023070000}"/>
    <cellStyle name="쉼표 [0] 3 2 24 6" xfId="1807" xr:uid="{00000000-0005-0000-0000-000024070000}"/>
    <cellStyle name="쉼표 [0] 3 2 25" xfId="1808" xr:uid="{00000000-0005-0000-0000-000025070000}"/>
    <cellStyle name="쉼표 [0] 3 2 25 2" xfId="1809" xr:uid="{00000000-0005-0000-0000-000026070000}"/>
    <cellStyle name="쉼표 [0] 3 2 25 2 2" xfId="1810" xr:uid="{00000000-0005-0000-0000-000027070000}"/>
    <cellStyle name="쉼표 [0] 3 2 25 2 2 2" xfId="1811" xr:uid="{00000000-0005-0000-0000-000028070000}"/>
    <cellStyle name="쉼표 [0] 3 2 25 3" xfId="1812" xr:uid="{00000000-0005-0000-0000-000029070000}"/>
    <cellStyle name="쉼표 [0] 3 2 25 4" xfId="1813" xr:uid="{00000000-0005-0000-0000-00002A070000}"/>
    <cellStyle name="쉼표 [0] 3 2 25 5" xfId="1814" xr:uid="{00000000-0005-0000-0000-00002B070000}"/>
    <cellStyle name="쉼표 [0] 3 2 25 6" xfId="1815" xr:uid="{00000000-0005-0000-0000-00002C070000}"/>
    <cellStyle name="쉼표 [0] 3 2 26" xfId="1816" xr:uid="{00000000-0005-0000-0000-00002D070000}"/>
    <cellStyle name="쉼표 [0] 3 2 26 2" xfId="1817" xr:uid="{00000000-0005-0000-0000-00002E070000}"/>
    <cellStyle name="쉼표 [0] 3 2 26 2 2" xfId="1818" xr:uid="{00000000-0005-0000-0000-00002F070000}"/>
    <cellStyle name="쉼표 [0] 3 2 26 2 2 2" xfId="1819" xr:uid="{00000000-0005-0000-0000-000030070000}"/>
    <cellStyle name="쉼표 [0] 3 2 26 3" xfId="1820" xr:uid="{00000000-0005-0000-0000-000031070000}"/>
    <cellStyle name="쉼표 [0] 3 2 26 4" xfId="1821" xr:uid="{00000000-0005-0000-0000-000032070000}"/>
    <cellStyle name="쉼표 [0] 3 2 26 5" xfId="1822" xr:uid="{00000000-0005-0000-0000-000033070000}"/>
    <cellStyle name="쉼표 [0] 3 2 26 6" xfId="1823" xr:uid="{00000000-0005-0000-0000-000034070000}"/>
    <cellStyle name="쉼표 [0] 3 2 27" xfId="1824" xr:uid="{00000000-0005-0000-0000-000035070000}"/>
    <cellStyle name="쉼표 [0] 3 2 27 2" xfId="1825" xr:uid="{00000000-0005-0000-0000-000036070000}"/>
    <cellStyle name="쉼표 [0] 3 2 27 2 2" xfId="1826" xr:uid="{00000000-0005-0000-0000-000037070000}"/>
    <cellStyle name="쉼표 [0] 3 2 27 2 2 2" xfId="1827" xr:uid="{00000000-0005-0000-0000-000038070000}"/>
    <cellStyle name="쉼표 [0] 3 2 27 3" xfId="1828" xr:uid="{00000000-0005-0000-0000-000039070000}"/>
    <cellStyle name="쉼표 [0] 3 2 27 4" xfId="1829" xr:uid="{00000000-0005-0000-0000-00003A070000}"/>
    <cellStyle name="쉼표 [0] 3 2 27 5" xfId="1830" xr:uid="{00000000-0005-0000-0000-00003B070000}"/>
    <cellStyle name="쉼표 [0] 3 2 27 6" xfId="1831" xr:uid="{00000000-0005-0000-0000-00003C070000}"/>
    <cellStyle name="쉼표 [0] 3 2 28" xfId="1832" xr:uid="{00000000-0005-0000-0000-00003D070000}"/>
    <cellStyle name="쉼표 [0] 3 2 28 2" xfId="1833" xr:uid="{00000000-0005-0000-0000-00003E070000}"/>
    <cellStyle name="쉼표 [0] 3 2 28 2 2" xfId="1834" xr:uid="{00000000-0005-0000-0000-00003F070000}"/>
    <cellStyle name="쉼표 [0] 3 2 28 2 2 2" xfId="1835" xr:uid="{00000000-0005-0000-0000-000040070000}"/>
    <cellStyle name="쉼표 [0] 3 2 28 3" xfId="1836" xr:uid="{00000000-0005-0000-0000-000041070000}"/>
    <cellStyle name="쉼표 [0] 3 2 28 4" xfId="1837" xr:uid="{00000000-0005-0000-0000-000042070000}"/>
    <cellStyle name="쉼표 [0] 3 2 28 5" xfId="1838" xr:uid="{00000000-0005-0000-0000-000043070000}"/>
    <cellStyle name="쉼표 [0] 3 2 28 6" xfId="1839" xr:uid="{00000000-0005-0000-0000-000044070000}"/>
    <cellStyle name="쉼표 [0] 3 2 29" xfId="1840" xr:uid="{00000000-0005-0000-0000-000045070000}"/>
    <cellStyle name="쉼표 [0] 3 2 29 2" xfId="1841" xr:uid="{00000000-0005-0000-0000-000046070000}"/>
    <cellStyle name="쉼표 [0] 3 2 29 2 2" xfId="1842" xr:uid="{00000000-0005-0000-0000-000047070000}"/>
    <cellStyle name="쉼표 [0] 3 2 29 2 2 2" xfId="1843" xr:uid="{00000000-0005-0000-0000-000048070000}"/>
    <cellStyle name="쉼표 [0] 3 2 29 3" xfId="1844" xr:uid="{00000000-0005-0000-0000-000049070000}"/>
    <cellStyle name="쉼표 [0] 3 2 29 4" xfId="1845" xr:uid="{00000000-0005-0000-0000-00004A070000}"/>
    <cellStyle name="쉼표 [0] 3 2 29 5" xfId="1846" xr:uid="{00000000-0005-0000-0000-00004B070000}"/>
    <cellStyle name="쉼표 [0] 3 2 29 6" xfId="1847" xr:uid="{00000000-0005-0000-0000-00004C070000}"/>
    <cellStyle name="쉼표 [0] 3 2 3" xfId="1848" xr:uid="{00000000-0005-0000-0000-00004D070000}"/>
    <cellStyle name="쉼표 [0] 3 2 3 2" xfId="1849" xr:uid="{00000000-0005-0000-0000-00004E070000}"/>
    <cellStyle name="쉼표 [0] 3 2 3 2 2" xfId="1850" xr:uid="{00000000-0005-0000-0000-00004F070000}"/>
    <cellStyle name="쉼표 [0] 3 2 3 2 2 2" xfId="1851" xr:uid="{00000000-0005-0000-0000-000050070000}"/>
    <cellStyle name="쉼표 [0] 3 2 3 3" xfId="1852" xr:uid="{00000000-0005-0000-0000-000051070000}"/>
    <cellStyle name="쉼표 [0] 3 2 3 4" xfId="1853" xr:uid="{00000000-0005-0000-0000-000052070000}"/>
    <cellStyle name="쉼표 [0] 3 2 3 5" xfId="1854" xr:uid="{00000000-0005-0000-0000-000053070000}"/>
    <cellStyle name="쉼표 [0] 3 2 3 6" xfId="1855" xr:uid="{00000000-0005-0000-0000-000054070000}"/>
    <cellStyle name="쉼표 [0] 3 2 30" xfId="1856" xr:uid="{00000000-0005-0000-0000-000055070000}"/>
    <cellStyle name="쉼표 [0] 3 2 30 2" xfId="1857" xr:uid="{00000000-0005-0000-0000-000056070000}"/>
    <cellStyle name="쉼표 [0] 3 2 30 2 2" xfId="1858" xr:uid="{00000000-0005-0000-0000-000057070000}"/>
    <cellStyle name="쉼표 [0] 3 2 30 2 2 2" xfId="1859" xr:uid="{00000000-0005-0000-0000-000058070000}"/>
    <cellStyle name="쉼표 [0] 3 2 30 3" xfId="1860" xr:uid="{00000000-0005-0000-0000-000059070000}"/>
    <cellStyle name="쉼표 [0] 3 2 30 4" xfId="1861" xr:uid="{00000000-0005-0000-0000-00005A070000}"/>
    <cellStyle name="쉼표 [0] 3 2 30 5" xfId="1862" xr:uid="{00000000-0005-0000-0000-00005B070000}"/>
    <cellStyle name="쉼표 [0] 3 2 30 6" xfId="1863" xr:uid="{00000000-0005-0000-0000-00005C070000}"/>
    <cellStyle name="쉼표 [0] 3 2 31" xfId="1864" xr:uid="{00000000-0005-0000-0000-00005D070000}"/>
    <cellStyle name="쉼표 [0] 3 2 31 2" xfId="1865" xr:uid="{00000000-0005-0000-0000-00005E070000}"/>
    <cellStyle name="쉼표 [0] 3 2 31 2 2" xfId="1866" xr:uid="{00000000-0005-0000-0000-00005F070000}"/>
    <cellStyle name="쉼표 [0] 3 2 31 2 2 2" xfId="1867" xr:uid="{00000000-0005-0000-0000-000060070000}"/>
    <cellStyle name="쉼표 [0] 3 2 31 3" xfId="1868" xr:uid="{00000000-0005-0000-0000-000061070000}"/>
    <cellStyle name="쉼표 [0] 3 2 31 4" xfId="1869" xr:uid="{00000000-0005-0000-0000-000062070000}"/>
    <cellStyle name="쉼표 [0] 3 2 31 5" xfId="1870" xr:uid="{00000000-0005-0000-0000-000063070000}"/>
    <cellStyle name="쉼표 [0] 3 2 31 6" xfId="1871" xr:uid="{00000000-0005-0000-0000-000064070000}"/>
    <cellStyle name="쉼표 [0] 3 2 32" xfId="1872" xr:uid="{00000000-0005-0000-0000-000065070000}"/>
    <cellStyle name="쉼표 [0] 3 2 32 2" xfId="1873" xr:uid="{00000000-0005-0000-0000-000066070000}"/>
    <cellStyle name="쉼표 [0] 3 2 32 2 2" xfId="1874" xr:uid="{00000000-0005-0000-0000-000067070000}"/>
    <cellStyle name="쉼표 [0] 3 2 32 2 2 2" xfId="1875" xr:uid="{00000000-0005-0000-0000-000068070000}"/>
    <cellStyle name="쉼표 [0] 3 2 32 3" xfId="1876" xr:uid="{00000000-0005-0000-0000-000069070000}"/>
    <cellStyle name="쉼표 [0] 3 2 32 4" xfId="1877" xr:uid="{00000000-0005-0000-0000-00006A070000}"/>
    <cellStyle name="쉼표 [0] 3 2 32 5" xfId="1878" xr:uid="{00000000-0005-0000-0000-00006B070000}"/>
    <cellStyle name="쉼표 [0] 3 2 32 6" xfId="1879" xr:uid="{00000000-0005-0000-0000-00006C070000}"/>
    <cellStyle name="쉼표 [0] 3 2 33" xfId="1880" xr:uid="{00000000-0005-0000-0000-00006D070000}"/>
    <cellStyle name="쉼표 [0] 3 2 33 2" xfId="1881" xr:uid="{00000000-0005-0000-0000-00006E070000}"/>
    <cellStyle name="쉼표 [0] 3 2 33 2 2" xfId="1882" xr:uid="{00000000-0005-0000-0000-00006F070000}"/>
    <cellStyle name="쉼표 [0] 3 2 33 2 2 2" xfId="1883" xr:uid="{00000000-0005-0000-0000-000070070000}"/>
    <cellStyle name="쉼표 [0] 3 2 33 3" xfId="1884" xr:uid="{00000000-0005-0000-0000-000071070000}"/>
    <cellStyle name="쉼표 [0] 3 2 33 4" xfId="1885" xr:uid="{00000000-0005-0000-0000-000072070000}"/>
    <cellStyle name="쉼표 [0] 3 2 33 5" xfId="1886" xr:uid="{00000000-0005-0000-0000-000073070000}"/>
    <cellStyle name="쉼표 [0] 3 2 33 6" xfId="1887" xr:uid="{00000000-0005-0000-0000-000074070000}"/>
    <cellStyle name="쉼표 [0] 3 2 34" xfId="1888" xr:uid="{00000000-0005-0000-0000-000075070000}"/>
    <cellStyle name="쉼표 [0] 3 2 34 2" xfId="1889" xr:uid="{00000000-0005-0000-0000-000076070000}"/>
    <cellStyle name="쉼표 [0] 3 2 34 2 2" xfId="1890" xr:uid="{00000000-0005-0000-0000-000077070000}"/>
    <cellStyle name="쉼표 [0] 3 2 34 2 2 2" xfId="1891" xr:uid="{00000000-0005-0000-0000-000078070000}"/>
    <cellStyle name="쉼표 [0] 3 2 34 3" xfId="1892" xr:uid="{00000000-0005-0000-0000-000079070000}"/>
    <cellStyle name="쉼표 [0] 3 2 34 4" xfId="1893" xr:uid="{00000000-0005-0000-0000-00007A070000}"/>
    <cellStyle name="쉼표 [0] 3 2 34 5" xfId="1894" xr:uid="{00000000-0005-0000-0000-00007B070000}"/>
    <cellStyle name="쉼표 [0] 3 2 34 6" xfId="1895" xr:uid="{00000000-0005-0000-0000-00007C070000}"/>
    <cellStyle name="쉼표 [0] 3 2 35" xfId="1896" xr:uid="{00000000-0005-0000-0000-00007D070000}"/>
    <cellStyle name="쉼표 [0] 3 2 35 2" xfId="1897" xr:uid="{00000000-0005-0000-0000-00007E070000}"/>
    <cellStyle name="쉼표 [0] 3 2 35 2 2" xfId="1898" xr:uid="{00000000-0005-0000-0000-00007F070000}"/>
    <cellStyle name="쉼표 [0] 3 2 35 2 2 2" xfId="1899" xr:uid="{00000000-0005-0000-0000-000080070000}"/>
    <cellStyle name="쉼표 [0] 3 2 35 3" xfId="1900" xr:uid="{00000000-0005-0000-0000-000081070000}"/>
    <cellStyle name="쉼표 [0] 3 2 35 4" xfId="1901" xr:uid="{00000000-0005-0000-0000-000082070000}"/>
    <cellStyle name="쉼표 [0] 3 2 35 5" xfId="1902" xr:uid="{00000000-0005-0000-0000-000083070000}"/>
    <cellStyle name="쉼표 [0] 3 2 35 6" xfId="1903" xr:uid="{00000000-0005-0000-0000-000084070000}"/>
    <cellStyle name="쉼표 [0] 3 2 36" xfId="1904" xr:uid="{00000000-0005-0000-0000-000085070000}"/>
    <cellStyle name="쉼표 [0] 3 2 36 2" xfId="1905" xr:uid="{00000000-0005-0000-0000-000086070000}"/>
    <cellStyle name="쉼표 [0] 3 2 36 3" xfId="1906" xr:uid="{00000000-0005-0000-0000-000087070000}"/>
    <cellStyle name="쉼표 [0] 3 2 36 4" xfId="1907" xr:uid="{00000000-0005-0000-0000-000088070000}"/>
    <cellStyle name="쉼표 [0] 3 2 36 5" xfId="1908" xr:uid="{00000000-0005-0000-0000-000089070000}"/>
    <cellStyle name="쉼표 [0] 3 2 36 5 2" xfId="1909" xr:uid="{00000000-0005-0000-0000-00008A070000}"/>
    <cellStyle name="쉼표 [0] 3 2 36 6" xfId="1910" xr:uid="{00000000-0005-0000-0000-00008B070000}"/>
    <cellStyle name="쉼표 [0] 3 2 37" xfId="1911" xr:uid="{00000000-0005-0000-0000-00008C070000}"/>
    <cellStyle name="쉼표 [0] 3 2 37 2" xfId="1912" xr:uid="{00000000-0005-0000-0000-00008D070000}"/>
    <cellStyle name="쉼표 [0] 3 2 37 3" xfId="1913" xr:uid="{00000000-0005-0000-0000-00008E070000}"/>
    <cellStyle name="쉼표 [0] 3 2 37 4" xfId="1914" xr:uid="{00000000-0005-0000-0000-00008F070000}"/>
    <cellStyle name="쉼표 [0] 3 2 37 5" xfId="1915" xr:uid="{00000000-0005-0000-0000-000090070000}"/>
    <cellStyle name="쉼표 [0] 3 2 38" xfId="1916" xr:uid="{00000000-0005-0000-0000-000091070000}"/>
    <cellStyle name="쉼표 [0] 3 2 38 2" xfId="1917" xr:uid="{00000000-0005-0000-0000-000092070000}"/>
    <cellStyle name="쉼표 [0] 3 2 38 3" xfId="1918" xr:uid="{00000000-0005-0000-0000-000093070000}"/>
    <cellStyle name="쉼표 [0] 3 2 38 4" xfId="1919" xr:uid="{00000000-0005-0000-0000-000094070000}"/>
    <cellStyle name="쉼표 [0] 3 2 38 5" xfId="1920" xr:uid="{00000000-0005-0000-0000-000095070000}"/>
    <cellStyle name="쉼표 [0] 3 2 39" xfId="1921" xr:uid="{00000000-0005-0000-0000-000096070000}"/>
    <cellStyle name="쉼표 [0] 3 2 39 2" xfId="1922" xr:uid="{00000000-0005-0000-0000-000097070000}"/>
    <cellStyle name="쉼표 [0] 3 2 4" xfId="1923" xr:uid="{00000000-0005-0000-0000-000098070000}"/>
    <cellStyle name="쉼표 [0] 3 2 4 2" xfId="1924" xr:uid="{00000000-0005-0000-0000-000099070000}"/>
    <cellStyle name="쉼표 [0] 3 2 4 2 2" xfId="1925" xr:uid="{00000000-0005-0000-0000-00009A070000}"/>
    <cellStyle name="쉼표 [0] 3 2 4 2 2 2" xfId="1926" xr:uid="{00000000-0005-0000-0000-00009B070000}"/>
    <cellStyle name="쉼표 [0] 3 2 4 3" xfId="1927" xr:uid="{00000000-0005-0000-0000-00009C070000}"/>
    <cellStyle name="쉼표 [0] 3 2 4 4" xfId="1928" xr:uid="{00000000-0005-0000-0000-00009D070000}"/>
    <cellStyle name="쉼표 [0] 3 2 4 5" xfId="1929" xr:uid="{00000000-0005-0000-0000-00009E070000}"/>
    <cellStyle name="쉼표 [0] 3 2 4 6" xfId="1930" xr:uid="{00000000-0005-0000-0000-00009F070000}"/>
    <cellStyle name="쉼표 [0] 3 2 40" xfId="1931" xr:uid="{00000000-0005-0000-0000-0000A0070000}"/>
    <cellStyle name="쉼표 [0] 3 2 5" xfId="1932" xr:uid="{00000000-0005-0000-0000-0000A1070000}"/>
    <cellStyle name="쉼표 [0] 3 2 5 2" xfId="1933" xr:uid="{00000000-0005-0000-0000-0000A2070000}"/>
    <cellStyle name="쉼표 [0] 3 2 5 2 2" xfId="1934" xr:uid="{00000000-0005-0000-0000-0000A3070000}"/>
    <cellStyle name="쉼표 [0] 3 2 5 2 2 2" xfId="1935" xr:uid="{00000000-0005-0000-0000-0000A4070000}"/>
    <cellStyle name="쉼표 [0] 3 2 5 3" xfId="1936" xr:uid="{00000000-0005-0000-0000-0000A5070000}"/>
    <cellStyle name="쉼표 [0] 3 2 5 4" xfId="1937" xr:uid="{00000000-0005-0000-0000-0000A6070000}"/>
    <cellStyle name="쉼표 [0] 3 2 5 5" xfId="1938" xr:uid="{00000000-0005-0000-0000-0000A7070000}"/>
    <cellStyle name="쉼표 [0] 3 2 5 6" xfId="1939" xr:uid="{00000000-0005-0000-0000-0000A8070000}"/>
    <cellStyle name="쉼표 [0] 3 2 6" xfId="1940" xr:uid="{00000000-0005-0000-0000-0000A9070000}"/>
    <cellStyle name="쉼표 [0] 3 2 6 2" xfId="1941" xr:uid="{00000000-0005-0000-0000-0000AA070000}"/>
    <cellStyle name="쉼표 [0] 3 2 6 2 2" xfId="1942" xr:uid="{00000000-0005-0000-0000-0000AB070000}"/>
    <cellStyle name="쉼표 [0] 3 2 6 2 2 2" xfId="1943" xr:uid="{00000000-0005-0000-0000-0000AC070000}"/>
    <cellStyle name="쉼표 [0] 3 2 6 3" xfId="1944" xr:uid="{00000000-0005-0000-0000-0000AD070000}"/>
    <cellStyle name="쉼표 [0] 3 2 6 4" xfId="1945" xr:uid="{00000000-0005-0000-0000-0000AE070000}"/>
    <cellStyle name="쉼표 [0] 3 2 6 5" xfId="1946" xr:uid="{00000000-0005-0000-0000-0000AF070000}"/>
    <cellStyle name="쉼표 [0] 3 2 6 6" xfId="1947" xr:uid="{00000000-0005-0000-0000-0000B0070000}"/>
    <cellStyle name="쉼표 [0] 3 2 7" xfId="1948" xr:uid="{00000000-0005-0000-0000-0000B1070000}"/>
    <cellStyle name="쉼표 [0] 3 2 7 2" xfId="1949" xr:uid="{00000000-0005-0000-0000-0000B2070000}"/>
    <cellStyle name="쉼표 [0] 3 2 7 2 2" xfId="1950" xr:uid="{00000000-0005-0000-0000-0000B3070000}"/>
    <cellStyle name="쉼표 [0] 3 2 7 2 2 2" xfId="1951" xr:uid="{00000000-0005-0000-0000-0000B4070000}"/>
    <cellStyle name="쉼표 [0] 3 2 7 3" xfId="1952" xr:uid="{00000000-0005-0000-0000-0000B5070000}"/>
    <cellStyle name="쉼표 [0] 3 2 7 4" xfId="1953" xr:uid="{00000000-0005-0000-0000-0000B6070000}"/>
    <cellStyle name="쉼표 [0] 3 2 7 5" xfId="1954" xr:uid="{00000000-0005-0000-0000-0000B7070000}"/>
    <cellStyle name="쉼표 [0] 3 2 7 6" xfId="1955" xr:uid="{00000000-0005-0000-0000-0000B8070000}"/>
    <cellStyle name="쉼표 [0] 3 2 8" xfId="1956" xr:uid="{00000000-0005-0000-0000-0000B9070000}"/>
    <cellStyle name="쉼표 [0] 3 2 8 2" xfId="1957" xr:uid="{00000000-0005-0000-0000-0000BA070000}"/>
    <cellStyle name="쉼표 [0] 3 2 8 2 2" xfId="1958" xr:uid="{00000000-0005-0000-0000-0000BB070000}"/>
    <cellStyle name="쉼표 [0] 3 2 8 2 2 2" xfId="1959" xr:uid="{00000000-0005-0000-0000-0000BC070000}"/>
    <cellStyle name="쉼표 [0] 3 2 8 3" xfId="1960" xr:uid="{00000000-0005-0000-0000-0000BD070000}"/>
    <cellStyle name="쉼표 [0] 3 2 8 4" xfId="1961" xr:uid="{00000000-0005-0000-0000-0000BE070000}"/>
    <cellStyle name="쉼표 [0] 3 2 8 5" xfId="1962" xr:uid="{00000000-0005-0000-0000-0000BF070000}"/>
    <cellStyle name="쉼표 [0] 3 2 8 6" xfId="1963" xr:uid="{00000000-0005-0000-0000-0000C0070000}"/>
    <cellStyle name="쉼표 [0] 3 2 9" xfId="1964" xr:uid="{00000000-0005-0000-0000-0000C1070000}"/>
    <cellStyle name="쉼표 [0] 3 2 9 2" xfId="1965" xr:uid="{00000000-0005-0000-0000-0000C2070000}"/>
    <cellStyle name="쉼표 [0] 3 2 9 2 2" xfId="1966" xr:uid="{00000000-0005-0000-0000-0000C3070000}"/>
    <cellStyle name="쉼표 [0] 3 2 9 2 2 2" xfId="1967" xr:uid="{00000000-0005-0000-0000-0000C4070000}"/>
    <cellStyle name="쉼표 [0] 3 2 9 3" xfId="1968" xr:uid="{00000000-0005-0000-0000-0000C5070000}"/>
    <cellStyle name="쉼표 [0] 3 2 9 4" xfId="1969" xr:uid="{00000000-0005-0000-0000-0000C6070000}"/>
    <cellStyle name="쉼표 [0] 3 2 9 5" xfId="1970" xr:uid="{00000000-0005-0000-0000-0000C7070000}"/>
    <cellStyle name="쉼표 [0] 3 2 9 6" xfId="1971" xr:uid="{00000000-0005-0000-0000-0000C8070000}"/>
    <cellStyle name="쉼표 [0] 3 20" xfId="1972" xr:uid="{00000000-0005-0000-0000-0000C9070000}"/>
    <cellStyle name="쉼표 [0] 3 21" xfId="1973" xr:uid="{00000000-0005-0000-0000-0000CA070000}"/>
    <cellStyle name="쉼표 [0] 3 21 2" xfId="1974" xr:uid="{00000000-0005-0000-0000-0000CB070000}"/>
    <cellStyle name="쉼표 [0] 3 21 2 2" xfId="1975" xr:uid="{00000000-0005-0000-0000-0000CC070000}"/>
    <cellStyle name="쉼표 [0] 3 22" xfId="1976" xr:uid="{00000000-0005-0000-0000-0000CD070000}"/>
    <cellStyle name="쉼표 [0] 3 22 2" xfId="1977" xr:uid="{00000000-0005-0000-0000-0000CE070000}"/>
    <cellStyle name="쉼표 [0] 3 22 2 2" xfId="1978" xr:uid="{00000000-0005-0000-0000-0000CF070000}"/>
    <cellStyle name="쉼표 [0] 3 23" xfId="1979" xr:uid="{00000000-0005-0000-0000-0000D0070000}"/>
    <cellStyle name="쉼표 [0] 3 23 2" xfId="1980" xr:uid="{00000000-0005-0000-0000-0000D1070000}"/>
    <cellStyle name="쉼표 [0] 3 23 2 2" xfId="1981" xr:uid="{00000000-0005-0000-0000-0000D2070000}"/>
    <cellStyle name="쉼표 [0] 3 24" xfId="1982" xr:uid="{00000000-0005-0000-0000-0000D3070000}"/>
    <cellStyle name="쉼표 [0] 3 25" xfId="1983" xr:uid="{00000000-0005-0000-0000-0000D4070000}"/>
    <cellStyle name="쉼표 [0] 3 26" xfId="1984" xr:uid="{00000000-0005-0000-0000-0000D5070000}"/>
    <cellStyle name="쉼표 [0] 3 27" xfId="1985" xr:uid="{00000000-0005-0000-0000-0000D6070000}"/>
    <cellStyle name="쉼표 [0] 3 28" xfId="1986" xr:uid="{00000000-0005-0000-0000-0000D7070000}"/>
    <cellStyle name="쉼표 [0] 3 29" xfId="1987" xr:uid="{00000000-0005-0000-0000-0000D8070000}"/>
    <cellStyle name="쉼표 [0] 3 3" xfId="1988" xr:uid="{00000000-0005-0000-0000-0000D9070000}"/>
    <cellStyle name="쉼표 [0] 3 3 2" xfId="1989" xr:uid="{00000000-0005-0000-0000-0000DA070000}"/>
    <cellStyle name="쉼표 [0] 3 3 2 2" xfId="1990" xr:uid="{00000000-0005-0000-0000-0000DB070000}"/>
    <cellStyle name="쉼표 [0] 3 3 2 2 2" xfId="1991" xr:uid="{00000000-0005-0000-0000-0000DC070000}"/>
    <cellStyle name="쉼표 [0] 3 3 2 3" xfId="1992" xr:uid="{00000000-0005-0000-0000-0000DD070000}"/>
    <cellStyle name="쉼표 [0] 3 3 3" xfId="1993" xr:uid="{00000000-0005-0000-0000-0000DE070000}"/>
    <cellStyle name="쉼표 [0] 3 3 4" xfId="1994" xr:uid="{00000000-0005-0000-0000-0000DF070000}"/>
    <cellStyle name="쉼표 [0] 3 3 5" xfId="1995" xr:uid="{00000000-0005-0000-0000-0000E0070000}"/>
    <cellStyle name="쉼표 [0] 3 3 6" xfId="1996" xr:uid="{00000000-0005-0000-0000-0000E1070000}"/>
    <cellStyle name="쉼표 [0] 3 3 7" xfId="1997" xr:uid="{00000000-0005-0000-0000-0000E2070000}"/>
    <cellStyle name="쉼표 [0] 3 30" xfId="1998" xr:uid="{00000000-0005-0000-0000-0000E3070000}"/>
    <cellStyle name="쉼표 [0] 3 31" xfId="1999" xr:uid="{00000000-0005-0000-0000-0000E4070000}"/>
    <cellStyle name="쉼표 [0] 3 32" xfId="2000" xr:uid="{00000000-0005-0000-0000-0000E5070000}"/>
    <cellStyle name="쉼표 [0] 3 33" xfId="2001" xr:uid="{00000000-0005-0000-0000-0000E6070000}"/>
    <cellStyle name="쉼표 [0] 3 34" xfId="2002" xr:uid="{00000000-0005-0000-0000-0000E7070000}"/>
    <cellStyle name="쉼표 [0] 3 35" xfId="2003" xr:uid="{00000000-0005-0000-0000-0000E8070000}"/>
    <cellStyle name="쉼표 [0] 3 36" xfId="2004" xr:uid="{00000000-0005-0000-0000-0000E9070000}"/>
    <cellStyle name="쉼표 [0] 3 37" xfId="2005" xr:uid="{00000000-0005-0000-0000-0000EA070000}"/>
    <cellStyle name="쉼표 [0] 3 38" xfId="2006" xr:uid="{00000000-0005-0000-0000-0000EB070000}"/>
    <cellStyle name="쉼표 [0] 3 39" xfId="2007" xr:uid="{00000000-0005-0000-0000-0000EC070000}"/>
    <cellStyle name="쉼표 [0] 3 4" xfId="2008" xr:uid="{00000000-0005-0000-0000-0000ED070000}"/>
    <cellStyle name="쉼표 [0] 3 4 2" xfId="2009" xr:uid="{00000000-0005-0000-0000-0000EE070000}"/>
    <cellStyle name="쉼표 [0] 3 4 2 2" xfId="2010" xr:uid="{00000000-0005-0000-0000-0000EF070000}"/>
    <cellStyle name="쉼표 [0] 3 4 2 2 2" xfId="2011" xr:uid="{00000000-0005-0000-0000-0000F0070000}"/>
    <cellStyle name="쉼표 [0] 3 4 2 3" xfId="2012" xr:uid="{00000000-0005-0000-0000-0000F1070000}"/>
    <cellStyle name="쉼표 [0] 3 4 3" xfId="2013" xr:uid="{00000000-0005-0000-0000-0000F2070000}"/>
    <cellStyle name="쉼표 [0] 3 4 4" xfId="2014" xr:uid="{00000000-0005-0000-0000-0000F3070000}"/>
    <cellStyle name="쉼표 [0] 3 4 5" xfId="2015" xr:uid="{00000000-0005-0000-0000-0000F4070000}"/>
    <cellStyle name="쉼표 [0] 3 4 6" xfId="2016" xr:uid="{00000000-0005-0000-0000-0000F5070000}"/>
    <cellStyle name="쉼표 [0] 3 4 7" xfId="2017" xr:uid="{00000000-0005-0000-0000-0000F6070000}"/>
    <cellStyle name="쉼표 [0] 3 40" xfId="2018" xr:uid="{00000000-0005-0000-0000-0000F7070000}"/>
    <cellStyle name="쉼표 [0] 3 41" xfId="2019" xr:uid="{00000000-0005-0000-0000-0000F8070000}"/>
    <cellStyle name="쉼표 [0] 3 42" xfId="2020" xr:uid="{00000000-0005-0000-0000-0000F9070000}"/>
    <cellStyle name="쉼표 [0] 3 43" xfId="2021" xr:uid="{00000000-0005-0000-0000-0000FA070000}"/>
    <cellStyle name="쉼표 [0] 3 44" xfId="2022" xr:uid="{00000000-0005-0000-0000-0000FB070000}"/>
    <cellStyle name="쉼표 [0] 3 45" xfId="2023" xr:uid="{00000000-0005-0000-0000-0000FC070000}"/>
    <cellStyle name="쉼표 [0] 3 46" xfId="2024" xr:uid="{00000000-0005-0000-0000-0000FD070000}"/>
    <cellStyle name="쉼표 [0] 3 47" xfId="2025" xr:uid="{00000000-0005-0000-0000-0000FE070000}"/>
    <cellStyle name="쉼표 [0] 3 5" xfId="2026" xr:uid="{00000000-0005-0000-0000-0000FF070000}"/>
    <cellStyle name="쉼표 [0] 3 5 2" xfId="2027" xr:uid="{00000000-0005-0000-0000-000000080000}"/>
    <cellStyle name="쉼표 [0] 3 5 2 2" xfId="2028" xr:uid="{00000000-0005-0000-0000-000001080000}"/>
    <cellStyle name="쉼표 [0] 3 5 2 2 2" xfId="2029" xr:uid="{00000000-0005-0000-0000-000002080000}"/>
    <cellStyle name="쉼표 [0] 3 5 2 3" xfId="2030" xr:uid="{00000000-0005-0000-0000-000003080000}"/>
    <cellStyle name="쉼표 [0] 3 5 3" xfId="2031" xr:uid="{00000000-0005-0000-0000-000004080000}"/>
    <cellStyle name="쉼표 [0] 3 5 4" xfId="2032" xr:uid="{00000000-0005-0000-0000-000005080000}"/>
    <cellStyle name="쉼표 [0] 3 5 5" xfId="2033" xr:uid="{00000000-0005-0000-0000-000006080000}"/>
    <cellStyle name="쉼표 [0] 3 5 6" xfId="2034" xr:uid="{00000000-0005-0000-0000-000007080000}"/>
    <cellStyle name="쉼표 [0] 3 5 7" xfId="2035" xr:uid="{00000000-0005-0000-0000-000008080000}"/>
    <cellStyle name="쉼표 [0] 3 6" xfId="2036" xr:uid="{00000000-0005-0000-0000-000009080000}"/>
    <cellStyle name="쉼표 [0] 3 6 10" xfId="2037" xr:uid="{00000000-0005-0000-0000-00000A080000}"/>
    <cellStyle name="쉼표 [0] 3 6 11" xfId="2038" xr:uid="{00000000-0005-0000-0000-00000B080000}"/>
    <cellStyle name="쉼표 [0] 3 6 12" xfId="2039" xr:uid="{00000000-0005-0000-0000-00000C080000}"/>
    <cellStyle name="쉼표 [0] 3 6 2" xfId="2040" xr:uid="{00000000-0005-0000-0000-00000D080000}"/>
    <cellStyle name="쉼표 [0] 3 6 2 2" xfId="2041" xr:uid="{00000000-0005-0000-0000-00000E080000}"/>
    <cellStyle name="쉼표 [0] 3 6 2 3" xfId="2042" xr:uid="{00000000-0005-0000-0000-00000F080000}"/>
    <cellStyle name="쉼표 [0] 3 6 3" xfId="2043" xr:uid="{00000000-0005-0000-0000-000010080000}"/>
    <cellStyle name="쉼표 [0] 3 6 4" xfId="2044" xr:uid="{00000000-0005-0000-0000-000011080000}"/>
    <cellStyle name="쉼표 [0] 3 6 5" xfId="2045" xr:uid="{00000000-0005-0000-0000-000012080000}"/>
    <cellStyle name="쉼표 [0] 3 6 6" xfId="2046" xr:uid="{00000000-0005-0000-0000-000013080000}"/>
    <cellStyle name="쉼표 [0] 3 6 7" xfId="2047" xr:uid="{00000000-0005-0000-0000-000014080000}"/>
    <cellStyle name="쉼표 [0] 3 6 8" xfId="2048" xr:uid="{00000000-0005-0000-0000-000015080000}"/>
    <cellStyle name="쉼표 [0] 3 6 9" xfId="2049" xr:uid="{00000000-0005-0000-0000-000016080000}"/>
    <cellStyle name="쉼표 [0] 3 7" xfId="2050" xr:uid="{00000000-0005-0000-0000-000017080000}"/>
    <cellStyle name="쉼표 [0] 3 7 2" xfId="2051" xr:uid="{00000000-0005-0000-0000-000018080000}"/>
    <cellStyle name="쉼표 [0] 3 7 2 2" xfId="2052" xr:uid="{00000000-0005-0000-0000-000019080000}"/>
    <cellStyle name="쉼표 [0] 3 7 2 3" xfId="2053" xr:uid="{00000000-0005-0000-0000-00001A080000}"/>
    <cellStyle name="쉼표 [0] 3 7 2 4" xfId="2054" xr:uid="{00000000-0005-0000-0000-00001B080000}"/>
    <cellStyle name="쉼표 [0] 3 7 2 5" xfId="2055" xr:uid="{00000000-0005-0000-0000-00001C080000}"/>
    <cellStyle name="쉼표 [0] 3 7 2 6" xfId="2056" xr:uid="{00000000-0005-0000-0000-00001D080000}"/>
    <cellStyle name="쉼표 [0] 3 7 2 7" xfId="2057" xr:uid="{00000000-0005-0000-0000-00001E080000}"/>
    <cellStyle name="쉼표 [0] 3 7 2 8" xfId="2058" xr:uid="{00000000-0005-0000-0000-00001F080000}"/>
    <cellStyle name="쉼표 [0] 3 7 2 9" xfId="2059" xr:uid="{00000000-0005-0000-0000-000020080000}"/>
    <cellStyle name="쉼표 [0] 3 7 3" xfId="2060" xr:uid="{00000000-0005-0000-0000-000021080000}"/>
    <cellStyle name="쉼표 [0] 3 7 3 2" xfId="2061" xr:uid="{00000000-0005-0000-0000-000022080000}"/>
    <cellStyle name="쉼표 [0] 3 7 3 3" xfId="2062" xr:uid="{00000000-0005-0000-0000-000023080000}"/>
    <cellStyle name="쉼표 [0] 3 7 3 4" xfId="2063" xr:uid="{00000000-0005-0000-0000-000024080000}"/>
    <cellStyle name="쉼표 [0] 3 7 3 5" xfId="2064" xr:uid="{00000000-0005-0000-0000-000025080000}"/>
    <cellStyle name="쉼표 [0] 3 7 3 5 2" xfId="2065" xr:uid="{00000000-0005-0000-0000-000026080000}"/>
    <cellStyle name="쉼표 [0] 3 7 3 6" xfId="2066" xr:uid="{00000000-0005-0000-0000-000027080000}"/>
    <cellStyle name="쉼표 [0] 3 7 4" xfId="2067" xr:uid="{00000000-0005-0000-0000-000028080000}"/>
    <cellStyle name="쉼표 [0] 3 7 4 2" xfId="2068" xr:uid="{00000000-0005-0000-0000-000029080000}"/>
    <cellStyle name="쉼표 [0] 3 7 4 3" xfId="2069" xr:uid="{00000000-0005-0000-0000-00002A080000}"/>
    <cellStyle name="쉼표 [0] 3 7 4 4" xfId="2070" xr:uid="{00000000-0005-0000-0000-00002B080000}"/>
    <cellStyle name="쉼표 [0] 3 7 4 5" xfId="2071" xr:uid="{00000000-0005-0000-0000-00002C080000}"/>
    <cellStyle name="쉼표 [0] 3 7 5" xfId="2072" xr:uid="{00000000-0005-0000-0000-00002D080000}"/>
    <cellStyle name="쉼표 [0] 3 7 5 2" xfId="2073" xr:uid="{00000000-0005-0000-0000-00002E080000}"/>
    <cellStyle name="쉼표 [0] 3 7 6" xfId="2074" xr:uid="{00000000-0005-0000-0000-00002F080000}"/>
    <cellStyle name="쉼표 [0] 3 8" xfId="2075" xr:uid="{00000000-0005-0000-0000-000030080000}"/>
    <cellStyle name="쉼표 [0] 3 9" xfId="2076" xr:uid="{00000000-0005-0000-0000-000031080000}"/>
    <cellStyle name="쉼표 [0] 3 9 2" xfId="2077" xr:uid="{00000000-0005-0000-0000-000032080000}"/>
    <cellStyle name="쉼표 [0] 3 9 2 2" xfId="2078" xr:uid="{00000000-0005-0000-0000-000033080000}"/>
    <cellStyle name="쉼표 [0] 30" xfId="2079" xr:uid="{00000000-0005-0000-0000-000034080000}"/>
    <cellStyle name="쉼표 [0] 31" xfId="2080" xr:uid="{00000000-0005-0000-0000-000035080000}"/>
    <cellStyle name="쉼표 [0] 31 2" xfId="3219" xr:uid="{00000000-0005-0000-0000-000036080000}"/>
    <cellStyle name="쉼표 [0] 32" xfId="2081" xr:uid="{00000000-0005-0000-0000-000037080000}"/>
    <cellStyle name="쉼표 [0] 33" xfId="2082" xr:uid="{00000000-0005-0000-0000-000038080000}"/>
    <cellStyle name="쉼표 [0] 34" xfId="2083" xr:uid="{00000000-0005-0000-0000-000039080000}"/>
    <cellStyle name="쉼표 [0] 35" xfId="2084" xr:uid="{00000000-0005-0000-0000-00003A080000}"/>
    <cellStyle name="쉼표 [0] 36" xfId="2085" xr:uid="{00000000-0005-0000-0000-00003B080000}"/>
    <cellStyle name="쉼표 [0] 36 2" xfId="2086" xr:uid="{00000000-0005-0000-0000-00003C080000}"/>
    <cellStyle name="쉼표 [0] 37" xfId="2087" xr:uid="{00000000-0005-0000-0000-00003D080000}"/>
    <cellStyle name="쉼표 [0] 38" xfId="2088" xr:uid="{00000000-0005-0000-0000-00003E080000}"/>
    <cellStyle name="쉼표 [0] 38 2" xfId="3116" xr:uid="{00000000-0005-0000-0000-00003F080000}"/>
    <cellStyle name="쉼표 [0] 39" xfId="2089" xr:uid="{00000000-0005-0000-0000-000040080000}"/>
    <cellStyle name="쉼표 [0] 39 2" xfId="3117" xr:uid="{00000000-0005-0000-0000-000041080000}"/>
    <cellStyle name="쉼표 [0] 4" xfId="2090" xr:uid="{00000000-0005-0000-0000-000042080000}"/>
    <cellStyle name="쉼표 [0] 4 10" xfId="2091" xr:uid="{00000000-0005-0000-0000-000043080000}"/>
    <cellStyle name="쉼표 [0] 4 11" xfId="2092" xr:uid="{00000000-0005-0000-0000-000044080000}"/>
    <cellStyle name="쉼표 [0] 4 12" xfId="2093" xr:uid="{00000000-0005-0000-0000-000045080000}"/>
    <cellStyle name="쉼표 [0] 4 12 2" xfId="2094" xr:uid="{00000000-0005-0000-0000-000046080000}"/>
    <cellStyle name="쉼표 [0] 4 12 2 2" xfId="2095" xr:uid="{00000000-0005-0000-0000-000047080000}"/>
    <cellStyle name="쉼표 [0] 4 12 2 2 2" xfId="2096" xr:uid="{00000000-0005-0000-0000-000048080000}"/>
    <cellStyle name="쉼표 [0] 4 12 3" xfId="2097" xr:uid="{00000000-0005-0000-0000-000049080000}"/>
    <cellStyle name="쉼표 [0] 4 12 4" xfId="2098" xr:uid="{00000000-0005-0000-0000-00004A080000}"/>
    <cellStyle name="쉼표 [0] 4 12 5" xfId="2099" xr:uid="{00000000-0005-0000-0000-00004B080000}"/>
    <cellStyle name="쉼표 [0] 4 12 6" xfId="2100" xr:uid="{00000000-0005-0000-0000-00004C080000}"/>
    <cellStyle name="쉼표 [0] 4 12 7" xfId="2101" xr:uid="{00000000-0005-0000-0000-00004D080000}"/>
    <cellStyle name="쉼표 [0] 4 13" xfId="2102" xr:uid="{00000000-0005-0000-0000-00004E080000}"/>
    <cellStyle name="쉼표 [0] 4 13 2" xfId="2103" xr:uid="{00000000-0005-0000-0000-00004F080000}"/>
    <cellStyle name="쉼표 [0] 4 13 2 2" xfId="2104" xr:uid="{00000000-0005-0000-0000-000050080000}"/>
    <cellStyle name="쉼표 [0] 4 13 2 2 2" xfId="2105" xr:uid="{00000000-0005-0000-0000-000051080000}"/>
    <cellStyle name="쉼표 [0] 4 13 3" xfId="2106" xr:uid="{00000000-0005-0000-0000-000052080000}"/>
    <cellStyle name="쉼표 [0] 4 13 4" xfId="2107" xr:uid="{00000000-0005-0000-0000-000053080000}"/>
    <cellStyle name="쉼표 [0] 4 13 5" xfId="2108" xr:uid="{00000000-0005-0000-0000-000054080000}"/>
    <cellStyle name="쉼표 [0] 4 13 6" xfId="2109" xr:uid="{00000000-0005-0000-0000-000055080000}"/>
    <cellStyle name="쉼표 [0] 4 13 7" xfId="2110" xr:uid="{00000000-0005-0000-0000-000056080000}"/>
    <cellStyle name="쉼표 [0] 4 14" xfId="2111" xr:uid="{00000000-0005-0000-0000-000057080000}"/>
    <cellStyle name="쉼표 [0] 4 14 2" xfId="2112" xr:uid="{00000000-0005-0000-0000-000058080000}"/>
    <cellStyle name="쉼표 [0] 4 14 2 2" xfId="2113" xr:uid="{00000000-0005-0000-0000-000059080000}"/>
    <cellStyle name="쉼표 [0] 4 14 2 2 2" xfId="2114" xr:uid="{00000000-0005-0000-0000-00005A080000}"/>
    <cellStyle name="쉼표 [0] 4 14 3" xfId="2115" xr:uid="{00000000-0005-0000-0000-00005B080000}"/>
    <cellStyle name="쉼표 [0] 4 14 4" xfId="2116" xr:uid="{00000000-0005-0000-0000-00005C080000}"/>
    <cellStyle name="쉼표 [0] 4 14 5" xfId="2117" xr:uid="{00000000-0005-0000-0000-00005D080000}"/>
    <cellStyle name="쉼표 [0] 4 14 6" xfId="2118" xr:uid="{00000000-0005-0000-0000-00005E080000}"/>
    <cellStyle name="쉼표 [0] 4 14 7" xfId="2119" xr:uid="{00000000-0005-0000-0000-00005F080000}"/>
    <cellStyle name="쉼표 [0] 4 15" xfId="2120" xr:uid="{00000000-0005-0000-0000-000060080000}"/>
    <cellStyle name="쉼표 [0] 4 16" xfId="2121" xr:uid="{00000000-0005-0000-0000-000061080000}"/>
    <cellStyle name="쉼표 [0] 4 17" xfId="2122" xr:uid="{00000000-0005-0000-0000-000062080000}"/>
    <cellStyle name="쉼표 [0] 4 18" xfId="2123" xr:uid="{00000000-0005-0000-0000-000063080000}"/>
    <cellStyle name="쉼표 [0] 4 18 2" xfId="2124" xr:uid="{00000000-0005-0000-0000-000064080000}"/>
    <cellStyle name="쉼표 [0] 4 18 2 2" xfId="2125" xr:uid="{00000000-0005-0000-0000-000065080000}"/>
    <cellStyle name="쉼표 [0] 4 19" xfId="2126" xr:uid="{00000000-0005-0000-0000-000066080000}"/>
    <cellStyle name="쉼표 [0] 4 19 2" xfId="2127" xr:uid="{00000000-0005-0000-0000-000067080000}"/>
    <cellStyle name="쉼표 [0] 4 19 2 2" xfId="2128" xr:uid="{00000000-0005-0000-0000-000068080000}"/>
    <cellStyle name="쉼표 [0] 4 2" xfId="2129" xr:uid="{00000000-0005-0000-0000-000069080000}"/>
    <cellStyle name="쉼표 [0] 4 2 10" xfId="2130" xr:uid="{00000000-0005-0000-0000-00006A080000}"/>
    <cellStyle name="쉼표 [0] 4 2 10 2" xfId="2131" xr:uid="{00000000-0005-0000-0000-00006B080000}"/>
    <cellStyle name="쉼표 [0] 4 2 10 2 2" xfId="2132" xr:uid="{00000000-0005-0000-0000-00006C080000}"/>
    <cellStyle name="쉼표 [0] 4 2 10 2 2 2" xfId="2133" xr:uid="{00000000-0005-0000-0000-00006D080000}"/>
    <cellStyle name="쉼표 [0] 4 2 10 3" xfId="2134" xr:uid="{00000000-0005-0000-0000-00006E080000}"/>
    <cellStyle name="쉼표 [0] 4 2 10 4" xfId="2135" xr:uid="{00000000-0005-0000-0000-00006F080000}"/>
    <cellStyle name="쉼표 [0] 4 2 10 5" xfId="2136" xr:uid="{00000000-0005-0000-0000-000070080000}"/>
    <cellStyle name="쉼표 [0] 4 2 10 6" xfId="2137" xr:uid="{00000000-0005-0000-0000-000071080000}"/>
    <cellStyle name="쉼표 [0] 4 2 11" xfId="2138" xr:uid="{00000000-0005-0000-0000-000072080000}"/>
    <cellStyle name="쉼표 [0] 4 2 11 2" xfId="2139" xr:uid="{00000000-0005-0000-0000-000073080000}"/>
    <cellStyle name="쉼표 [0] 4 2 11 2 2" xfId="2140" xr:uid="{00000000-0005-0000-0000-000074080000}"/>
    <cellStyle name="쉼표 [0] 4 2 11 2 2 2" xfId="2141" xr:uid="{00000000-0005-0000-0000-000075080000}"/>
    <cellStyle name="쉼표 [0] 4 2 11 3" xfId="2142" xr:uid="{00000000-0005-0000-0000-000076080000}"/>
    <cellStyle name="쉼표 [0] 4 2 11 4" xfId="2143" xr:uid="{00000000-0005-0000-0000-000077080000}"/>
    <cellStyle name="쉼표 [0] 4 2 11 5" xfId="2144" xr:uid="{00000000-0005-0000-0000-000078080000}"/>
    <cellStyle name="쉼표 [0] 4 2 11 6" xfId="2145" xr:uid="{00000000-0005-0000-0000-000079080000}"/>
    <cellStyle name="쉼표 [0] 4 2 12" xfId="2146" xr:uid="{00000000-0005-0000-0000-00007A080000}"/>
    <cellStyle name="쉼표 [0] 4 2 12 2" xfId="2147" xr:uid="{00000000-0005-0000-0000-00007B080000}"/>
    <cellStyle name="쉼표 [0] 4 2 12 2 2" xfId="2148" xr:uid="{00000000-0005-0000-0000-00007C080000}"/>
    <cellStyle name="쉼표 [0] 4 2 12 2 2 2" xfId="2149" xr:uid="{00000000-0005-0000-0000-00007D080000}"/>
    <cellStyle name="쉼표 [0] 4 2 12 3" xfId="2150" xr:uid="{00000000-0005-0000-0000-00007E080000}"/>
    <cellStyle name="쉼표 [0] 4 2 12 4" xfId="2151" xr:uid="{00000000-0005-0000-0000-00007F080000}"/>
    <cellStyle name="쉼표 [0] 4 2 12 5" xfId="2152" xr:uid="{00000000-0005-0000-0000-000080080000}"/>
    <cellStyle name="쉼표 [0] 4 2 12 6" xfId="2153" xr:uid="{00000000-0005-0000-0000-000081080000}"/>
    <cellStyle name="쉼표 [0] 4 2 13" xfId="2154" xr:uid="{00000000-0005-0000-0000-000082080000}"/>
    <cellStyle name="쉼표 [0] 4 2 13 2" xfId="2155" xr:uid="{00000000-0005-0000-0000-000083080000}"/>
    <cellStyle name="쉼표 [0] 4 2 13 2 2" xfId="2156" xr:uid="{00000000-0005-0000-0000-000084080000}"/>
    <cellStyle name="쉼표 [0] 4 2 13 2 2 2" xfId="2157" xr:uid="{00000000-0005-0000-0000-000085080000}"/>
    <cellStyle name="쉼표 [0] 4 2 13 3" xfId="2158" xr:uid="{00000000-0005-0000-0000-000086080000}"/>
    <cellStyle name="쉼표 [0] 4 2 13 4" xfId="2159" xr:uid="{00000000-0005-0000-0000-000087080000}"/>
    <cellStyle name="쉼표 [0] 4 2 13 5" xfId="2160" xr:uid="{00000000-0005-0000-0000-000088080000}"/>
    <cellStyle name="쉼표 [0] 4 2 13 6" xfId="2161" xr:uid="{00000000-0005-0000-0000-000089080000}"/>
    <cellStyle name="쉼표 [0] 4 2 14" xfId="2162" xr:uid="{00000000-0005-0000-0000-00008A080000}"/>
    <cellStyle name="쉼표 [0] 4 2 14 2" xfId="2163" xr:uid="{00000000-0005-0000-0000-00008B080000}"/>
    <cellStyle name="쉼표 [0] 4 2 14 2 2" xfId="2164" xr:uid="{00000000-0005-0000-0000-00008C080000}"/>
    <cellStyle name="쉼표 [0] 4 2 14 2 2 2" xfId="2165" xr:uid="{00000000-0005-0000-0000-00008D080000}"/>
    <cellStyle name="쉼표 [0] 4 2 14 3" xfId="2166" xr:uid="{00000000-0005-0000-0000-00008E080000}"/>
    <cellStyle name="쉼표 [0] 4 2 14 4" xfId="2167" xr:uid="{00000000-0005-0000-0000-00008F080000}"/>
    <cellStyle name="쉼표 [0] 4 2 14 5" xfId="2168" xr:uid="{00000000-0005-0000-0000-000090080000}"/>
    <cellStyle name="쉼표 [0] 4 2 14 6" xfId="2169" xr:uid="{00000000-0005-0000-0000-000091080000}"/>
    <cellStyle name="쉼표 [0] 4 2 15" xfId="2170" xr:uid="{00000000-0005-0000-0000-000092080000}"/>
    <cellStyle name="쉼표 [0] 4 2 15 2" xfId="2171" xr:uid="{00000000-0005-0000-0000-000093080000}"/>
    <cellStyle name="쉼표 [0] 4 2 15 2 2" xfId="2172" xr:uid="{00000000-0005-0000-0000-000094080000}"/>
    <cellStyle name="쉼표 [0] 4 2 15 2 2 2" xfId="2173" xr:uid="{00000000-0005-0000-0000-000095080000}"/>
    <cellStyle name="쉼표 [0] 4 2 15 3" xfId="2174" xr:uid="{00000000-0005-0000-0000-000096080000}"/>
    <cellStyle name="쉼표 [0] 4 2 15 4" xfId="2175" xr:uid="{00000000-0005-0000-0000-000097080000}"/>
    <cellStyle name="쉼표 [0] 4 2 15 5" xfId="2176" xr:uid="{00000000-0005-0000-0000-000098080000}"/>
    <cellStyle name="쉼표 [0] 4 2 15 6" xfId="2177" xr:uid="{00000000-0005-0000-0000-000099080000}"/>
    <cellStyle name="쉼표 [0] 4 2 16" xfId="2178" xr:uid="{00000000-0005-0000-0000-00009A080000}"/>
    <cellStyle name="쉼표 [0] 4 2 16 2" xfId="2179" xr:uid="{00000000-0005-0000-0000-00009B080000}"/>
    <cellStyle name="쉼표 [0] 4 2 16 2 2" xfId="2180" xr:uid="{00000000-0005-0000-0000-00009C080000}"/>
    <cellStyle name="쉼표 [0] 4 2 16 2 2 2" xfId="2181" xr:uid="{00000000-0005-0000-0000-00009D080000}"/>
    <cellStyle name="쉼표 [0] 4 2 16 3" xfId="2182" xr:uid="{00000000-0005-0000-0000-00009E080000}"/>
    <cellStyle name="쉼표 [0] 4 2 16 4" xfId="2183" xr:uid="{00000000-0005-0000-0000-00009F080000}"/>
    <cellStyle name="쉼표 [0] 4 2 16 5" xfId="2184" xr:uid="{00000000-0005-0000-0000-0000A0080000}"/>
    <cellStyle name="쉼표 [0] 4 2 16 6" xfId="2185" xr:uid="{00000000-0005-0000-0000-0000A1080000}"/>
    <cellStyle name="쉼표 [0] 4 2 17" xfId="2186" xr:uid="{00000000-0005-0000-0000-0000A2080000}"/>
    <cellStyle name="쉼표 [0] 4 2 17 2" xfId="2187" xr:uid="{00000000-0005-0000-0000-0000A3080000}"/>
    <cellStyle name="쉼표 [0] 4 2 17 2 2" xfId="2188" xr:uid="{00000000-0005-0000-0000-0000A4080000}"/>
    <cellStyle name="쉼표 [0] 4 2 17 2 2 2" xfId="2189" xr:uid="{00000000-0005-0000-0000-0000A5080000}"/>
    <cellStyle name="쉼표 [0] 4 2 17 3" xfId="2190" xr:uid="{00000000-0005-0000-0000-0000A6080000}"/>
    <cellStyle name="쉼표 [0] 4 2 17 4" xfId="2191" xr:uid="{00000000-0005-0000-0000-0000A7080000}"/>
    <cellStyle name="쉼표 [0] 4 2 17 5" xfId="2192" xr:uid="{00000000-0005-0000-0000-0000A8080000}"/>
    <cellStyle name="쉼표 [0] 4 2 17 6" xfId="2193" xr:uid="{00000000-0005-0000-0000-0000A9080000}"/>
    <cellStyle name="쉼표 [0] 4 2 18" xfId="2194" xr:uid="{00000000-0005-0000-0000-0000AA080000}"/>
    <cellStyle name="쉼표 [0] 4 2 18 2" xfId="2195" xr:uid="{00000000-0005-0000-0000-0000AB080000}"/>
    <cellStyle name="쉼표 [0] 4 2 18 2 2" xfId="2196" xr:uid="{00000000-0005-0000-0000-0000AC080000}"/>
    <cellStyle name="쉼표 [0] 4 2 18 2 2 2" xfId="2197" xr:uid="{00000000-0005-0000-0000-0000AD080000}"/>
    <cellStyle name="쉼표 [0] 4 2 18 3" xfId="2198" xr:uid="{00000000-0005-0000-0000-0000AE080000}"/>
    <cellStyle name="쉼표 [0] 4 2 18 4" xfId="2199" xr:uid="{00000000-0005-0000-0000-0000AF080000}"/>
    <cellStyle name="쉼표 [0] 4 2 18 5" xfId="2200" xr:uid="{00000000-0005-0000-0000-0000B0080000}"/>
    <cellStyle name="쉼표 [0] 4 2 18 6" xfId="2201" xr:uid="{00000000-0005-0000-0000-0000B1080000}"/>
    <cellStyle name="쉼표 [0] 4 2 19" xfId="2202" xr:uid="{00000000-0005-0000-0000-0000B2080000}"/>
    <cellStyle name="쉼표 [0] 4 2 19 2" xfId="2203" xr:uid="{00000000-0005-0000-0000-0000B3080000}"/>
    <cellStyle name="쉼표 [0] 4 2 19 2 2" xfId="2204" xr:uid="{00000000-0005-0000-0000-0000B4080000}"/>
    <cellStyle name="쉼표 [0] 4 2 19 2 2 2" xfId="2205" xr:uid="{00000000-0005-0000-0000-0000B5080000}"/>
    <cellStyle name="쉼표 [0] 4 2 19 3" xfId="2206" xr:uid="{00000000-0005-0000-0000-0000B6080000}"/>
    <cellStyle name="쉼표 [0] 4 2 19 4" xfId="2207" xr:uid="{00000000-0005-0000-0000-0000B7080000}"/>
    <cellStyle name="쉼표 [0] 4 2 19 5" xfId="2208" xr:uid="{00000000-0005-0000-0000-0000B8080000}"/>
    <cellStyle name="쉼표 [0] 4 2 19 6" xfId="2209" xr:uid="{00000000-0005-0000-0000-0000B9080000}"/>
    <cellStyle name="쉼표 [0] 4 2 2" xfId="2210" xr:uid="{00000000-0005-0000-0000-0000BA080000}"/>
    <cellStyle name="쉼표 [0] 4 2 2 2" xfId="2211" xr:uid="{00000000-0005-0000-0000-0000BB080000}"/>
    <cellStyle name="쉼표 [0] 4 2 2 2 2" xfId="2212" xr:uid="{00000000-0005-0000-0000-0000BC080000}"/>
    <cellStyle name="쉼표 [0] 4 2 2 2 2 2" xfId="2213" xr:uid="{00000000-0005-0000-0000-0000BD080000}"/>
    <cellStyle name="쉼표 [0] 4 2 2 2 2 3" xfId="2214" xr:uid="{00000000-0005-0000-0000-0000BE080000}"/>
    <cellStyle name="쉼표 [0] 4 2 2 2 2 4" xfId="2215" xr:uid="{00000000-0005-0000-0000-0000BF080000}"/>
    <cellStyle name="쉼표 [0] 4 2 2 2 2 5" xfId="2216" xr:uid="{00000000-0005-0000-0000-0000C0080000}"/>
    <cellStyle name="쉼표 [0] 4 2 2 2 2 5 2" xfId="2217" xr:uid="{00000000-0005-0000-0000-0000C1080000}"/>
    <cellStyle name="쉼표 [0] 4 2 2 2 2 6" xfId="2218" xr:uid="{00000000-0005-0000-0000-0000C2080000}"/>
    <cellStyle name="쉼표 [0] 4 2 2 2 3" xfId="2219" xr:uid="{00000000-0005-0000-0000-0000C3080000}"/>
    <cellStyle name="쉼표 [0] 4 2 2 2 3 2" xfId="2220" xr:uid="{00000000-0005-0000-0000-0000C4080000}"/>
    <cellStyle name="쉼표 [0] 4 2 2 2 3 3" xfId="2221" xr:uid="{00000000-0005-0000-0000-0000C5080000}"/>
    <cellStyle name="쉼표 [0] 4 2 2 2 3 4" xfId="2222" xr:uid="{00000000-0005-0000-0000-0000C6080000}"/>
    <cellStyle name="쉼표 [0] 4 2 2 2 3 5" xfId="2223" xr:uid="{00000000-0005-0000-0000-0000C7080000}"/>
    <cellStyle name="쉼표 [0] 4 2 2 2 4" xfId="2224" xr:uid="{00000000-0005-0000-0000-0000C8080000}"/>
    <cellStyle name="쉼표 [0] 4 2 2 2 4 2" xfId="2225" xr:uid="{00000000-0005-0000-0000-0000C9080000}"/>
    <cellStyle name="쉼표 [0] 4 2 2 2 4 3" xfId="2226" xr:uid="{00000000-0005-0000-0000-0000CA080000}"/>
    <cellStyle name="쉼표 [0] 4 2 2 2 4 4" xfId="2227" xr:uid="{00000000-0005-0000-0000-0000CB080000}"/>
    <cellStyle name="쉼표 [0] 4 2 2 2 4 5" xfId="2228" xr:uid="{00000000-0005-0000-0000-0000CC080000}"/>
    <cellStyle name="쉼표 [0] 4 2 2 2 5" xfId="2229" xr:uid="{00000000-0005-0000-0000-0000CD080000}"/>
    <cellStyle name="쉼표 [0] 4 2 2 3" xfId="2230" xr:uid="{00000000-0005-0000-0000-0000CE080000}"/>
    <cellStyle name="쉼표 [0] 4 2 2 4" xfId="2231" xr:uid="{00000000-0005-0000-0000-0000CF080000}"/>
    <cellStyle name="쉼표 [0] 4 2 2 5" xfId="2232" xr:uid="{00000000-0005-0000-0000-0000D0080000}"/>
    <cellStyle name="쉼표 [0] 4 2 2 6" xfId="2233" xr:uid="{00000000-0005-0000-0000-0000D1080000}"/>
    <cellStyle name="쉼표 [0] 4 2 2 7" xfId="2234" xr:uid="{00000000-0005-0000-0000-0000D2080000}"/>
    <cellStyle name="쉼표 [0] 4 2 2 8" xfId="2235" xr:uid="{00000000-0005-0000-0000-0000D3080000}"/>
    <cellStyle name="쉼표 [0] 4 2 2 9" xfId="2236" xr:uid="{00000000-0005-0000-0000-0000D4080000}"/>
    <cellStyle name="쉼표 [0] 4 2 20" xfId="2237" xr:uid="{00000000-0005-0000-0000-0000D5080000}"/>
    <cellStyle name="쉼표 [0] 4 2 20 2" xfId="2238" xr:uid="{00000000-0005-0000-0000-0000D6080000}"/>
    <cellStyle name="쉼표 [0] 4 2 20 2 2" xfId="2239" xr:uid="{00000000-0005-0000-0000-0000D7080000}"/>
    <cellStyle name="쉼표 [0] 4 2 20 2 2 2" xfId="2240" xr:uid="{00000000-0005-0000-0000-0000D8080000}"/>
    <cellStyle name="쉼표 [0] 4 2 20 3" xfId="2241" xr:uid="{00000000-0005-0000-0000-0000D9080000}"/>
    <cellStyle name="쉼표 [0] 4 2 20 4" xfId="2242" xr:uid="{00000000-0005-0000-0000-0000DA080000}"/>
    <cellStyle name="쉼표 [0] 4 2 20 5" xfId="2243" xr:uid="{00000000-0005-0000-0000-0000DB080000}"/>
    <cellStyle name="쉼표 [0] 4 2 20 6" xfId="2244" xr:uid="{00000000-0005-0000-0000-0000DC080000}"/>
    <cellStyle name="쉼표 [0] 4 2 21" xfId="2245" xr:uid="{00000000-0005-0000-0000-0000DD080000}"/>
    <cellStyle name="쉼표 [0] 4 2 21 2" xfId="2246" xr:uid="{00000000-0005-0000-0000-0000DE080000}"/>
    <cellStyle name="쉼표 [0] 4 2 21 2 2" xfId="2247" xr:uid="{00000000-0005-0000-0000-0000DF080000}"/>
    <cellStyle name="쉼표 [0] 4 2 21 2 2 2" xfId="2248" xr:uid="{00000000-0005-0000-0000-0000E0080000}"/>
    <cellStyle name="쉼표 [0] 4 2 21 3" xfId="2249" xr:uid="{00000000-0005-0000-0000-0000E1080000}"/>
    <cellStyle name="쉼표 [0] 4 2 21 4" xfId="2250" xr:uid="{00000000-0005-0000-0000-0000E2080000}"/>
    <cellStyle name="쉼표 [0] 4 2 21 5" xfId="2251" xr:uid="{00000000-0005-0000-0000-0000E3080000}"/>
    <cellStyle name="쉼표 [0] 4 2 21 6" xfId="2252" xr:uid="{00000000-0005-0000-0000-0000E4080000}"/>
    <cellStyle name="쉼표 [0] 4 2 22" xfId="2253" xr:uid="{00000000-0005-0000-0000-0000E5080000}"/>
    <cellStyle name="쉼표 [0] 4 2 22 2" xfId="2254" xr:uid="{00000000-0005-0000-0000-0000E6080000}"/>
    <cellStyle name="쉼표 [0] 4 2 22 2 2" xfId="2255" xr:uid="{00000000-0005-0000-0000-0000E7080000}"/>
    <cellStyle name="쉼표 [0] 4 2 22 2 2 2" xfId="2256" xr:uid="{00000000-0005-0000-0000-0000E8080000}"/>
    <cellStyle name="쉼표 [0] 4 2 22 3" xfId="2257" xr:uid="{00000000-0005-0000-0000-0000E9080000}"/>
    <cellStyle name="쉼표 [0] 4 2 22 4" xfId="2258" xr:uid="{00000000-0005-0000-0000-0000EA080000}"/>
    <cellStyle name="쉼표 [0] 4 2 22 5" xfId="2259" xr:uid="{00000000-0005-0000-0000-0000EB080000}"/>
    <cellStyle name="쉼표 [0] 4 2 22 6" xfId="2260" xr:uid="{00000000-0005-0000-0000-0000EC080000}"/>
    <cellStyle name="쉼표 [0] 4 2 23" xfId="2261" xr:uid="{00000000-0005-0000-0000-0000ED080000}"/>
    <cellStyle name="쉼표 [0] 4 2 23 2" xfId="2262" xr:uid="{00000000-0005-0000-0000-0000EE080000}"/>
    <cellStyle name="쉼표 [0] 4 2 23 2 2" xfId="2263" xr:uid="{00000000-0005-0000-0000-0000EF080000}"/>
    <cellStyle name="쉼표 [0] 4 2 23 2 2 2" xfId="2264" xr:uid="{00000000-0005-0000-0000-0000F0080000}"/>
    <cellStyle name="쉼표 [0] 4 2 23 3" xfId="2265" xr:uid="{00000000-0005-0000-0000-0000F1080000}"/>
    <cellStyle name="쉼표 [0] 4 2 23 4" xfId="2266" xr:uid="{00000000-0005-0000-0000-0000F2080000}"/>
    <cellStyle name="쉼표 [0] 4 2 23 5" xfId="2267" xr:uid="{00000000-0005-0000-0000-0000F3080000}"/>
    <cellStyle name="쉼표 [0] 4 2 23 6" xfId="2268" xr:uid="{00000000-0005-0000-0000-0000F4080000}"/>
    <cellStyle name="쉼표 [0] 4 2 24" xfId="2269" xr:uid="{00000000-0005-0000-0000-0000F5080000}"/>
    <cellStyle name="쉼표 [0] 4 2 24 2" xfId="2270" xr:uid="{00000000-0005-0000-0000-0000F6080000}"/>
    <cellStyle name="쉼표 [0] 4 2 24 2 2" xfId="2271" xr:uid="{00000000-0005-0000-0000-0000F7080000}"/>
    <cellStyle name="쉼표 [0] 4 2 24 2 2 2" xfId="2272" xr:uid="{00000000-0005-0000-0000-0000F8080000}"/>
    <cellStyle name="쉼표 [0] 4 2 24 3" xfId="2273" xr:uid="{00000000-0005-0000-0000-0000F9080000}"/>
    <cellStyle name="쉼표 [0] 4 2 24 4" xfId="2274" xr:uid="{00000000-0005-0000-0000-0000FA080000}"/>
    <cellStyle name="쉼표 [0] 4 2 24 5" xfId="2275" xr:uid="{00000000-0005-0000-0000-0000FB080000}"/>
    <cellStyle name="쉼표 [0] 4 2 24 6" xfId="2276" xr:uid="{00000000-0005-0000-0000-0000FC080000}"/>
    <cellStyle name="쉼표 [0] 4 2 25" xfId="2277" xr:uid="{00000000-0005-0000-0000-0000FD080000}"/>
    <cellStyle name="쉼표 [0] 4 2 25 2" xfId="2278" xr:uid="{00000000-0005-0000-0000-0000FE080000}"/>
    <cellStyle name="쉼표 [0] 4 2 25 2 2" xfId="2279" xr:uid="{00000000-0005-0000-0000-0000FF080000}"/>
    <cellStyle name="쉼표 [0] 4 2 25 2 2 2" xfId="2280" xr:uid="{00000000-0005-0000-0000-000000090000}"/>
    <cellStyle name="쉼표 [0] 4 2 25 3" xfId="2281" xr:uid="{00000000-0005-0000-0000-000001090000}"/>
    <cellStyle name="쉼표 [0] 4 2 25 4" xfId="2282" xr:uid="{00000000-0005-0000-0000-000002090000}"/>
    <cellStyle name="쉼표 [0] 4 2 25 5" xfId="2283" xr:uid="{00000000-0005-0000-0000-000003090000}"/>
    <cellStyle name="쉼표 [0] 4 2 25 6" xfId="2284" xr:uid="{00000000-0005-0000-0000-000004090000}"/>
    <cellStyle name="쉼표 [0] 4 2 26" xfId="2285" xr:uid="{00000000-0005-0000-0000-000005090000}"/>
    <cellStyle name="쉼표 [0] 4 2 26 2" xfId="2286" xr:uid="{00000000-0005-0000-0000-000006090000}"/>
    <cellStyle name="쉼표 [0] 4 2 26 2 2" xfId="2287" xr:uid="{00000000-0005-0000-0000-000007090000}"/>
    <cellStyle name="쉼표 [0] 4 2 26 2 2 2" xfId="2288" xr:uid="{00000000-0005-0000-0000-000008090000}"/>
    <cellStyle name="쉼표 [0] 4 2 26 3" xfId="2289" xr:uid="{00000000-0005-0000-0000-000009090000}"/>
    <cellStyle name="쉼표 [0] 4 2 26 4" xfId="2290" xr:uid="{00000000-0005-0000-0000-00000A090000}"/>
    <cellStyle name="쉼표 [0] 4 2 26 5" xfId="2291" xr:uid="{00000000-0005-0000-0000-00000B090000}"/>
    <cellStyle name="쉼표 [0] 4 2 26 6" xfId="2292" xr:uid="{00000000-0005-0000-0000-00000C090000}"/>
    <cellStyle name="쉼표 [0] 4 2 27" xfId="2293" xr:uid="{00000000-0005-0000-0000-00000D090000}"/>
    <cellStyle name="쉼표 [0] 4 2 27 2" xfId="2294" xr:uid="{00000000-0005-0000-0000-00000E090000}"/>
    <cellStyle name="쉼표 [0] 4 2 27 2 2" xfId="2295" xr:uid="{00000000-0005-0000-0000-00000F090000}"/>
    <cellStyle name="쉼표 [0] 4 2 27 2 2 2" xfId="2296" xr:uid="{00000000-0005-0000-0000-000010090000}"/>
    <cellStyle name="쉼표 [0] 4 2 27 3" xfId="2297" xr:uid="{00000000-0005-0000-0000-000011090000}"/>
    <cellStyle name="쉼표 [0] 4 2 27 4" xfId="2298" xr:uid="{00000000-0005-0000-0000-000012090000}"/>
    <cellStyle name="쉼표 [0] 4 2 27 5" xfId="2299" xr:uid="{00000000-0005-0000-0000-000013090000}"/>
    <cellStyle name="쉼표 [0] 4 2 27 6" xfId="2300" xr:uid="{00000000-0005-0000-0000-000014090000}"/>
    <cellStyle name="쉼표 [0] 4 2 28" xfId="2301" xr:uid="{00000000-0005-0000-0000-000015090000}"/>
    <cellStyle name="쉼표 [0] 4 2 28 2" xfId="2302" xr:uid="{00000000-0005-0000-0000-000016090000}"/>
    <cellStyle name="쉼표 [0] 4 2 28 2 2" xfId="2303" xr:uid="{00000000-0005-0000-0000-000017090000}"/>
    <cellStyle name="쉼표 [0] 4 2 28 2 2 2" xfId="2304" xr:uid="{00000000-0005-0000-0000-000018090000}"/>
    <cellStyle name="쉼표 [0] 4 2 28 3" xfId="2305" xr:uid="{00000000-0005-0000-0000-000019090000}"/>
    <cellStyle name="쉼표 [0] 4 2 28 4" xfId="2306" xr:uid="{00000000-0005-0000-0000-00001A090000}"/>
    <cellStyle name="쉼표 [0] 4 2 28 5" xfId="2307" xr:uid="{00000000-0005-0000-0000-00001B090000}"/>
    <cellStyle name="쉼표 [0] 4 2 28 6" xfId="2308" xr:uid="{00000000-0005-0000-0000-00001C090000}"/>
    <cellStyle name="쉼표 [0] 4 2 29" xfId="2309" xr:uid="{00000000-0005-0000-0000-00001D090000}"/>
    <cellStyle name="쉼표 [0] 4 2 29 2" xfId="2310" xr:uid="{00000000-0005-0000-0000-00001E090000}"/>
    <cellStyle name="쉼표 [0] 4 2 29 2 2" xfId="2311" xr:uid="{00000000-0005-0000-0000-00001F090000}"/>
    <cellStyle name="쉼표 [0] 4 2 29 2 2 2" xfId="2312" xr:uid="{00000000-0005-0000-0000-000020090000}"/>
    <cellStyle name="쉼표 [0] 4 2 29 3" xfId="2313" xr:uid="{00000000-0005-0000-0000-000021090000}"/>
    <cellStyle name="쉼표 [0] 4 2 29 4" xfId="2314" xr:uid="{00000000-0005-0000-0000-000022090000}"/>
    <cellStyle name="쉼표 [0] 4 2 29 5" xfId="2315" xr:uid="{00000000-0005-0000-0000-000023090000}"/>
    <cellStyle name="쉼표 [0] 4 2 29 6" xfId="2316" xr:uid="{00000000-0005-0000-0000-000024090000}"/>
    <cellStyle name="쉼표 [0] 4 2 3" xfId="2317" xr:uid="{00000000-0005-0000-0000-000025090000}"/>
    <cellStyle name="쉼표 [0] 4 2 3 2" xfId="2318" xr:uid="{00000000-0005-0000-0000-000026090000}"/>
    <cellStyle name="쉼표 [0] 4 2 3 2 2" xfId="2319" xr:uid="{00000000-0005-0000-0000-000027090000}"/>
    <cellStyle name="쉼표 [0] 4 2 3 2 2 2" xfId="2320" xr:uid="{00000000-0005-0000-0000-000028090000}"/>
    <cellStyle name="쉼표 [0] 4 2 3 3" xfId="2321" xr:uid="{00000000-0005-0000-0000-000029090000}"/>
    <cellStyle name="쉼표 [0] 4 2 3 4" xfId="2322" xr:uid="{00000000-0005-0000-0000-00002A090000}"/>
    <cellStyle name="쉼표 [0] 4 2 3 5" xfId="2323" xr:uid="{00000000-0005-0000-0000-00002B090000}"/>
    <cellStyle name="쉼표 [0] 4 2 3 6" xfId="2324" xr:uid="{00000000-0005-0000-0000-00002C090000}"/>
    <cellStyle name="쉼표 [0] 4 2 30" xfId="2325" xr:uid="{00000000-0005-0000-0000-00002D090000}"/>
    <cellStyle name="쉼표 [0] 4 2 30 2" xfId="2326" xr:uid="{00000000-0005-0000-0000-00002E090000}"/>
    <cellStyle name="쉼표 [0] 4 2 30 2 2" xfId="2327" xr:uid="{00000000-0005-0000-0000-00002F090000}"/>
    <cellStyle name="쉼표 [0] 4 2 30 2 2 2" xfId="2328" xr:uid="{00000000-0005-0000-0000-000030090000}"/>
    <cellStyle name="쉼표 [0] 4 2 30 3" xfId="2329" xr:uid="{00000000-0005-0000-0000-000031090000}"/>
    <cellStyle name="쉼표 [0] 4 2 30 4" xfId="2330" xr:uid="{00000000-0005-0000-0000-000032090000}"/>
    <cellStyle name="쉼표 [0] 4 2 30 5" xfId="2331" xr:uid="{00000000-0005-0000-0000-000033090000}"/>
    <cellStyle name="쉼표 [0] 4 2 30 6" xfId="2332" xr:uid="{00000000-0005-0000-0000-000034090000}"/>
    <cellStyle name="쉼표 [0] 4 2 31" xfId="2333" xr:uid="{00000000-0005-0000-0000-000035090000}"/>
    <cellStyle name="쉼표 [0] 4 2 31 2" xfId="2334" xr:uid="{00000000-0005-0000-0000-000036090000}"/>
    <cellStyle name="쉼표 [0] 4 2 31 2 2" xfId="2335" xr:uid="{00000000-0005-0000-0000-000037090000}"/>
    <cellStyle name="쉼표 [0] 4 2 31 2 2 2" xfId="2336" xr:uid="{00000000-0005-0000-0000-000038090000}"/>
    <cellStyle name="쉼표 [0] 4 2 31 3" xfId="2337" xr:uid="{00000000-0005-0000-0000-000039090000}"/>
    <cellStyle name="쉼표 [0] 4 2 31 4" xfId="2338" xr:uid="{00000000-0005-0000-0000-00003A090000}"/>
    <cellStyle name="쉼표 [0] 4 2 31 5" xfId="2339" xr:uid="{00000000-0005-0000-0000-00003B090000}"/>
    <cellStyle name="쉼표 [0] 4 2 31 6" xfId="2340" xr:uid="{00000000-0005-0000-0000-00003C090000}"/>
    <cellStyle name="쉼표 [0] 4 2 32" xfId="2341" xr:uid="{00000000-0005-0000-0000-00003D090000}"/>
    <cellStyle name="쉼표 [0] 4 2 32 2" xfId="2342" xr:uid="{00000000-0005-0000-0000-00003E090000}"/>
    <cellStyle name="쉼표 [0] 4 2 32 2 2" xfId="2343" xr:uid="{00000000-0005-0000-0000-00003F090000}"/>
    <cellStyle name="쉼표 [0] 4 2 32 2 2 2" xfId="2344" xr:uid="{00000000-0005-0000-0000-000040090000}"/>
    <cellStyle name="쉼표 [0] 4 2 32 3" xfId="2345" xr:uid="{00000000-0005-0000-0000-000041090000}"/>
    <cellStyle name="쉼표 [0] 4 2 32 4" xfId="2346" xr:uid="{00000000-0005-0000-0000-000042090000}"/>
    <cellStyle name="쉼표 [0] 4 2 32 5" xfId="2347" xr:uid="{00000000-0005-0000-0000-000043090000}"/>
    <cellStyle name="쉼표 [0] 4 2 32 6" xfId="2348" xr:uid="{00000000-0005-0000-0000-000044090000}"/>
    <cellStyle name="쉼표 [0] 4 2 33" xfId="2349" xr:uid="{00000000-0005-0000-0000-000045090000}"/>
    <cellStyle name="쉼표 [0] 4 2 33 2" xfId="2350" xr:uid="{00000000-0005-0000-0000-000046090000}"/>
    <cellStyle name="쉼표 [0] 4 2 33 2 2" xfId="2351" xr:uid="{00000000-0005-0000-0000-000047090000}"/>
    <cellStyle name="쉼표 [0] 4 2 33 2 2 2" xfId="2352" xr:uid="{00000000-0005-0000-0000-000048090000}"/>
    <cellStyle name="쉼표 [0] 4 2 33 3" xfId="2353" xr:uid="{00000000-0005-0000-0000-000049090000}"/>
    <cellStyle name="쉼표 [0] 4 2 33 4" xfId="2354" xr:uid="{00000000-0005-0000-0000-00004A090000}"/>
    <cellStyle name="쉼표 [0] 4 2 33 5" xfId="2355" xr:uid="{00000000-0005-0000-0000-00004B090000}"/>
    <cellStyle name="쉼표 [0] 4 2 33 6" xfId="2356" xr:uid="{00000000-0005-0000-0000-00004C090000}"/>
    <cellStyle name="쉼표 [0] 4 2 34" xfId="2357" xr:uid="{00000000-0005-0000-0000-00004D090000}"/>
    <cellStyle name="쉼표 [0] 4 2 34 2" xfId="2358" xr:uid="{00000000-0005-0000-0000-00004E090000}"/>
    <cellStyle name="쉼표 [0] 4 2 34 2 2" xfId="2359" xr:uid="{00000000-0005-0000-0000-00004F090000}"/>
    <cellStyle name="쉼표 [0] 4 2 34 2 2 2" xfId="2360" xr:uid="{00000000-0005-0000-0000-000050090000}"/>
    <cellStyle name="쉼표 [0] 4 2 34 3" xfId="2361" xr:uid="{00000000-0005-0000-0000-000051090000}"/>
    <cellStyle name="쉼표 [0] 4 2 34 4" xfId="2362" xr:uid="{00000000-0005-0000-0000-000052090000}"/>
    <cellStyle name="쉼표 [0] 4 2 34 5" xfId="2363" xr:uid="{00000000-0005-0000-0000-000053090000}"/>
    <cellStyle name="쉼표 [0] 4 2 34 6" xfId="2364" xr:uid="{00000000-0005-0000-0000-000054090000}"/>
    <cellStyle name="쉼표 [0] 4 2 35" xfId="2365" xr:uid="{00000000-0005-0000-0000-000055090000}"/>
    <cellStyle name="쉼표 [0] 4 2 35 2" xfId="2366" xr:uid="{00000000-0005-0000-0000-000056090000}"/>
    <cellStyle name="쉼표 [0] 4 2 35 2 2" xfId="2367" xr:uid="{00000000-0005-0000-0000-000057090000}"/>
    <cellStyle name="쉼표 [0] 4 2 35 2 2 2" xfId="2368" xr:uid="{00000000-0005-0000-0000-000058090000}"/>
    <cellStyle name="쉼표 [0] 4 2 35 3" xfId="2369" xr:uid="{00000000-0005-0000-0000-000059090000}"/>
    <cellStyle name="쉼표 [0] 4 2 35 4" xfId="2370" xr:uid="{00000000-0005-0000-0000-00005A090000}"/>
    <cellStyle name="쉼표 [0] 4 2 35 5" xfId="2371" xr:uid="{00000000-0005-0000-0000-00005B090000}"/>
    <cellStyle name="쉼표 [0] 4 2 35 6" xfId="2372" xr:uid="{00000000-0005-0000-0000-00005C090000}"/>
    <cellStyle name="쉼표 [0] 4 2 36" xfId="2373" xr:uid="{00000000-0005-0000-0000-00005D090000}"/>
    <cellStyle name="쉼표 [0] 4 2 36 2" xfId="2374" xr:uid="{00000000-0005-0000-0000-00005E090000}"/>
    <cellStyle name="쉼표 [0] 4 2 36 3" xfId="2375" xr:uid="{00000000-0005-0000-0000-00005F090000}"/>
    <cellStyle name="쉼표 [0] 4 2 36 4" xfId="2376" xr:uid="{00000000-0005-0000-0000-000060090000}"/>
    <cellStyle name="쉼표 [0] 4 2 36 5" xfId="2377" xr:uid="{00000000-0005-0000-0000-000061090000}"/>
    <cellStyle name="쉼표 [0] 4 2 36 5 2" xfId="2378" xr:uid="{00000000-0005-0000-0000-000062090000}"/>
    <cellStyle name="쉼표 [0] 4 2 36 6" xfId="2379" xr:uid="{00000000-0005-0000-0000-000063090000}"/>
    <cellStyle name="쉼표 [0] 4 2 37" xfId="2380" xr:uid="{00000000-0005-0000-0000-000064090000}"/>
    <cellStyle name="쉼표 [0] 4 2 37 2" xfId="2381" xr:uid="{00000000-0005-0000-0000-000065090000}"/>
    <cellStyle name="쉼표 [0] 4 2 37 3" xfId="2382" xr:uid="{00000000-0005-0000-0000-000066090000}"/>
    <cellStyle name="쉼표 [0] 4 2 37 4" xfId="2383" xr:uid="{00000000-0005-0000-0000-000067090000}"/>
    <cellStyle name="쉼표 [0] 4 2 37 5" xfId="2384" xr:uid="{00000000-0005-0000-0000-000068090000}"/>
    <cellStyle name="쉼표 [0] 4 2 38" xfId="2385" xr:uid="{00000000-0005-0000-0000-000069090000}"/>
    <cellStyle name="쉼표 [0] 4 2 38 2" xfId="2386" xr:uid="{00000000-0005-0000-0000-00006A090000}"/>
    <cellStyle name="쉼표 [0] 4 2 38 3" xfId="2387" xr:uid="{00000000-0005-0000-0000-00006B090000}"/>
    <cellStyle name="쉼표 [0] 4 2 38 4" xfId="2388" xr:uid="{00000000-0005-0000-0000-00006C090000}"/>
    <cellStyle name="쉼표 [0] 4 2 38 5" xfId="2389" xr:uid="{00000000-0005-0000-0000-00006D090000}"/>
    <cellStyle name="쉼표 [0] 4 2 39" xfId="2390" xr:uid="{00000000-0005-0000-0000-00006E090000}"/>
    <cellStyle name="쉼표 [0] 4 2 39 2" xfId="2391" xr:uid="{00000000-0005-0000-0000-00006F090000}"/>
    <cellStyle name="쉼표 [0] 4 2 4" xfId="2392" xr:uid="{00000000-0005-0000-0000-000070090000}"/>
    <cellStyle name="쉼표 [0] 4 2 4 2" xfId="2393" xr:uid="{00000000-0005-0000-0000-000071090000}"/>
    <cellStyle name="쉼표 [0] 4 2 4 2 2" xfId="2394" xr:uid="{00000000-0005-0000-0000-000072090000}"/>
    <cellStyle name="쉼표 [0] 4 2 4 2 2 2" xfId="2395" xr:uid="{00000000-0005-0000-0000-000073090000}"/>
    <cellStyle name="쉼표 [0] 4 2 4 3" xfId="2396" xr:uid="{00000000-0005-0000-0000-000074090000}"/>
    <cellStyle name="쉼표 [0] 4 2 4 4" xfId="2397" xr:uid="{00000000-0005-0000-0000-000075090000}"/>
    <cellStyle name="쉼표 [0] 4 2 4 5" xfId="2398" xr:uid="{00000000-0005-0000-0000-000076090000}"/>
    <cellStyle name="쉼표 [0] 4 2 4 6" xfId="2399" xr:uid="{00000000-0005-0000-0000-000077090000}"/>
    <cellStyle name="쉼표 [0] 4 2 40" xfId="2400" xr:uid="{00000000-0005-0000-0000-000078090000}"/>
    <cellStyle name="쉼표 [0] 4 2 5" xfId="2401" xr:uid="{00000000-0005-0000-0000-000079090000}"/>
    <cellStyle name="쉼표 [0] 4 2 5 2" xfId="2402" xr:uid="{00000000-0005-0000-0000-00007A090000}"/>
    <cellStyle name="쉼표 [0] 4 2 5 2 2" xfId="2403" xr:uid="{00000000-0005-0000-0000-00007B090000}"/>
    <cellStyle name="쉼표 [0] 4 2 5 2 2 2" xfId="2404" xr:uid="{00000000-0005-0000-0000-00007C090000}"/>
    <cellStyle name="쉼표 [0] 4 2 5 3" xfId="2405" xr:uid="{00000000-0005-0000-0000-00007D090000}"/>
    <cellStyle name="쉼표 [0] 4 2 5 4" xfId="2406" xr:uid="{00000000-0005-0000-0000-00007E090000}"/>
    <cellStyle name="쉼표 [0] 4 2 5 5" xfId="2407" xr:uid="{00000000-0005-0000-0000-00007F090000}"/>
    <cellStyle name="쉼표 [0] 4 2 5 6" xfId="2408" xr:uid="{00000000-0005-0000-0000-000080090000}"/>
    <cellStyle name="쉼표 [0] 4 2 6" xfId="2409" xr:uid="{00000000-0005-0000-0000-000081090000}"/>
    <cellStyle name="쉼표 [0] 4 2 6 2" xfId="2410" xr:uid="{00000000-0005-0000-0000-000082090000}"/>
    <cellStyle name="쉼표 [0] 4 2 6 2 2" xfId="2411" xr:uid="{00000000-0005-0000-0000-000083090000}"/>
    <cellStyle name="쉼표 [0] 4 2 6 2 2 2" xfId="2412" xr:uid="{00000000-0005-0000-0000-000084090000}"/>
    <cellStyle name="쉼표 [0] 4 2 6 3" xfId="2413" xr:uid="{00000000-0005-0000-0000-000085090000}"/>
    <cellStyle name="쉼표 [0] 4 2 6 4" xfId="2414" xr:uid="{00000000-0005-0000-0000-000086090000}"/>
    <cellStyle name="쉼표 [0] 4 2 6 5" xfId="2415" xr:uid="{00000000-0005-0000-0000-000087090000}"/>
    <cellStyle name="쉼표 [0] 4 2 6 6" xfId="2416" xr:uid="{00000000-0005-0000-0000-000088090000}"/>
    <cellStyle name="쉼표 [0] 4 2 7" xfId="2417" xr:uid="{00000000-0005-0000-0000-000089090000}"/>
    <cellStyle name="쉼표 [0] 4 2 7 2" xfId="2418" xr:uid="{00000000-0005-0000-0000-00008A090000}"/>
    <cellStyle name="쉼표 [0] 4 2 7 2 2" xfId="2419" xr:uid="{00000000-0005-0000-0000-00008B090000}"/>
    <cellStyle name="쉼표 [0] 4 2 7 2 2 2" xfId="2420" xr:uid="{00000000-0005-0000-0000-00008C090000}"/>
    <cellStyle name="쉼표 [0] 4 2 7 3" xfId="2421" xr:uid="{00000000-0005-0000-0000-00008D090000}"/>
    <cellStyle name="쉼표 [0] 4 2 7 4" xfId="2422" xr:uid="{00000000-0005-0000-0000-00008E090000}"/>
    <cellStyle name="쉼표 [0] 4 2 7 5" xfId="2423" xr:uid="{00000000-0005-0000-0000-00008F090000}"/>
    <cellStyle name="쉼표 [0] 4 2 7 6" xfId="2424" xr:uid="{00000000-0005-0000-0000-000090090000}"/>
    <cellStyle name="쉼표 [0] 4 2 8" xfId="2425" xr:uid="{00000000-0005-0000-0000-000091090000}"/>
    <cellStyle name="쉼표 [0] 4 2 8 2" xfId="2426" xr:uid="{00000000-0005-0000-0000-000092090000}"/>
    <cellStyle name="쉼표 [0] 4 2 8 2 2" xfId="2427" xr:uid="{00000000-0005-0000-0000-000093090000}"/>
    <cellStyle name="쉼표 [0] 4 2 8 2 2 2" xfId="2428" xr:uid="{00000000-0005-0000-0000-000094090000}"/>
    <cellStyle name="쉼표 [0] 4 2 8 3" xfId="2429" xr:uid="{00000000-0005-0000-0000-000095090000}"/>
    <cellStyle name="쉼표 [0] 4 2 8 4" xfId="2430" xr:uid="{00000000-0005-0000-0000-000096090000}"/>
    <cellStyle name="쉼표 [0] 4 2 8 5" xfId="2431" xr:uid="{00000000-0005-0000-0000-000097090000}"/>
    <cellStyle name="쉼표 [0] 4 2 8 6" xfId="2432" xr:uid="{00000000-0005-0000-0000-000098090000}"/>
    <cellStyle name="쉼표 [0] 4 2 9" xfId="2433" xr:uid="{00000000-0005-0000-0000-000099090000}"/>
    <cellStyle name="쉼표 [0] 4 2 9 2" xfId="2434" xr:uid="{00000000-0005-0000-0000-00009A090000}"/>
    <cellStyle name="쉼표 [0] 4 2 9 2 2" xfId="2435" xr:uid="{00000000-0005-0000-0000-00009B090000}"/>
    <cellStyle name="쉼표 [0] 4 2 9 2 2 2" xfId="2436" xr:uid="{00000000-0005-0000-0000-00009C090000}"/>
    <cellStyle name="쉼표 [0] 4 2 9 3" xfId="2437" xr:uid="{00000000-0005-0000-0000-00009D090000}"/>
    <cellStyle name="쉼표 [0] 4 2 9 4" xfId="2438" xr:uid="{00000000-0005-0000-0000-00009E090000}"/>
    <cellStyle name="쉼표 [0] 4 2 9 5" xfId="2439" xr:uid="{00000000-0005-0000-0000-00009F090000}"/>
    <cellStyle name="쉼표 [0] 4 2 9 6" xfId="2440" xr:uid="{00000000-0005-0000-0000-0000A0090000}"/>
    <cellStyle name="쉼표 [0] 4 20" xfId="2441" xr:uid="{00000000-0005-0000-0000-0000A1090000}"/>
    <cellStyle name="쉼표 [0] 4 21" xfId="2442" xr:uid="{00000000-0005-0000-0000-0000A2090000}"/>
    <cellStyle name="쉼표 [0] 4 22" xfId="2443" xr:uid="{00000000-0005-0000-0000-0000A3090000}"/>
    <cellStyle name="쉼표 [0] 4 23" xfId="2444" xr:uid="{00000000-0005-0000-0000-0000A4090000}"/>
    <cellStyle name="쉼표 [0] 4 24" xfId="2445" xr:uid="{00000000-0005-0000-0000-0000A5090000}"/>
    <cellStyle name="쉼표 [0] 4 25" xfId="2446" xr:uid="{00000000-0005-0000-0000-0000A6090000}"/>
    <cellStyle name="쉼표 [0] 4 26" xfId="2447" xr:uid="{00000000-0005-0000-0000-0000A7090000}"/>
    <cellStyle name="쉼표 [0] 4 27" xfId="2448" xr:uid="{00000000-0005-0000-0000-0000A8090000}"/>
    <cellStyle name="쉼표 [0] 4 28" xfId="2449" xr:uid="{00000000-0005-0000-0000-0000A9090000}"/>
    <cellStyle name="쉼표 [0] 4 29" xfId="2450" xr:uid="{00000000-0005-0000-0000-0000AA090000}"/>
    <cellStyle name="쉼표 [0] 4 3" xfId="2451" xr:uid="{00000000-0005-0000-0000-0000AB090000}"/>
    <cellStyle name="쉼표 [0] 4 3 2" xfId="2452" xr:uid="{00000000-0005-0000-0000-0000AC090000}"/>
    <cellStyle name="쉼표 [0] 4 3 2 2" xfId="2453" xr:uid="{00000000-0005-0000-0000-0000AD090000}"/>
    <cellStyle name="쉼표 [0] 4 3 2 2 2" xfId="2454" xr:uid="{00000000-0005-0000-0000-0000AE090000}"/>
    <cellStyle name="쉼표 [0] 4 3 2 3" xfId="2455" xr:uid="{00000000-0005-0000-0000-0000AF090000}"/>
    <cellStyle name="쉼표 [0] 4 3 3" xfId="2456" xr:uid="{00000000-0005-0000-0000-0000B0090000}"/>
    <cellStyle name="쉼표 [0] 4 3 4" xfId="2457" xr:uid="{00000000-0005-0000-0000-0000B1090000}"/>
    <cellStyle name="쉼표 [0] 4 3 5" xfId="2458" xr:uid="{00000000-0005-0000-0000-0000B2090000}"/>
    <cellStyle name="쉼표 [0] 4 3 6" xfId="2459" xr:uid="{00000000-0005-0000-0000-0000B3090000}"/>
    <cellStyle name="쉼표 [0] 4 3 7" xfId="2460" xr:uid="{00000000-0005-0000-0000-0000B4090000}"/>
    <cellStyle name="쉼표 [0] 4 30" xfId="2461" xr:uid="{00000000-0005-0000-0000-0000B5090000}"/>
    <cellStyle name="쉼표 [0] 4 31" xfId="2462" xr:uid="{00000000-0005-0000-0000-0000B6090000}"/>
    <cellStyle name="쉼표 [0] 4 32" xfId="2463" xr:uid="{00000000-0005-0000-0000-0000B7090000}"/>
    <cellStyle name="쉼표 [0] 4 33" xfId="2464" xr:uid="{00000000-0005-0000-0000-0000B8090000}"/>
    <cellStyle name="쉼표 [0] 4 34" xfId="2465" xr:uid="{00000000-0005-0000-0000-0000B9090000}"/>
    <cellStyle name="쉼표 [0] 4 35" xfId="2466" xr:uid="{00000000-0005-0000-0000-0000BA090000}"/>
    <cellStyle name="쉼표 [0] 4 36" xfId="2467" xr:uid="{00000000-0005-0000-0000-0000BB090000}"/>
    <cellStyle name="쉼표 [0] 4 37" xfId="2468" xr:uid="{00000000-0005-0000-0000-0000BC090000}"/>
    <cellStyle name="쉼표 [0] 4 38" xfId="2469" xr:uid="{00000000-0005-0000-0000-0000BD090000}"/>
    <cellStyle name="쉼표 [0] 4 39" xfId="2470" xr:uid="{00000000-0005-0000-0000-0000BE090000}"/>
    <cellStyle name="쉼표 [0] 4 4" xfId="2471" xr:uid="{00000000-0005-0000-0000-0000BF090000}"/>
    <cellStyle name="쉼표 [0] 4 4 2" xfId="2472" xr:uid="{00000000-0005-0000-0000-0000C0090000}"/>
    <cellStyle name="쉼표 [0] 4 4 2 2" xfId="2473" xr:uid="{00000000-0005-0000-0000-0000C1090000}"/>
    <cellStyle name="쉼표 [0] 4 4 2 2 2" xfId="2474" xr:uid="{00000000-0005-0000-0000-0000C2090000}"/>
    <cellStyle name="쉼표 [0] 4 4 2 3" xfId="2475" xr:uid="{00000000-0005-0000-0000-0000C3090000}"/>
    <cellStyle name="쉼표 [0] 4 4 3" xfId="2476" xr:uid="{00000000-0005-0000-0000-0000C4090000}"/>
    <cellStyle name="쉼표 [0] 4 4 4" xfId="2477" xr:uid="{00000000-0005-0000-0000-0000C5090000}"/>
    <cellStyle name="쉼표 [0] 4 4 5" xfId="2478" xr:uid="{00000000-0005-0000-0000-0000C6090000}"/>
    <cellStyle name="쉼표 [0] 4 4 6" xfId="2479" xr:uid="{00000000-0005-0000-0000-0000C7090000}"/>
    <cellStyle name="쉼표 [0] 4 4 7" xfId="2480" xr:uid="{00000000-0005-0000-0000-0000C8090000}"/>
    <cellStyle name="쉼표 [0] 4 40" xfId="2481" xr:uid="{00000000-0005-0000-0000-0000C9090000}"/>
    <cellStyle name="쉼표 [0] 4 41" xfId="2482" xr:uid="{00000000-0005-0000-0000-0000CA090000}"/>
    <cellStyle name="쉼표 [0] 4 42" xfId="2483" xr:uid="{00000000-0005-0000-0000-0000CB090000}"/>
    <cellStyle name="쉼표 [0] 4 43" xfId="2484" xr:uid="{00000000-0005-0000-0000-0000CC090000}"/>
    <cellStyle name="쉼표 [0] 4 44" xfId="2485" xr:uid="{00000000-0005-0000-0000-0000CD090000}"/>
    <cellStyle name="쉼표 [0] 4 45" xfId="2486" xr:uid="{00000000-0005-0000-0000-0000CE090000}"/>
    <cellStyle name="쉼표 [0] 4 46" xfId="2487" xr:uid="{00000000-0005-0000-0000-0000CF090000}"/>
    <cellStyle name="쉼표 [0] 4 47" xfId="2488" xr:uid="{00000000-0005-0000-0000-0000D0090000}"/>
    <cellStyle name="쉼표 [0] 4 48" xfId="2489" xr:uid="{00000000-0005-0000-0000-0000D1090000}"/>
    <cellStyle name="쉼표 [0] 4 49" xfId="2490" xr:uid="{00000000-0005-0000-0000-0000D2090000}"/>
    <cellStyle name="쉼표 [0] 4 5" xfId="2491" xr:uid="{00000000-0005-0000-0000-0000D3090000}"/>
    <cellStyle name="쉼표 [0] 4 5 2" xfId="2492" xr:uid="{00000000-0005-0000-0000-0000D4090000}"/>
    <cellStyle name="쉼표 [0] 4 5 2 2" xfId="2493" xr:uid="{00000000-0005-0000-0000-0000D5090000}"/>
    <cellStyle name="쉼표 [0] 4 5 2 2 2" xfId="2494" xr:uid="{00000000-0005-0000-0000-0000D6090000}"/>
    <cellStyle name="쉼표 [0] 4 5 2 3" xfId="2495" xr:uid="{00000000-0005-0000-0000-0000D7090000}"/>
    <cellStyle name="쉼표 [0] 4 5 3" xfId="2496" xr:uid="{00000000-0005-0000-0000-0000D8090000}"/>
    <cellStyle name="쉼표 [0] 4 5 4" xfId="2497" xr:uid="{00000000-0005-0000-0000-0000D9090000}"/>
    <cellStyle name="쉼표 [0] 4 5 5" xfId="2498" xr:uid="{00000000-0005-0000-0000-0000DA090000}"/>
    <cellStyle name="쉼표 [0] 4 5 6" xfId="2499" xr:uid="{00000000-0005-0000-0000-0000DB090000}"/>
    <cellStyle name="쉼표 [0] 4 5 7" xfId="2500" xr:uid="{00000000-0005-0000-0000-0000DC090000}"/>
    <cellStyle name="쉼표 [0] 4 50" xfId="2501" xr:uid="{00000000-0005-0000-0000-0000DD090000}"/>
    <cellStyle name="쉼표 [0] 4 6" xfId="2502" xr:uid="{00000000-0005-0000-0000-0000DE090000}"/>
    <cellStyle name="쉼표 [0] 4 6 2" xfId="2503" xr:uid="{00000000-0005-0000-0000-0000DF090000}"/>
    <cellStyle name="쉼표 [0] 4 6 2 2" xfId="2504" xr:uid="{00000000-0005-0000-0000-0000E0090000}"/>
    <cellStyle name="쉼표 [0] 4 6 2 2 2" xfId="2505" xr:uid="{00000000-0005-0000-0000-0000E1090000}"/>
    <cellStyle name="쉼표 [0] 4 6 2 3" xfId="2506" xr:uid="{00000000-0005-0000-0000-0000E2090000}"/>
    <cellStyle name="쉼표 [0] 4 6 3" xfId="2507" xr:uid="{00000000-0005-0000-0000-0000E3090000}"/>
    <cellStyle name="쉼표 [0] 4 6 4" xfId="2508" xr:uid="{00000000-0005-0000-0000-0000E4090000}"/>
    <cellStyle name="쉼표 [0] 4 6 5" xfId="2509" xr:uid="{00000000-0005-0000-0000-0000E5090000}"/>
    <cellStyle name="쉼표 [0] 4 6 6" xfId="2510" xr:uid="{00000000-0005-0000-0000-0000E6090000}"/>
    <cellStyle name="쉼표 [0] 4 6 7" xfId="2511" xr:uid="{00000000-0005-0000-0000-0000E7090000}"/>
    <cellStyle name="쉼표 [0] 4 7" xfId="2512" xr:uid="{00000000-0005-0000-0000-0000E8090000}"/>
    <cellStyle name="쉼표 [0] 4 7 2" xfId="2513" xr:uid="{00000000-0005-0000-0000-0000E9090000}"/>
    <cellStyle name="쉼표 [0] 4 7 2 2" xfId="2514" xr:uid="{00000000-0005-0000-0000-0000EA090000}"/>
    <cellStyle name="쉼표 [0] 4 7 2 3" xfId="2515" xr:uid="{00000000-0005-0000-0000-0000EB090000}"/>
    <cellStyle name="쉼표 [0] 4 7 2 4" xfId="2516" xr:uid="{00000000-0005-0000-0000-0000EC090000}"/>
    <cellStyle name="쉼표 [0] 4 7 2 5" xfId="2517" xr:uid="{00000000-0005-0000-0000-0000ED090000}"/>
    <cellStyle name="쉼표 [0] 4 7 2 6" xfId="2518" xr:uid="{00000000-0005-0000-0000-0000EE090000}"/>
    <cellStyle name="쉼표 [0] 4 7 2 7" xfId="2519" xr:uid="{00000000-0005-0000-0000-0000EF090000}"/>
    <cellStyle name="쉼표 [0] 4 7 2 8" xfId="2520" xr:uid="{00000000-0005-0000-0000-0000F0090000}"/>
    <cellStyle name="쉼표 [0] 4 7 2 9" xfId="2521" xr:uid="{00000000-0005-0000-0000-0000F1090000}"/>
    <cellStyle name="쉼표 [0] 4 7 3" xfId="2522" xr:uid="{00000000-0005-0000-0000-0000F2090000}"/>
    <cellStyle name="쉼표 [0] 4 7 3 2" xfId="2523" xr:uid="{00000000-0005-0000-0000-0000F3090000}"/>
    <cellStyle name="쉼표 [0] 4 7 3 3" xfId="2524" xr:uid="{00000000-0005-0000-0000-0000F4090000}"/>
    <cellStyle name="쉼표 [0] 4 7 3 4" xfId="2525" xr:uid="{00000000-0005-0000-0000-0000F5090000}"/>
    <cellStyle name="쉼표 [0] 4 7 3 5" xfId="2526" xr:uid="{00000000-0005-0000-0000-0000F6090000}"/>
    <cellStyle name="쉼표 [0] 4 7 3 5 2" xfId="2527" xr:uid="{00000000-0005-0000-0000-0000F7090000}"/>
    <cellStyle name="쉼표 [0] 4 7 3 6" xfId="2528" xr:uid="{00000000-0005-0000-0000-0000F8090000}"/>
    <cellStyle name="쉼표 [0] 4 7 4" xfId="2529" xr:uid="{00000000-0005-0000-0000-0000F9090000}"/>
    <cellStyle name="쉼표 [0] 4 7 4 2" xfId="2530" xr:uid="{00000000-0005-0000-0000-0000FA090000}"/>
    <cellStyle name="쉼표 [0] 4 7 4 3" xfId="2531" xr:uid="{00000000-0005-0000-0000-0000FB090000}"/>
    <cellStyle name="쉼표 [0] 4 7 4 4" xfId="2532" xr:uid="{00000000-0005-0000-0000-0000FC090000}"/>
    <cellStyle name="쉼표 [0] 4 7 4 5" xfId="2533" xr:uid="{00000000-0005-0000-0000-0000FD090000}"/>
    <cellStyle name="쉼표 [0] 4 7 5" xfId="2534" xr:uid="{00000000-0005-0000-0000-0000FE090000}"/>
    <cellStyle name="쉼표 [0] 4 8" xfId="2535" xr:uid="{00000000-0005-0000-0000-0000FF090000}"/>
    <cellStyle name="쉼표 [0] 4 9" xfId="2536" xr:uid="{00000000-0005-0000-0000-0000000A0000}"/>
    <cellStyle name="쉼표 [0] 40" xfId="3121" xr:uid="{00000000-0005-0000-0000-0000010A0000}"/>
    <cellStyle name="쉼표 [0] 41" xfId="3125" xr:uid="{00000000-0005-0000-0000-0000020A0000}"/>
    <cellStyle name="쉼표 [0] 42" xfId="3145" xr:uid="{00000000-0005-0000-0000-0000030A0000}"/>
    <cellStyle name="쉼표 [0] 43" xfId="3175" xr:uid="{00000000-0005-0000-0000-0000040A0000}"/>
    <cellStyle name="쉼표 [0] 44" xfId="3184" xr:uid="{00000000-0005-0000-0000-0000050A0000}"/>
    <cellStyle name="쉼표 [0] 45" xfId="3197" xr:uid="{00000000-0005-0000-0000-0000060A0000}"/>
    <cellStyle name="쉼표 [0] 46" xfId="3216" xr:uid="{00000000-0005-0000-0000-0000070A0000}"/>
    <cellStyle name="쉼표 [0] 46 2" xfId="3276" xr:uid="{00000000-0005-0000-0000-0000080A0000}"/>
    <cellStyle name="쉼표 [0] 46 2 2" xfId="3388" xr:uid="{00000000-0005-0000-0000-0000090A0000}"/>
    <cellStyle name="쉼표 [0] 46 2 2 2" xfId="3717" xr:uid="{00000000-0005-0000-0000-00000A0A0000}"/>
    <cellStyle name="쉼표 [0] 46 2 3" xfId="3497" xr:uid="{00000000-0005-0000-0000-00000B0A0000}"/>
    <cellStyle name="쉼표 [0] 46 2 3 2" xfId="3826" xr:uid="{00000000-0005-0000-0000-00000C0A0000}"/>
    <cellStyle name="쉼표 [0] 46 2 4" xfId="3609" xr:uid="{00000000-0005-0000-0000-00000D0A0000}"/>
    <cellStyle name="쉼표 [0] 46 3" xfId="3334" xr:uid="{00000000-0005-0000-0000-00000E0A0000}"/>
    <cellStyle name="쉼표 [0] 46 3 2" xfId="3663" xr:uid="{00000000-0005-0000-0000-00000F0A0000}"/>
    <cellStyle name="쉼표 [0] 46 4" xfId="3443" xr:uid="{00000000-0005-0000-0000-0000100A0000}"/>
    <cellStyle name="쉼표 [0] 46 4 2" xfId="3772" xr:uid="{00000000-0005-0000-0000-0000110A0000}"/>
    <cellStyle name="쉼표 [0] 46 5" xfId="3555" xr:uid="{00000000-0005-0000-0000-0000120A0000}"/>
    <cellStyle name="쉼표 [0] 47" xfId="3240" xr:uid="{00000000-0005-0000-0000-0000130A0000}"/>
    <cellStyle name="쉼표 [0] 48" xfId="3298" xr:uid="{00000000-0005-0000-0000-0000140A0000}"/>
    <cellStyle name="쉼표 [0] 49" xfId="3519" xr:uid="{00000000-0005-0000-0000-0000150A0000}"/>
    <cellStyle name="쉼표 [0] 5" xfId="2537" xr:uid="{00000000-0005-0000-0000-0000160A0000}"/>
    <cellStyle name="쉼표 [0] 5 10" xfId="2538" xr:uid="{00000000-0005-0000-0000-0000170A0000}"/>
    <cellStyle name="쉼표 [0] 5 11" xfId="2539" xr:uid="{00000000-0005-0000-0000-0000180A0000}"/>
    <cellStyle name="쉼표 [0] 5 12" xfId="2540" xr:uid="{00000000-0005-0000-0000-0000190A0000}"/>
    <cellStyle name="쉼표 [0] 5 13" xfId="2541" xr:uid="{00000000-0005-0000-0000-00001A0A0000}"/>
    <cellStyle name="쉼표 [0] 5 2" xfId="2542" xr:uid="{00000000-0005-0000-0000-00001B0A0000}"/>
    <cellStyle name="쉼표 [0] 5 2 2" xfId="2543" xr:uid="{00000000-0005-0000-0000-00001C0A0000}"/>
    <cellStyle name="쉼표 [0] 5 2 2 2" xfId="2544" xr:uid="{00000000-0005-0000-0000-00001D0A0000}"/>
    <cellStyle name="쉼표 [0] 5 2 2 2 2" xfId="2545" xr:uid="{00000000-0005-0000-0000-00001E0A0000}"/>
    <cellStyle name="쉼표 [0] 5 2 2 3" xfId="2546" xr:uid="{00000000-0005-0000-0000-00001F0A0000}"/>
    <cellStyle name="쉼표 [0] 5 2 3" xfId="2547" xr:uid="{00000000-0005-0000-0000-0000200A0000}"/>
    <cellStyle name="쉼표 [0] 5 2 4" xfId="2548" xr:uid="{00000000-0005-0000-0000-0000210A0000}"/>
    <cellStyle name="쉼표 [0] 5 2 5" xfId="2549" xr:uid="{00000000-0005-0000-0000-0000220A0000}"/>
    <cellStyle name="쉼표 [0] 5 2 6" xfId="2550" xr:uid="{00000000-0005-0000-0000-0000230A0000}"/>
    <cellStyle name="쉼표 [0] 5 2 7" xfId="2551" xr:uid="{00000000-0005-0000-0000-0000240A0000}"/>
    <cellStyle name="쉼표 [0] 5 3" xfId="2552" xr:uid="{00000000-0005-0000-0000-0000250A0000}"/>
    <cellStyle name="쉼표 [0] 5 4" xfId="2553" xr:uid="{00000000-0005-0000-0000-0000260A0000}"/>
    <cellStyle name="쉼표 [0] 5 5" xfId="2554" xr:uid="{00000000-0005-0000-0000-0000270A0000}"/>
    <cellStyle name="쉼표 [0] 5 6" xfId="2555" xr:uid="{00000000-0005-0000-0000-0000280A0000}"/>
    <cellStyle name="쉼표 [0] 5 7" xfId="2556" xr:uid="{00000000-0005-0000-0000-0000290A0000}"/>
    <cellStyle name="쉼표 [0] 5 8" xfId="2557" xr:uid="{00000000-0005-0000-0000-00002A0A0000}"/>
    <cellStyle name="쉼표 [0] 5 9" xfId="2558" xr:uid="{00000000-0005-0000-0000-00002B0A0000}"/>
    <cellStyle name="쉼표 [0] 50" xfId="1132" xr:uid="{00000000-0005-0000-0000-00002C0A0000}"/>
    <cellStyle name="쉼표 [0] 6" xfId="2559" xr:uid="{00000000-0005-0000-0000-00002D0A0000}"/>
    <cellStyle name="쉼표 [0] 6 10" xfId="2560" xr:uid="{00000000-0005-0000-0000-00002E0A0000}"/>
    <cellStyle name="쉼표 [0] 6 11" xfId="2561" xr:uid="{00000000-0005-0000-0000-00002F0A0000}"/>
    <cellStyle name="쉼표 [0] 6 12" xfId="2562" xr:uid="{00000000-0005-0000-0000-0000300A0000}"/>
    <cellStyle name="쉼표 [0] 6 13" xfId="2563" xr:uid="{00000000-0005-0000-0000-0000310A0000}"/>
    <cellStyle name="쉼표 [0] 6 14" xfId="2564" xr:uid="{00000000-0005-0000-0000-0000320A0000}"/>
    <cellStyle name="쉼표 [0] 6 2" xfId="2565" xr:uid="{00000000-0005-0000-0000-0000330A0000}"/>
    <cellStyle name="쉼표 [0] 6 2 2" xfId="2566" xr:uid="{00000000-0005-0000-0000-0000340A0000}"/>
    <cellStyle name="쉼표 [0] 6 2 2 2" xfId="2567" xr:uid="{00000000-0005-0000-0000-0000350A0000}"/>
    <cellStyle name="쉼표 [0] 6 2 2 2 2" xfId="2568" xr:uid="{00000000-0005-0000-0000-0000360A0000}"/>
    <cellStyle name="쉼표 [0] 6 2 2 3" xfId="2569" xr:uid="{00000000-0005-0000-0000-0000370A0000}"/>
    <cellStyle name="쉼표 [0] 6 2 3" xfId="2570" xr:uid="{00000000-0005-0000-0000-0000380A0000}"/>
    <cellStyle name="쉼표 [0] 6 2 4" xfId="2571" xr:uid="{00000000-0005-0000-0000-0000390A0000}"/>
    <cellStyle name="쉼표 [0] 6 2 5" xfId="2572" xr:uid="{00000000-0005-0000-0000-00003A0A0000}"/>
    <cellStyle name="쉼표 [0] 6 2 6" xfId="2573" xr:uid="{00000000-0005-0000-0000-00003B0A0000}"/>
    <cellStyle name="쉼표 [0] 6 2 7" xfId="2574" xr:uid="{00000000-0005-0000-0000-00003C0A0000}"/>
    <cellStyle name="쉼표 [0] 6 3" xfId="2575" xr:uid="{00000000-0005-0000-0000-00003D0A0000}"/>
    <cellStyle name="쉼표 [0] 6 3 2" xfId="2576" xr:uid="{00000000-0005-0000-0000-00003E0A0000}"/>
    <cellStyle name="쉼표 [0] 6 3 2 2" xfId="2577" xr:uid="{00000000-0005-0000-0000-00003F0A0000}"/>
    <cellStyle name="쉼표 [0] 6 3 2 2 2" xfId="2578" xr:uid="{00000000-0005-0000-0000-0000400A0000}"/>
    <cellStyle name="쉼표 [0] 6 3 2 3" xfId="2579" xr:uid="{00000000-0005-0000-0000-0000410A0000}"/>
    <cellStyle name="쉼표 [0] 6 3 3" xfId="2580" xr:uid="{00000000-0005-0000-0000-0000420A0000}"/>
    <cellStyle name="쉼표 [0] 6 3 4" xfId="2581" xr:uid="{00000000-0005-0000-0000-0000430A0000}"/>
    <cellStyle name="쉼표 [0] 6 3 5" xfId="2582" xr:uid="{00000000-0005-0000-0000-0000440A0000}"/>
    <cellStyle name="쉼표 [0] 6 3 6" xfId="2583" xr:uid="{00000000-0005-0000-0000-0000450A0000}"/>
    <cellStyle name="쉼표 [0] 6 3 7" xfId="2584" xr:uid="{00000000-0005-0000-0000-0000460A0000}"/>
    <cellStyle name="쉼표 [0] 6 4" xfId="2585" xr:uid="{00000000-0005-0000-0000-0000470A0000}"/>
    <cellStyle name="쉼표 [0] 6 5" xfId="2586" xr:uid="{00000000-0005-0000-0000-0000480A0000}"/>
    <cellStyle name="쉼표 [0] 6 6" xfId="2587" xr:uid="{00000000-0005-0000-0000-0000490A0000}"/>
    <cellStyle name="쉼표 [0] 6 7" xfId="2588" xr:uid="{00000000-0005-0000-0000-00004A0A0000}"/>
    <cellStyle name="쉼표 [0] 6 8" xfId="2589" xr:uid="{00000000-0005-0000-0000-00004B0A0000}"/>
    <cellStyle name="쉼표 [0] 6 9" xfId="2590" xr:uid="{00000000-0005-0000-0000-00004C0A0000}"/>
    <cellStyle name="쉼표 [0] 7" xfId="2591" xr:uid="{00000000-0005-0000-0000-00004D0A0000}"/>
    <cellStyle name="쉼표 [0] 7 10" xfId="2592" xr:uid="{00000000-0005-0000-0000-00004E0A0000}"/>
    <cellStyle name="쉼표 [0] 7 11" xfId="2593" xr:uid="{00000000-0005-0000-0000-00004F0A0000}"/>
    <cellStyle name="쉼표 [0] 7 12" xfId="2594" xr:uid="{00000000-0005-0000-0000-0000500A0000}"/>
    <cellStyle name="쉼표 [0] 7 2" xfId="2595" xr:uid="{00000000-0005-0000-0000-0000510A0000}"/>
    <cellStyle name="쉼표 [0] 7 3" xfId="2596" xr:uid="{00000000-0005-0000-0000-0000520A0000}"/>
    <cellStyle name="쉼표 [0] 7 4" xfId="2597" xr:uid="{00000000-0005-0000-0000-0000530A0000}"/>
    <cellStyle name="쉼표 [0] 7 5" xfId="2598" xr:uid="{00000000-0005-0000-0000-0000540A0000}"/>
    <cellStyle name="쉼표 [0] 7 6" xfId="2599" xr:uid="{00000000-0005-0000-0000-0000550A0000}"/>
    <cellStyle name="쉼표 [0] 7 7" xfId="2600" xr:uid="{00000000-0005-0000-0000-0000560A0000}"/>
    <cellStyle name="쉼표 [0] 7 8" xfId="2601" xr:uid="{00000000-0005-0000-0000-0000570A0000}"/>
    <cellStyle name="쉼표 [0] 7 9" xfId="2602" xr:uid="{00000000-0005-0000-0000-0000580A0000}"/>
    <cellStyle name="쉼표 [0] 8" xfId="2603" xr:uid="{00000000-0005-0000-0000-0000590A0000}"/>
    <cellStyle name="쉼표 [0] 8 10" xfId="2604" xr:uid="{00000000-0005-0000-0000-00005A0A0000}"/>
    <cellStyle name="쉼표 [0] 8 11" xfId="2605" xr:uid="{00000000-0005-0000-0000-00005B0A0000}"/>
    <cellStyle name="쉼표 [0] 8 12" xfId="2606" xr:uid="{00000000-0005-0000-0000-00005C0A0000}"/>
    <cellStyle name="쉼표 [0] 8 2" xfId="2607" xr:uid="{00000000-0005-0000-0000-00005D0A0000}"/>
    <cellStyle name="쉼표 [0] 8 3" xfId="2608" xr:uid="{00000000-0005-0000-0000-00005E0A0000}"/>
    <cellStyle name="쉼표 [0] 8 4" xfId="2609" xr:uid="{00000000-0005-0000-0000-00005F0A0000}"/>
    <cellStyle name="쉼표 [0] 8 5" xfId="2610" xr:uid="{00000000-0005-0000-0000-0000600A0000}"/>
    <cellStyle name="쉼표 [0] 8 6" xfId="2611" xr:uid="{00000000-0005-0000-0000-0000610A0000}"/>
    <cellStyle name="쉼표 [0] 8 7" xfId="2612" xr:uid="{00000000-0005-0000-0000-0000620A0000}"/>
    <cellStyle name="쉼표 [0] 8 8" xfId="2613" xr:uid="{00000000-0005-0000-0000-0000630A0000}"/>
    <cellStyle name="쉼표 [0] 8 9" xfId="2614" xr:uid="{00000000-0005-0000-0000-0000640A0000}"/>
    <cellStyle name="쉼표 [0] 9" xfId="2615" xr:uid="{00000000-0005-0000-0000-0000650A0000}"/>
    <cellStyle name="쉼표 [0] 9 10" xfId="2616" xr:uid="{00000000-0005-0000-0000-0000660A0000}"/>
    <cellStyle name="쉼표 [0] 9 11" xfId="2617" xr:uid="{00000000-0005-0000-0000-0000670A0000}"/>
    <cellStyle name="쉼표 [0] 9 12" xfId="2618" xr:uid="{00000000-0005-0000-0000-0000680A0000}"/>
    <cellStyle name="쉼표 [0] 9 2" xfId="2619" xr:uid="{00000000-0005-0000-0000-0000690A0000}"/>
    <cellStyle name="쉼표 [0] 9 3" xfId="2620" xr:uid="{00000000-0005-0000-0000-00006A0A0000}"/>
    <cellStyle name="쉼표 [0] 9 4" xfId="2621" xr:uid="{00000000-0005-0000-0000-00006B0A0000}"/>
    <cellStyle name="쉼표 [0] 9 5" xfId="2622" xr:uid="{00000000-0005-0000-0000-00006C0A0000}"/>
    <cellStyle name="쉼표 [0] 9 6" xfId="2623" xr:uid="{00000000-0005-0000-0000-00006D0A0000}"/>
    <cellStyle name="쉼표 [0] 9 7" xfId="2624" xr:uid="{00000000-0005-0000-0000-00006E0A0000}"/>
    <cellStyle name="쉼표 [0] 9 8" xfId="2625" xr:uid="{00000000-0005-0000-0000-00006F0A0000}"/>
    <cellStyle name="쉼표 [0] 9 9" xfId="2626" xr:uid="{00000000-0005-0000-0000-0000700A0000}"/>
    <cellStyle name="스타일 1" xfId="2627" xr:uid="{00000000-0005-0000-0000-0000710A0000}"/>
    <cellStyle name="스타일 1 2" xfId="3147" xr:uid="{00000000-0005-0000-0000-0000720A0000}"/>
    <cellStyle name="스타일 10" xfId="3148" xr:uid="{00000000-0005-0000-0000-0000730A0000}"/>
    <cellStyle name="스타일 11" xfId="3149" xr:uid="{00000000-0005-0000-0000-0000740A0000}"/>
    <cellStyle name="스타일 12" xfId="3150" xr:uid="{00000000-0005-0000-0000-0000750A0000}"/>
    <cellStyle name="스타일 13" xfId="3151" xr:uid="{00000000-0005-0000-0000-0000760A0000}"/>
    <cellStyle name="스타일 14" xfId="3152" xr:uid="{00000000-0005-0000-0000-0000770A0000}"/>
    <cellStyle name="스타일 15" xfId="3153" xr:uid="{00000000-0005-0000-0000-0000780A0000}"/>
    <cellStyle name="스타일 16" xfId="3154" xr:uid="{00000000-0005-0000-0000-0000790A0000}"/>
    <cellStyle name="스타일 17" xfId="3155" xr:uid="{00000000-0005-0000-0000-00007A0A0000}"/>
    <cellStyle name="스타일 18" xfId="3156" xr:uid="{00000000-0005-0000-0000-00007B0A0000}"/>
    <cellStyle name="스타일 19" xfId="3157" xr:uid="{00000000-0005-0000-0000-00007C0A0000}"/>
    <cellStyle name="스타일 2" xfId="3158" xr:uid="{00000000-0005-0000-0000-00007D0A0000}"/>
    <cellStyle name="스타일 20" xfId="3159" xr:uid="{00000000-0005-0000-0000-00007E0A0000}"/>
    <cellStyle name="스타일 21" xfId="3160" xr:uid="{00000000-0005-0000-0000-00007F0A0000}"/>
    <cellStyle name="스타일 3" xfId="3161" xr:uid="{00000000-0005-0000-0000-0000800A0000}"/>
    <cellStyle name="스타일 4" xfId="3162" xr:uid="{00000000-0005-0000-0000-0000810A0000}"/>
    <cellStyle name="스타일 5" xfId="3163" xr:uid="{00000000-0005-0000-0000-0000820A0000}"/>
    <cellStyle name="스타일 6" xfId="3164" xr:uid="{00000000-0005-0000-0000-0000830A0000}"/>
    <cellStyle name="스타일 7" xfId="3165" xr:uid="{00000000-0005-0000-0000-0000840A0000}"/>
    <cellStyle name="스타일 8" xfId="3166" xr:uid="{00000000-0005-0000-0000-0000850A0000}"/>
    <cellStyle name="스타일 9" xfId="3167" xr:uid="{00000000-0005-0000-0000-0000860A0000}"/>
    <cellStyle name="연결된 셀 2" xfId="2628" xr:uid="{00000000-0005-0000-0000-0000870A0000}"/>
    <cellStyle name="요약 2" xfId="2629" xr:uid="{00000000-0005-0000-0000-0000880A0000}"/>
    <cellStyle name="입력 2" xfId="2630" xr:uid="{00000000-0005-0000-0000-0000890A0000}"/>
    <cellStyle name="제목 1 2" xfId="2631" xr:uid="{00000000-0005-0000-0000-00008A0A0000}"/>
    <cellStyle name="제목 2 2" xfId="2632" xr:uid="{00000000-0005-0000-0000-00008B0A0000}"/>
    <cellStyle name="제목 3 2" xfId="2633" xr:uid="{00000000-0005-0000-0000-00008C0A0000}"/>
    <cellStyle name="제목 4 2" xfId="2634" xr:uid="{00000000-0005-0000-0000-00008D0A0000}"/>
    <cellStyle name="제목 5" xfId="2635" xr:uid="{00000000-0005-0000-0000-00008E0A0000}"/>
    <cellStyle name="좋음 2" xfId="2636" xr:uid="{00000000-0005-0000-0000-00008F0A0000}"/>
    <cellStyle name="출력 2" xfId="2637" xr:uid="{00000000-0005-0000-0000-0000900A0000}"/>
    <cellStyle name="콤마 [0]_1" xfId="2638" xr:uid="{00000000-0005-0000-0000-0000910A0000}"/>
    <cellStyle name="콤마_1" xfId="2639" xr:uid="{00000000-0005-0000-0000-0000920A0000}"/>
    <cellStyle name="통화 [0]" xfId="7" builtinId="7"/>
    <cellStyle name="통화 [0] 10" xfId="2641" xr:uid="{00000000-0005-0000-0000-0000940A0000}"/>
    <cellStyle name="통화 [0] 11" xfId="2642" xr:uid="{00000000-0005-0000-0000-0000950A0000}"/>
    <cellStyle name="통화 [0] 12" xfId="3118" xr:uid="{00000000-0005-0000-0000-0000960A0000}"/>
    <cellStyle name="통화 [0] 12 2" xfId="2643" xr:uid="{00000000-0005-0000-0000-0000970A0000}"/>
    <cellStyle name="통화 [0] 13" xfId="3126" xr:uid="{00000000-0005-0000-0000-0000980A0000}"/>
    <cellStyle name="통화 [0] 14" xfId="3176" xr:uid="{00000000-0005-0000-0000-0000990A0000}"/>
    <cellStyle name="통화 [0] 15" xfId="3185" xr:uid="{00000000-0005-0000-0000-00009A0A0000}"/>
    <cellStyle name="통화 [0] 16" xfId="3198" xr:uid="{00000000-0005-0000-0000-00009B0A0000}"/>
    <cellStyle name="통화 [0] 17" xfId="3217" xr:uid="{00000000-0005-0000-0000-00009C0A0000}"/>
    <cellStyle name="통화 [0] 17 2" xfId="3277" xr:uid="{00000000-0005-0000-0000-00009D0A0000}"/>
    <cellStyle name="통화 [0] 17 2 2" xfId="3389" xr:uid="{00000000-0005-0000-0000-00009E0A0000}"/>
    <cellStyle name="통화 [0] 17 2 2 2" xfId="3718" xr:uid="{00000000-0005-0000-0000-00009F0A0000}"/>
    <cellStyle name="통화 [0] 17 2 3" xfId="3498" xr:uid="{00000000-0005-0000-0000-0000A00A0000}"/>
    <cellStyle name="통화 [0] 17 2 3 2" xfId="3827" xr:uid="{00000000-0005-0000-0000-0000A10A0000}"/>
    <cellStyle name="통화 [0] 17 2 4" xfId="3610" xr:uid="{00000000-0005-0000-0000-0000A20A0000}"/>
    <cellStyle name="통화 [0] 17 3" xfId="3335" xr:uid="{00000000-0005-0000-0000-0000A30A0000}"/>
    <cellStyle name="통화 [0] 17 3 2" xfId="3664" xr:uid="{00000000-0005-0000-0000-0000A40A0000}"/>
    <cellStyle name="통화 [0] 17 4" xfId="3444" xr:uid="{00000000-0005-0000-0000-0000A50A0000}"/>
    <cellStyle name="통화 [0] 17 4 2" xfId="3773" xr:uid="{00000000-0005-0000-0000-0000A60A0000}"/>
    <cellStyle name="통화 [0] 17 5" xfId="3556" xr:uid="{00000000-0005-0000-0000-0000A70A0000}"/>
    <cellStyle name="통화 [0] 18" xfId="3241" xr:uid="{00000000-0005-0000-0000-0000A80A0000}"/>
    <cellStyle name="통화 [0] 19" xfId="3299" xr:uid="{00000000-0005-0000-0000-0000A90A0000}"/>
    <cellStyle name="통화 [0] 2" xfId="2644" xr:uid="{00000000-0005-0000-0000-0000AA0A0000}"/>
    <cellStyle name="통화 [0] 2 10" xfId="2645" xr:uid="{00000000-0005-0000-0000-0000AB0A0000}"/>
    <cellStyle name="통화 [0] 2 10 2" xfId="2646" xr:uid="{00000000-0005-0000-0000-0000AC0A0000}"/>
    <cellStyle name="통화 [0] 2 10 3" xfId="2647" xr:uid="{00000000-0005-0000-0000-0000AD0A0000}"/>
    <cellStyle name="통화 [0] 2 11" xfId="2648" xr:uid="{00000000-0005-0000-0000-0000AE0A0000}"/>
    <cellStyle name="통화 [0] 2 11 2" xfId="2649" xr:uid="{00000000-0005-0000-0000-0000AF0A0000}"/>
    <cellStyle name="통화 [0] 2 11 3" xfId="2650" xr:uid="{00000000-0005-0000-0000-0000B00A0000}"/>
    <cellStyle name="통화 [0] 2 12" xfId="2651" xr:uid="{00000000-0005-0000-0000-0000B10A0000}"/>
    <cellStyle name="통화 [0] 2 12 2" xfId="2652" xr:uid="{00000000-0005-0000-0000-0000B20A0000}"/>
    <cellStyle name="통화 [0] 2 12 3" xfId="2653" xr:uid="{00000000-0005-0000-0000-0000B30A0000}"/>
    <cellStyle name="통화 [0] 2 13" xfId="2654" xr:uid="{00000000-0005-0000-0000-0000B40A0000}"/>
    <cellStyle name="통화 [0] 2 13 2" xfId="2655" xr:uid="{00000000-0005-0000-0000-0000B50A0000}"/>
    <cellStyle name="통화 [0] 2 13 3" xfId="2656" xr:uid="{00000000-0005-0000-0000-0000B60A0000}"/>
    <cellStyle name="통화 [0] 2 14" xfId="2657" xr:uid="{00000000-0005-0000-0000-0000B70A0000}"/>
    <cellStyle name="통화 [0] 2 14 2" xfId="2658" xr:uid="{00000000-0005-0000-0000-0000B80A0000}"/>
    <cellStyle name="통화 [0] 2 14 3" xfId="2659" xr:uid="{00000000-0005-0000-0000-0000B90A0000}"/>
    <cellStyle name="통화 [0] 2 15" xfId="2660" xr:uid="{00000000-0005-0000-0000-0000BA0A0000}"/>
    <cellStyle name="통화 [0] 2 15 2" xfId="2661" xr:uid="{00000000-0005-0000-0000-0000BB0A0000}"/>
    <cellStyle name="통화 [0] 2 15 3" xfId="2662" xr:uid="{00000000-0005-0000-0000-0000BC0A0000}"/>
    <cellStyle name="통화 [0] 2 16" xfId="2663" xr:uid="{00000000-0005-0000-0000-0000BD0A0000}"/>
    <cellStyle name="통화 [0] 2 17" xfId="2664" xr:uid="{00000000-0005-0000-0000-0000BE0A0000}"/>
    <cellStyle name="통화 [0] 2 18" xfId="2665" xr:uid="{00000000-0005-0000-0000-0000BF0A0000}"/>
    <cellStyle name="통화 [0] 2 19" xfId="2666" xr:uid="{00000000-0005-0000-0000-0000C00A0000}"/>
    <cellStyle name="통화 [0] 2 2" xfId="2667" xr:uid="{00000000-0005-0000-0000-0000C10A0000}"/>
    <cellStyle name="통화 [0] 2 2 10" xfId="2668" xr:uid="{00000000-0005-0000-0000-0000C20A0000}"/>
    <cellStyle name="통화 [0] 2 2 2" xfId="2669" xr:uid="{00000000-0005-0000-0000-0000C30A0000}"/>
    <cellStyle name="통화 [0] 2 2 2 2" xfId="2670" xr:uid="{00000000-0005-0000-0000-0000C40A0000}"/>
    <cellStyle name="통화 [0] 2 2 2 2 2" xfId="2671" xr:uid="{00000000-0005-0000-0000-0000C50A0000}"/>
    <cellStyle name="통화 [0] 2 2 2 2 2 2" xfId="2672" xr:uid="{00000000-0005-0000-0000-0000C60A0000}"/>
    <cellStyle name="통화 [0] 2 2 2 2 2 2 2" xfId="2673" xr:uid="{00000000-0005-0000-0000-0000C70A0000}"/>
    <cellStyle name="통화 [0] 2 2 2 2 2 2 2 2" xfId="2674" xr:uid="{00000000-0005-0000-0000-0000C80A0000}"/>
    <cellStyle name="통화 [0] 2 2 2 2 2 2 2 2 2" xfId="2675" xr:uid="{00000000-0005-0000-0000-0000C90A0000}"/>
    <cellStyle name="통화 [0] 2 2 2 2 2 2 2 2 2 2" xfId="2676" xr:uid="{00000000-0005-0000-0000-0000CA0A0000}"/>
    <cellStyle name="통화 [0] 2 2 2 2 2 2 2 2 2 2 2" xfId="2677" xr:uid="{00000000-0005-0000-0000-0000CB0A0000}"/>
    <cellStyle name="통화 [0] 2 2 2 2 2 2 2 2 2 2 2 2" xfId="2678" xr:uid="{00000000-0005-0000-0000-0000CC0A0000}"/>
    <cellStyle name="통화 [0] 2 2 2 2 2 2 2 2 2 2 2 2 2" xfId="2679" xr:uid="{00000000-0005-0000-0000-0000CD0A0000}"/>
    <cellStyle name="통화 [0] 2 2 2 2 2 2 2 2 2 2 3" xfId="2680" xr:uid="{00000000-0005-0000-0000-0000CE0A0000}"/>
    <cellStyle name="통화 [0] 2 2 2 2 2 2 2 2 2 3" xfId="2681" xr:uid="{00000000-0005-0000-0000-0000CF0A0000}"/>
    <cellStyle name="통화 [0] 2 2 2 2 2 2 2 2 3" xfId="2682" xr:uid="{00000000-0005-0000-0000-0000D00A0000}"/>
    <cellStyle name="통화 [0] 2 2 2 2 2 2 2 2 4" xfId="2683" xr:uid="{00000000-0005-0000-0000-0000D10A0000}"/>
    <cellStyle name="통화 [0] 2 2 2 2 2 2 2 3" xfId="2684" xr:uid="{00000000-0005-0000-0000-0000D20A0000}"/>
    <cellStyle name="통화 [0] 2 2 2 2 2 2 2 3 2" xfId="2685" xr:uid="{00000000-0005-0000-0000-0000D30A0000}"/>
    <cellStyle name="통화 [0] 2 2 2 2 2 2 2 4" xfId="2686" xr:uid="{00000000-0005-0000-0000-0000D40A0000}"/>
    <cellStyle name="통화 [0] 2 2 2 2 2 2 3" xfId="2687" xr:uid="{00000000-0005-0000-0000-0000D50A0000}"/>
    <cellStyle name="통화 [0] 2 2 2 2 2 2 4" xfId="2688" xr:uid="{00000000-0005-0000-0000-0000D60A0000}"/>
    <cellStyle name="통화 [0] 2 2 2 2 2 2 5" xfId="2689" xr:uid="{00000000-0005-0000-0000-0000D70A0000}"/>
    <cellStyle name="통화 [0] 2 2 2 2 2 3" xfId="2690" xr:uid="{00000000-0005-0000-0000-0000D80A0000}"/>
    <cellStyle name="통화 [0] 2 2 2 2 2 3 2" xfId="2691" xr:uid="{00000000-0005-0000-0000-0000D90A0000}"/>
    <cellStyle name="통화 [0] 2 2 2 2 2 4" xfId="2692" xr:uid="{00000000-0005-0000-0000-0000DA0A0000}"/>
    <cellStyle name="통화 [0] 2 2 2 2 2 4 2" xfId="2693" xr:uid="{00000000-0005-0000-0000-0000DB0A0000}"/>
    <cellStyle name="통화 [0] 2 2 2 2 2 5" xfId="2694" xr:uid="{00000000-0005-0000-0000-0000DC0A0000}"/>
    <cellStyle name="통화 [0] 2 2 2 2 3" xfId="2695" xr:uid="{00000000-0005-0000-0000-0000DD0A0000}"/>
    <cellStyle name="통화 [0] 2 2 2 2 4" xfId="2696" xr:uid="{00000000-0005-0000-0000-0000DE0A0000}"/>
    <cellStyle name="통화 [0] 2 2 2 2 5" xfId="2697" xr:uid="{00000000-0005-0000-0000-0000DF0A0000}"/>
    <cellStyle name="통화 [0] 2 2 2 2 6" xfId="2698" xr:uid="{00000000-0005-0000-0000-0000E00A0000}"/>
    <cellStyle name="통화 [0] 2 2 2 3" xfId="2699" xr:uid="{00000000-0005-0000-0000-0000E10A0000}"/>
    <cellStyle name="통화 [0] 2 2 2 4" xfId="2700" xr:uid="{00000000-0005-0000-0000-0000E20A0000}"/>
    <cellStyle name="통화 [0] 2 2 2 5" xfId="2701" xr:uid="{00000000-0005-0000-0000-0000E30A0000}"/>
    <cellStyle name="통화 [0] 2 2 2 6" xfId="2702" xr:uid="{00000000-0005-0000-0000-0000E40A0000}"/>
    <cellStyle name="통화 [0] 2 2 3" xfId="2703" xr:uid="{00000000-0005-0000-0000-0000E50A0000}"/>
    <cellStyle name="통화 [0] 2 2 4" xfId="2704" xr:uid="{00000000-0005-0000-0000-0000E60A0000}"/>
    <cellStyle name="통화 [0] 2 2 5" xfId="2705" xr:uid="{00000000-0005-0000-0000-0000E70A0000}"/>
    <cellStyle name="통화 [0] 2 2 5 2" xfId="2706" xr:uid="{00000000-0005-0000-0000-0000E80A0000}"/>
    <cellStyle name="통화 [0] 2 2 5 3" xfId="2707" xr:uid="{00000000-0005-0000-0000-0000E90A0000}"/>
    <cellStyle name="통화 [0] 2 2 5 3 2" xfId="2708" xr:uid="{00000000-0005-0000-0000-0000EA0A0000}"/>
    <cellStyle name="통화 [0] 2 2 5 4" xfId="2709" xr:uid="{00000000-0005-0000-0000-0000EB0A0000}"/>
    <cellStyle name="통화 [0] 2 2 6" xfId="2710" xr:uid="{00000000-0005-0000-0000-0000EC0A0000}"/>
    <cellStyle name="통화 [0] 2 2 6 2" xfId="2711" xr:uid="{00000000-0005-0000-0000-0000ED0A0000}"/>
    <cellStyle name="통화 [0] 2 2 6 2 2" xfId="2712" xr:uid="{00000000-0005-0000-0000-0000EE0A0000}"/>
    <cellStyle name="통화 [0] 2 2 7" xfId="2713" xr:uid="{00000000-0005-0000-0000-0000EF0A0000}"/>
    <cellStyle name="통화 [0] 2 2 8" xfId="2714" xr:uid="{00000000-0005-0000-0000-0000F00A0000}"/>
    <cellStyle name="통화 [0] 2 2 9" xfId="2715" xr:uid="{00000000-0005-0000-0000-0000F10A0000}"/>
    <cellStyle name="통화 [0] 2 20" xfId="2716" xr:uid="{00000000-0005-0000-0000-0000F20A0000}"/>
    <cellStyle name="통화 [0] 2 21" xfId="2717" xr:uid="{00000000-0005-0000-0000-0000F30A0000}"/>
    <cellStyle name="통화 [0] 2 22" xfId="2718" xr:uid="{00000000-0005-0000-0000-0000F40A0000}"/>
    <cellStyle name="통화 [0] 2 23" xfId="2719" xr:uid="{00000000-0005-0000-0000-0000F50A0000}"/>
    <cellStyle name="통화 [0] 2 24" xfId="2720" xr:uid="{00000000-0005-0000-0000-0000F60A0000}"/>
    <cellStyle name="통화 [0] 2 25" xfId="2721" xr:uid="{00000000-0005-0000-0000-0000F70A0000}"/>
    <cellStyle name="통화 [0] 2 26" xfId="2722" xr:uid="{00000000-0005-0000-0000-0000F80A0000}"/>
    <cellStyle name="통화 [0] 2 27" xfId="2723" xr:uid="{00000000-0005-0000-0000-0000F90A0000}"/>
    <cellStyle name="통화 [0] 2 28" xfId="2724" xr:uid="{00000000-0005-0000-0000-0000FA0A0000}"/>
    <cellStyle name="통화 [0] 2 28 2" xfId="2725" xr:uid="{00000000-0005-0000-0000-0000FB0A0000}"/>
    <cellStyle name="통화 [0] 2 3" xfId="2726" xr:uid="{00000000-0005-0000-0000-0000FC0A0000}"/>
    <cellStyle name="통화 [0] 2 3 2" xfId="2727" xr:uid="{00000000-0005-0000-0000-0000FD0A0000}"/>
    <cellStyle name="통화 [0] 2 3 2 2" xfId="2728" xr:uid="{00000000-0005-0000-0000-0000FE0A0000}"/>
    <cellStyle name="통화 [0] 2 3 2 2 2" xfId="2729" xr:uid="{00000000-0005-0000-0000-0000FF0A0000}"/>
    <cellStyle name="통화 [0] 2 3 2 3" xfId="2730" xr:uid="{00000000-0005-0000-0000-0000000B0000}"/>
    <cellStyle name="통화 [0] 2 3 3" xfId="2731" xr:uid="{00000000-0005-0000-0000-0000010B0000}"/>
    <cellStyle name="통화 [0] 2 3 4" xfId="2732" xr:uid="{00000000-0005-0000-0000-0000020B0000}"/>
    <cellStyle name="통화 [0] 2 3 5" xfId="2733" xr:uid="{00000000-0005-0000-0000-0000030B0000}"/>
    <cellStyle name="통화 [0] 2 3 6" xfId="2734" xr:uid="{00000000-0005-0000-0000-0000040B0000}"/>
    <cellStyle name="통화 [0] 2 3 7" xfId="2735" xr:uid="{00000000-0005-0000-0000-0000050B0000}"/>
    <cellStyle name="통화 [0] 2 4" xfId="2736" xr:uid="{00000000-0005-0000-0000-0000060B0000}"/>
    <cellStyle name="통화 [0] 2 4 2" xfId="2737" xr:uid="{00000000-0005-0000-0000-0000070B0000}"/>
    <cellStyle name="통화 [0] 2 4 2 2" xfId="2738" xr:uid="{00000000-0005-0000-0000-0000080B0000}"/>
    <cellStyle name="통화 [0] 2 4 2 2 2" xfId="2739" xr:uid="{00000000-0005-0000-0000-0000090B0000}"/>
    <cellStyle name="통화 [0] 2 4 2 3" xfId="2740" xr:uid="{00000000-0005-0000-0000-00000A0B0000}"/>
    <cellStyle name="통화 [0] 2 4 3" xfId="2741" xr:uid="{00000000-0005-0000-0000-00000B0B0000}"/>
    <cellStyle name="통화 [0] 2 4 4" xfId="2742" xr:uid="{00000000-0005-0000-0000-00000C0B0000}"/>
    <cellStyle name="통화 [0] 2 4 5" xfId="2743" xr:uid="{00000000-0005-0000-0000-00000D0B0000}"/>
    <cellStyle name="통화 [0] 2 4 6" xfId="2744" xr:uid="{00000000-0005-0000-0000-00000E0B0000}"/>
    <cellStyle name="통화 [0] 2 4 7" xfId="2745" xr:uid="{00000000-0005-0000-0000-00000F0B0000}"/>
    <cellStyle name="통화 [0] 2 5" xfId="2746" xr:uid="{00000000-0005-0000-0000-0000100B0000}"/>
    <cellStyle name="통화 [0] 2 6" xfId="2747" xr:uid="{00000000-0005-0000-0000-0000110B0000}"/>
    <cellStyle name="통화 [0] 2 6 2" xfId="2748" xr:uid="{00000000-0005-0000-0000-0000120B0000}"/>
    <cellStyle name="통화 [0] 2 6 2 2" xfId="2749" xr:uid="{00000000-0005-0000-0000-0000130B0000}"/>
    <cellStyle name="통화 [0] 2 6 2 2 2" xfId="2750" xr:uid="{00000000-0005-0000-0000-0000140B0000}"/>
    <cellStyle name="통화 [0] 2 6 2 3" xfId="2751" xr:uid="{00000000-0005-0000-0000-0000150B0000}"/>
    <cellStyle name="통화 [0] 2 6 3" xfId="2752" xr:uid="{00000000-0005-0000-0000-0000160B0000}"/>
    <cellStyle name="통화 [0] 2 6 4" xfId="2753" xr:uid="{00000000-0005-0000-0000-0000170B0000}"/>
    <cellStyle name="통화 [0] 2 6 5" xfId="2754" xr:uid="{00000000-0005-0000-0000-0000180B0000}"/>
    <cellStyle name="통화 [0] 2 6 6" xfId="2755" xr:uid="{00000000-0005-0000-0000-0000190B0000}"/>
    <cellStyle name="통화 [0] 2 6 7" xfId="2756" xr:uid="{00000000-0005-0000-0000-00001A0B0000}"/>
    <cellStyle name="통화 [0] 2 7" xfId="2757" xr:uid="{00000000-0005-0000-0000-00001B0B0000}"/>
    <cellStyle name="통화 [0] 2 7 2" xfId="2758" xr:uid="{00000000-0005-0000-0000-00001C0B0000}"/>
    <cellStyle name="통화 [0] 2 7 3" xfId="2759" xr:uid="{00000000-0005-0000-0000-00001D0B0000}"/>
    <cellStyle name="통화 [0] 2 8" xfId="2760" xr:uid="{00000000-0005-0000-0000-00001E0B0000}"/>
    <cellStyle name="통화 [0] 2 8 2" xfId="2761" xr:uid="{00000000-0005-0000-0000-00001F0B0000}"/>
    <cellStyle name="통화 [0] 2 8 3" xfId="2762" xr:uid="{00000000-0005-0000-0000-0000200B0000}"/>
    <cellStyle name="통화 [0] 2 9" xfId="2763" xr:uid="{00000000-0005-0000-0000-0000210B0000}"/>
    <cellStyle name="통화 [0] 2 9 2" xfId="2764" xr:uid="{00000000-0005-0000-0000-0000220B0000}"/>
    <cellStyle name="통화 [0] 2 9 3" xfId="2765" xr:uid="{00000000-0005-0000-0000-0000230B0000}"/>
    <cellStyle name="통화 [0] 20" xfId="3520" xr:uid="{00000000-0005-0000-0000-0000240B0000}"/>
    <cellStyle name="통화 [0] 21" xfId="2640" xr:uid="{00000000-0005-0000-0000-0000250B0000}"/>
    <cellStyle name="통화 [0] 3" xfId="2766" xr:uid="{00000000-0005-0000-0000-0000260B0000}"/>
    <cellStyle name="통화 [0] 3 10" xfId="2767" xr:uid="{00000000-0005-0000-0000-0000270B0000}"/>
    <cellStyle name="통화 [0] 3 11" xfId="2768" xr:uid="{00000000-0005-0000-0000-0000280B0000}"/>
    <cellStyle name="통화 [0] 3 12" xfId="2769" xr:uid="{00000000-0005-0000-0000-0000290B0000}"/>
    <cellStyle name="통화 [0] 3 2" xfId="2770" xr:uid="{00000000-0005-0000-0000-00002A0B0000}"/>
    <cellStyle name="통화 [0] 3 3" xfId="2771" xr:uid="{00000000-0005-0000-0000-00002B0B0000}"/>
    <cellStyle name="통화 [0] 3 4" xfId="2772" xr:uid="{00000000-0005-0000-0000-00002C0B0000}"/>
    <cellStyle name="통화 [0] 3 5" xfId="2773" xr:uid="{00000000-0005-0000-0000-00002D0B0000}"/>
    <cellStyle name="통화 [0] 3 6" xfId="2774" xr:uid="{00000000-0005-0000-0000-00002E0B0000}"/>
    <cellStyle name="통화 [0] 3 7" xfId="2775" xr:uid="{00000000-0005-0000-0000-00002F0B0000}"/>
    <cellStyle name="통화 [0] 3 8" xfId="2776" xr:uid="{00000000-0005-0000-0000-0000300B0000}"/>
    <cellStyle name="통화 [0] 3 9" xfId="2777" xr:uid="{00000000-0005-0000-0000-0000310B0000}"/>
    <cellStyle name="통화 [0] 33" xfId="2778" xr:uid="{00000000-0005-0000-0000-0000320B0000}"/>
    <cellStyle name="통화 [0] 33 2" xfId="2779" xr:uid="{00000000-0005-0000-0000-0000330B0000}"/>
    <cellStyle name="통화 [0] 4" xfId="2780" xr:uid="{00000000-0005-0000-0000-0000340B0000}"/>
    <cellStyle name="통화 [0] 4 10" xfId="2781" xr:uid="{00000000-0005-0000-0000-0000350B0000}"/>
    <cellStyle name="통화 [0] 4 11" xfId="2782" xr:uid="{00000000-0005-0000-0000-0000360B0000}"/>
    <cellStyle name="통화 [0] 4 12" xfId="2783" xr:uid="{00000000-0005-0000-0000-0000370B0000}"/>
    <cellStyle name="통화 [0] 4 2" xfId="2784" xr:uid="{00000000-0005-0000-0000-0000380B0000}"/>
    <cellStyle name="통화 [0] 4 3" xfId="2785" xr:uid="{00000000-0005-0000-0000-0000390B0000}"/>
    <cellStyle name="통화 [0] 4 4" xfId="2786" xr:uid="{00000000-0005-0000-0000-00003A0B0000}"/>
    <cellStyle name="통화 [0] 4 5" xfId="2787" xr:uid="{00000000-0005-0000-0000-00003B0B0000}"/>
    <cellStyle name="통화 [0] 4 6" xfId="2788" xr:uid="{00000000-0005-0000-0000-00003C0B0000}"/>
    <cellStyle name="통화 [0] 4 7" xfId="2789" xr:uid="{00000000-0005-0000-0000-00003D0B0000}"/>
    <cellStyle name="통화 [0] 4 8" xfId="2790" xr:uid="{00000000-0005-0000-0000-00003E0B0000}"/>
    <cellStyle name="통화 [0] 4 9" xfId="2791" xr:uid="{00000000-0005-0000-0000-00003F0B0000}"/>
    <cellStyle name="통화 [0] 5" xfId="2792" xr:uid="{00000000-0005-0000-0000-0000400B0000}"/>
    <cellStyle name="통화 [0] 5 10" xfId="2793" xr:uid="{00000000-0005-0000-0000-0000410B0000}"/>
    <cellStyle name="통화 [0] 5 11" xfId="2794" xr:uid="{00000000-0005-0000-0000-0000420B0000}"/>
    <cellStyle name="통화 [0] 5 12" xfId="2795" xr:uid="{00000000-0005-0000-0000-0000430B0000}"/>
    <cellStyle name="통화 [0] 5 2" xfId="2796" xr:uid="{00000000-0005-0000-0000-0000440B0000}"/>
    <cellStyle name="통화 [0] 5 3" xfId="2797" xr:uid="{00000000-0005-0000-0000-0000450B0000}"/>
    <cellStyle name="통화 [0] 5 4" xfId="2798" xr:uid="{00000000-0005-0000-0000-0000460B0000}"/>
    <cellStyle name="통화 [0] 5 5" xfId="2799" xr:uid="{00000000-0005-0000-0000-0000470B0000}"/>
    <cellStyle name="통화 [0] 5 6" xfId="2800" xr:uid="{00000000-0005-0000-0000-0000480B0000}"/>
    <cellStyle name="통화 [0] 5 7" xfId="2801" xr:uid="{00000000-0005-0000-0000-0000490B0000}"/>
    <cellStyle name="통화 [0] 5 8" xfId="2802" xr:uid="{00000000-0005-0000-0000-00004A0B0000}"/>
    <cellStyle name="통화 [0] 5 9" xfId="2803" xr:uid="{00000000-0005-0000-0000-00004B0B0000}"/>
    <cellStyle name="통화 [0] 6" xfId="2804" xr:uid="{00000000-0005-0000-0000-00004C0B0000}"/>
    <cellStyle name="통화 [0] 6 10" xfId="2805" xr:uid="{00000000-0005-0000-0000-00004D0B0000}"/>
    <cellStyle name="통화 [0] 6 11" xfId="2806" xr:uid="{00000000-0005-0000-0000-00004E0B0000}"/>
    <cellStyle name="통화 [0] 6 12" xfId="2807" xr:uid="{00000000-0005-0000-0000-00004F0B0000}"/>
    <cellStyle name="통화 [0] 6 2" xfId="2808" xr:uid="{00000000-0005-0000-0000-0000500B0000}"/>
    <cellStyle name="통화 [0] 6 3" xfId="2809" xr:uid="{00000000-0005-0000-0000-0000510B0000}"/>
    <cellStyle name="통화 [0] 6 4" xfId="2810" xr:uid="{00000000-0005-0000-0000-0000520B0000}"/>
    <cellStyle name="통화 [0] 6 5" xfId="2811" xr:uid="{00000000-0005-0000-0000-0000530B0000}"/>
    <cellStyle name="통화 [0] 6 6" xfId="2812" xr:uid="{00000000-0005-0000-0000-0000540B0000}"/>
    <cellStyle name="통화 [0] 6 7" xfId="2813" xr:uid="{00000000-0005-0000-0000-0000550B0000}"/>
    <cellStyle name="통화 [0] 6 8" xfId="2814" xr:uid="{00000000-0005-0000-0000-0000560B0000}"/>
    <cellStyle name="통화 [0] 6 9" xfId="2815" xr:uid="{00000000-0005-0000-0000-0000570B0000}"/>
    <cellStyle name="통화 [0] 7" xfId="2816" xr:uid="{00000000-0005-0000-0000-0000580B0000}"/>
    <cellStyle name="통화 [0] 7 10" xfId="2817" xr:uid="{00000000-0005-0000-0000-0000590B0000}"/>
    <cellStyle name="통화 [0] 7 11" xfId="2818" xr:uid="{00000000-0005-0000-0000-00005A0B0000}"/>
    <cellStyle name="통화 [0] 7 12" xfId="2819" xr:uid="{00000000-0005-0000-0000-00005B0B0000}"/>
    <cellStyle name="통화 [0] 7 2" xfId="2820" xr:uid="{00000000-0005-0000-0000-00005C0B0000}"/>
    <cellStyle name="통화 [0] 7 3" xfId="2821" xr:uid="{00000000-0005-0000-0000-00005D0B0000}"/>
    <cellStyle name="통화 [0] 7 4" xfId="2822" xr:uid="{00000000-0005-0000-0000-00005E0B0000}"/>
    <cellStyle name="통화 [0] 7 5" xfId="2823" xr:uid="{00000000-0005-0000-0000-00005F0B0000}"/>
    <cellStyle name="통화 [0] 7 6" xfId="2824" xr:uid="{00000000-0005-0000-0000-0000600B0000}"/>
    <cellStyle name="통화 [0] 7 7" xfId="2825" xr:uid="{00000000-0005-0000-0000-0000610B0000}"/>
    <cellStyle name="통화 [0] 7 8" xfId="2826" xr:uid="{00000000-0005-0000-0000-0000620B0000}"/>
    <cellStyle name="통화 [0] 7 9" xfId="2827" xr:uid="{00000000-0005-0000-0000-0000630B0000}"/>
    <cellStyle name="통화 [0] 8" xfId="2828" xr:uid="{00000000-0005-0000-0000-0000640B0000}"/>
    <cellStyle name="통화 [0] 8 10" xfId="2829" xr:uid="{00000000-0005-0000-0000-0000650B0000}"/>
    <cellStyle name="통화 [0] 8 11" xfId="2830" xr:uid="{00000000-0005-0000-0000-0000660B0000}"/>
    <cellStyle name="통화 [0] 8 12" xfId="2831" xr:uid="{00000000-0005-0000-0000-0000670B0000}"/>
    <cellStyle name="통화 [0] 8 2" xfId="2832" xr:uid="{00000000-0005-0000-0000-0000680B0000}"/>
    <cellStyle name="통화 [0] 8 3" xfId="2833" xr:uid="{00000000-0005-0000-0000-0000690B0000}"/>
    <cellStyle name="통화 [0] 8 4" xfId="2834" xr:uid="{00000000-0005-0000-0000-00006A0B0000}"/>
    <cellStyle name="통화 [0] 8 5" xfId="2835" xr:uid="{00000000-0005-0000-0000-00006B0B0000}"/>
    <cellStyle name="통화 [0] 8 6" xfId="2836" xr:uid="{00000000-0005-0000-0000-00006C0B0000}"/>
    <cellStyle name="통화 [0] 8 7" xfId="2837" xr:uid="{00000000-0005-0000-0000-00006D0B0000}"/>
    <cellStyle name="통화 [0] 8 8" xfId="2838" xr:uid="{00000000-0005-0000-0000-00006E0B0000}"/>
    <cellStyle name="통화 [0] 8 9" xfId="2839" xr:uid="{00000000-0005-0000-0000-00006F0B0000}"/>
    <cellStyle name="통화 [0] 9" xfId="2840" xr:uid="{00000000-0005-0000-0000-0000700B0000}"/>
    <cellStyle name="표준" xfId="0" builtinId="0"/>
    <cellStyle name="표준 10" xfId="2841" xr:uid="{00000000-0005-0000-0000-0000720B0000}"/>
    <cellStyle name="표준 10 2" xfId="2842" xr:uid="{00000000-0005-0000-0000-0000730B0000}"/>
    <cellStyle name="표준 10 3" xfId="2843" xr:uid="{00000000-0005-0000-0000-0000740B0000}"/>
    <cellStyle name="표준 10 4" xfId="2844" xr:uid="{00000000-0005-0000-0000-0000750B0000}"/>
    <cellStyle name="표준 10 5" xfId="2845" xr:uid="{00000000-0005-0000-0000-0000760B0000}"/>
    <cellStyle name="표준 11" xfId="2846" xr:uid="{00000000-0005-0000-0000-0000770B0000}"/>
    <cellStyle name="표준 11 2" xfId="2847" xr:uid="{00000000-0005-0000-0000-0000780B0000}"/>
    <cellStyle name="표준 11 3" xfId="2848" xr:uid="{00000000-0005-0000-0000-0000790B0000}"/>
    <cellStyle name="표준 11 4" xfId="2849" xr:uid="{00000000-0005-0000-0000-00007A0B0000}"/>
    <cellStyle name="표준 11 5" xfId="2850" xr:uid="{00000000-0005-0000-0000-00007B0B0000}"/>
    <cellStyle name="표준 11 6" xfId="2851" xr:uid="{00000000-0005-0000-0000-00007C0B0000}"/>
    <cellStyle name="표준 11 7" xfId="2852" xr:uid="{00000000-0005-0000-0000-00007D0B0000}"/>
    <cellStyle name="표준 11 8" xfId="2853" xr:uid="{00000000-0005-0000-0000-00007E0B0000}"/>
    <cellStyle name="표준 12" xfId="3119" xr:uid="{00000000-0005-0000-0000-00007F0B0000}"/>
    <cellStyle name="표준 12 2" xfId="2854" xr:uid="{00000000-0005-0000-0000-0000800B0000}"/>
    <cellStyle name="표준 12 3" xfId="2855" xr:uid="{00000000-0005-0000-0000-0000810B0000}"/>
    <cellStyle name="표준 12 4" xfId="2856" xr:uid="{00000000-0005-0000-0000-0000820B0000}"/>
    <cellStyle name="표준 12 5" xfId="2857" xr:uid="{00000000-0005-0000-0000-0000830B0000}"/>
    <cellStyle name="표준 13" xfId="2858" xr:uid="{00000000-0005-0000-0000-0000840B0000}"/>
    <cellStyle name="표준 13 10" xfId="2859" xr:uid="{00000000-0005-0000-0000-0000850B0000}"/>
    <cellStyle name="표준 13 11" xfId="2860" xr:uid="{00000000-0005-0000-0000-0000860B0000}"/>
    <cellStyle name="표준 13 12" xfId="2861" xr:uid="{00000000-0005-0000-0000-0000870B0000}"/>
    <cellStyle name="표준 13 13" xfId="2862" xr:uid="{00000000-0005-0000-0000-0000880B0000}"/>
    <cellStyle name="표준 13 2" xfId="2863" xr:uid="{00000000-0005-0000-0000-0000890B0000}"/>
    <cellStyle name="표준 13 3" xfId="2864" xr:uid="{00000000-0005-0000-0000-00008A0B0000}"/>
    <cellStyle name="표준 13 4" xfId="2865" xr:uid="{00000000-0005-0000-0000-00008B0B0000}"/>
    <cellStyle name="표준 13 5" xfId="2866" xr:uid="{00000000-0005-0000-0000-00008C0B0000}"/>
    <cellStyle name="표준 13 6" xfId="2867" xr:uid="{00000000-0005-0000-0000-00008D0B0000}"/>
    <cellStyle name="표준 13 7" xfId="2868" xr:uid="{00000000-0005-0000-0000-00008E0B0000}"/>
    <cellStyle name="표준 13 8" xfId="2869" xr:uid="{00000000-0005-0000-0000-00008F0B0000}"/>
    <cellStyle name="표준 13 9" xfId="2870" xr:uid="{00000000-0005-0000-0000-0000900B0000}"/>
    <cellStyle name="표준 14" xfId="2871" xr:uid="{00000000-0005-0000-0000-0000910B0000}"/>
    <cellStyle name="標準 14" xfId="2872" xr:uid="{00000000-0005-0000-0000-0000920B0000}"/>
    <cellStyle name="표준 14 10" xfId="2873" xr:uid="{00000000-0005-0000-0000-0000930B0000}"/>
    <cellStyle name="표준 14 11" xfId="2874" xr:uid="{00000000-0005-0000-0000-0000940B0000}"/>
    <cellStyle name="표준 14 12" xfId="2875" xr:uid="{00000000-0005-0000-0000-0000950B0000}"/>
    <cellStyle name="표준 14 2" xfId="2876" xr:uid="{00000000-0005-0000-0000-0000960B0000}"/>
    <cellStyle name="표준 14 3" xfId="2877" xr:uid="{00000000-0005-0000-0000-0000970B0000}"/>
    <cellStyle name="표준 14 4" xfId="2878" xr:uid="{00000000-0005-0000-0000-0000980B0000}"/>
    <cellStyle name="표준 14 5" xfId="2879" xr:uid="{00000000-0005-0000-0000-0000990B0000}"/>
    <cellStyle name="표준 14 6" xfId="2880" xr:uid="{00000000-0005-0000-0000-00009A0B0000}"/>
    <cellStyle name="표준 14 7" xfId="2881" xr:uid="{00000000-0005-0000-0000-00009B0B0000}"/>
    <cellStyle name="표준 14 8" xfId="2882" xr:uid="{00000000-0005-0000-0000-00009C0B0000}"/>
    <cellStyle name="표준 14 9" xfId="2883" xr:uid="{00000000-0005-0000-0000-00009D0B0000}"/>
    <cellStyle name="표준 15" xfId="2884" xr:uid="{00000000-0005-0000-0000-00009E0B0000}"/>
    <cellStyle name="표준 15 10" xfId="2885" xr:uid="{00000000-0005-0000-0000-00009F0B0000}"/>
    <cellStyle name="표준 15 11" xfId="2886" xr:uid="{00000000-0005-0000-0000-0000A00B0000}"/>
    <cellStyle name="표준 15 12" xfId="2887" xr:uid="{00000000-0005-0000-0000-0000A10B0000}"/>
    <cellStyle name="표준 15 13" xfId="2888" xr:uid="{00000000-0005-0000-0000-0000A20B0000}"/>
    <cellStyle name="표준 15 2" xfId="2889" xr:uid="{00000000-0005-0000-0000-0000A30B0000}"/>
    <cellStyle name="표준 15 3" xfId="2890" xr:uid="{00000000-0005-0000-0000-0000A40B0000}"/>
    <cellStyle name="표준 15 4" xfId="2891" xr:uid="{00000000-0005-0000-0000-0000A50B0000}"/>
    <cellStyle name="표준 15 5" xfId="2892" xr:uid="{00000000-0005-0000-0000-0000A60B0000}"/>
    <cellStyle name="표준 15 6" xfId="2893" xr:uid="{00000000-0005-0000-0000-0000A70B0000}"/>
    <cellStyle name="표준 15 7" xfId="2894" xr:uid="{00000000-0005-0000-0000-0000A80B0000}"/>
    <cellStyle name="표준 15 8" xfId="2895" xr:uid="{00000000-0005-0000-0000-0000A90B0000}"/>
    <cellStyle name="표준 15 9" xfId="2896" xr:uid="{00000000-0005-0000-0000-0000AA0B0000}"/>
    <cellStyle name="표준 16" xfId="2897" xr:uid="{00000000-0005-0000-0000-0000AB0B0000}"/>
    <cellStyle name="표준 16 10" xfId="2898" xr:uid="{00000000-0005-0000-0000-0000AC0B0000}"/>
    <cellStyle name="표준 16 11" xfId="2899" xr:uid="{00000000-0005-0000-0000-0000AD0B0000}"/>
    <cellStyle name="표준 16 12" xfId="2900" xr:uid="{00000000-0005-0000-0000-0000AE0B0000}"/>
    <cellStyle name="표준 16 13" xfId="2901" xr:uid="{00000000-0005-0000-0000-0000AF0B0000}"/>
    <cellStyle name="표준 16 2" xfId="2902" xr:uid="{00000000-0005-0000-0000-0000B00B0000}"/>
    <cellStyle name="표준 16 3" xfId="2903" xr:uid="{00000000-0005-0000-0000-0000B10B0000}"/>
    <cellStyle name="표준 16 4" xfId="2904" xr:uid="{00000000-0005-0000-0000-0000B20B0000}"/>
    <cellStyle name="표준 16 5" xfId="2905" xr:uid="{00000000-0005-0000-0000-0000B30B0000}"/>
    <cellStyle name="표준 16 6" xfId="2906" xr:uid="{00000000-0005-0000-0000-0000B40B0000}"/>
    <cellStyle name="표준 16 7" xfId="2907" xr:uid="{00000000-0005-0000-0000-0000B50B0000}"/>
    <cellStyle name="표준 16 8" xfId="2908" xr:uid="{00000000-0005-0000-0000-0000B60B0000}"/>
    <cellStyle name="표준 16 9" xfId="2909" xr:uid="{00000000-0005-0000-0000-0000B70B0000}"/>
    <cellStyle name="표준 17" xfId="2910" xr:uid="{00000000-0005-0000-0000-0000B80B0000}"/>
    <cellStyle name="표준 18" xfId="2911" xr:uid="{00000000-0005-0000-0000-0000B90B0000}"/>
    <cellStyle name="표준 19" xfId="2912" xr:uid="{00000000-0005-0000-0000-0000BA0B0000}"/>
    <cellStyle name="표준 19 2" xfId="2913" xr:uid="{00000000-0005-0000-0000-0000BB0B0000}"/>
    <cellStyle name="표준 19 3" xfId="2914" xr:uid="{00000000-0005-0000-0000-0000BC0B0000}"/>
    <cellStyle name="표준 19 4" xfId="2915" xr:uid="{00000000-0005-0000-0000-0000BD0B0000}"/>
    <cellStyle name="표준 2" xfId="2" xr:uid="{00000000-0005-0000-0000-0000BE0B0000}"/>
    <cellStyle name="표준 2 10" xfId="2917" xr:uid="{00000000-0005-0000-0000-0000BF0B0000}"/>
    <cellStyle name="표준 2 11" xfId="2918" xr:uid="{00000000-0005-0000-0000-0000C00B0000}"/>
    <cellStyle name="표준 2 12" xfId="2919" xr:uid="{00000000-0005-0000-0000-0000C10B0000}"/>
    <cellStyle name="표준 2 13" xfId="2920" xr:uid="{00000000-0005-0000-0000-0000C20B0000}"/>
    <cellStyle name="표준 2 14" xfId="2921" xr:uid="{00000000-0005-0000-0000-0000C30B0000}"/>
    <cellStyle name="표준 2 15" xfId="2922" xr:uid="{00000000-0005-0000-0000-0000C40B0000}"/>
    <cellStyle name="표준 2 16" xfId="2923" xr:uid="{00000000-0005-0000-0000-0000C50B0000}"/>
    <cellStyle name="표준 2 17" xfId="2924" xr:uid="{00000000-0005-0000-0000-0000C60B0000}"/>
    <cellStyle name="표준 2 18" xfId="2925" xr:uid="{00000000-0005-0000-0000-0000C70B0000}"/>
    <cellStyle name="표준 2 19" xfId="2926" xr:uid="{00000000-0005-0000-0000-0000C80B0000}"/>
    <cellStyle name="표준 2 2" xfId="2927" xr:uid="{00000000-0005-0000-0000-0000C90B0000}"/>
    <cellStyle name="표준 2 2 2" xfId="2928" xr:uid="{00000000-0005-0000-0000-0000CA0B0000}"/>
    <cellStyle name="표준 2 2 2 2" xfId="2929" xr:uid="{00000000-0005-0000-0000-0000CB0B0000}"/>
    <cellStyle name="표준 2 2 2 2 2" xfId="2930" xr:uid="{00000000-0005-0000-0000-0000CC0B0000}"/>
    <cellStyle name="표준 2 2 2 2 2 2" xfId="2931" xr:uid="{00000000-0005-0000-0000-0000CD0B0000}"/>
    <cellStyle name="표준 2 2 2 2 2 2 2" xfId="2932" xr:uid="{00000000-0005-0000-0000-0000CE0B0000}"/>
    <cellStyle name="표준 2 2 2 2 2 2 2 2" xfId="2933" xr:uid="{00000000-0005-0000-0000-0000CF0B0000}"/>
    <cellStyle name="표준 2 2 2 2 2 2 2 2 2" xfId="2934" xr:uid="{00000000-0005-0000-0000-0000D00B0000}"/>
    <cellStyle name="표준 2 2 2 2 2 2 2 2 2 2" xfId="2935" xr:uid="{00000000-0005-0000-0000-0000D10B0000}"/>
    <cellStyle name="표준 2 2 2 2 2 2 2 2 2 2 2" xfId="2936" xr:uid="{00000000-0005-0000-0000-0000D20B0000}"/>
    <cellStyle name="표준 2 2 2 2 2 2 2 2 2 2 2 2" xfId="2937" xr:uid="{00000000-0005-0000-0000-0000D30B0000}"/>
    <cellStyle name="표준 2 2 2 2 2 2 2 2 2 2 2 2 2" xfId="2938" xr:uid="{00000000-0005-0000-0000-0000D40B0000}"/>
    <cellStyle name="표준 2 2 2 2 2 2 2 2 2 2 3" xfId="2939" xr:uid="{00000000-0005-0000-0000-0000D50B0000}"/>
    <cellStyle name="표준 2 2 2 2 2 2 2 2 2 3" xfId="2940" xr:uid="{00000000-0005-0000-0000-0000D60B0000}"/>
    <cellStyle name="표준 2 2 2 2 2 2 2 2 3" xfId="2941" xr:uid="{00000000-0005-0000-0000-0000D70B0000}"/>
    <cellStyle name="표준 2 2 2 2 2 2 2 2 4" xfId="2942" xr:uid="{00000000-0005-0000-0000-0000D80B0000}"/>
    <cellStyle name="표준 2 2 2 2 2 2 2 3" xfId="2943" xr:uid="{00000000-0005-0000-0000-0000D90B0000}"/>
    <cellStyle name="표준 2 2 2 2 2 2 2 4" xfId="2944" xr:uid="{00000000-0005-0000-0000-0000DA0B0000}"/>
    <cellStyle name="표준 2 2 2 2 2 2 3" xfId="2945" xr:uid="{00000000-0005-0000-0000-0000DB0B0000}"/>
    <cellStyle name="표준 2 2 2 2 2 2 4" xfId="2946" xr:uid="{00000000-0005-0000-0000-0000DC0B0000}"/>
    <cellStyle name="표준 2 2 2 2 2 2 5" xfId="2947" xr:uid="{00000000-0005-0000-0000-0000DD0B0000}"/>
    <cellStyle name="표준 2 2 2 2 2 3" xfId="2948" xr:uid="{00000000-0005-0000-0000-0000DE0B0000}"/>
    <cellStyle name="표준 2 2 2 2 2 4" xfId="2949" xr:uid="{00000000-0005-0000-0000-0000DF0B0000}"/>
    <cellStyle name="표준 2 2 2 2 2 5" xfId="2950" xr:uid="{00000000-0005-0000-0000-0000E00B0000}"/>
    <cellStyle name="표준 2 2 2 2 3" xfId="2951" xr:uid="{00000000-0005-0000-0000-0000E10B0000}"/>
    <cellStyle name="표준 2 2 2 2 4" xfId="2952" xr:uid="{00000000-0005-0000-0000-0000E20B0000}"/>
    <cellStyle name="표준 2 2 2 2 5" xfId="2953" xr:uid="{00000000-0005-0000-0000-0000E30B0000}"/>
    <cellStyle name="표준 2 2 2 2 6" xfId="2954" xr:uid="{00000000-0005-0000-0000-0000E40B0000}"/>
    <cellStyle name="표준 2 2 2 3" xfId="2955" xr:uid="{00000000-0005-0000-0000-0000E50B0000}"/>
    <cellStyle name="표준 2 2 2 4" xfId="2956" xr:uid="{00000000-0005-0000-0000-0000E60B0000}"/>
    <cellStyle name="표준 2 2 2 5" xfId="2957" xr:uid="{00000000-0005-0000-0000-0000E70B0000}"/>
    <cellStyle name="표준 2 2 2 6" xfId="2958" xr:uid="{00000000-0005-0000-0000-0000E80B0000}"/>
    <cellStyle name="표준 2 2 3" xfId="2959" xr:uid="{00000000-0005-0000-0000-0000E90B0000}"/>
    <cellStyle name="표준 2 2 4" xfId="2960" xr:uid="{00000000-0005-0000-0000-0000EA0B0000}"/>
    <cellStyle name="표준 2 2 5" xfId="2961" xr:uid="{00000000-0005-0000-0000-0000EB0B0000}"/>
    <cellStyle name="표준 2 2 6" xfId="2962" xr:uid="{00000000-0005-0000-0000-0000EC0B0000}"/>
    <cellStyle name="표준 2 2 7" xfId="2963" xr:uid="{00000000-0005-0000-0000-0000ED0B0000}"/>
    <cellStyle name="표준 2 20" xfId="2964" xr:uid="{00000000-0005-0000-0000-0000EE0B0000}"/>
    <cellStyle name="표준 2 21" xfId="2965" xr:uid="{00000000-0005-0000-0000-0000EF0B0000}"/>
    <cellStyle name="표준 2 22" xfId="2966" xr:uid="{00000000-0005-0000-0000-0000F00B0000}"/>
    <cellStyle name="표준 2 23" xfId="2967" xr:uid="{00000000-0005-0000-0000-0000F10B0000}"/>
    <cellStyle name="표준 2 24" xfId="2968" xr:uid="{00000000-0005-0000-0000-0000F20B0000}"/>
    <cellStyle name="표준 2 25" xfId="2969" xr:uid="{00000000-0005-0000-0000-0000F30B0000}"/>
    <cellStyle name="표준 2 26" xfId="2970" xr:uid="{00000000-0005-0000-0000-0000F40B0000}"/>
    <cellStyle name="표준 2 26 2" xfId="2971" xr:uid="{00000000-0005-0000-0000-0000F50B0000}"/>
    <cellStyle name="표준 2 27" xfId="2972" xr:uid="{00000000-0005-0000-0000-0000F60B0000}"/>
    <cellStyle name="표준 2 28" xfId="2916" xr:uid="{00000000-0005-0000-0000-0000F70B0000}"/>
    <cellStyle name="표준 2 3" xfId="2973" xr:uid="{00000000-0005-0000-0000-0000F80B0000}"/>
    <cellStyle name="표준 2 4" xfId="2974" xr:uid="{00000000-0005-0000-0000-0000F90B0000}"/>
    <cellStyle name="표준 2 5" xfId="2975" xr:uid="{00000000-0005-0000-0000-0000FA0B0000}"/>
    <cellStyle name="표준 2 6" xfId="2976" xr:uid="{00000000-0005-0000-0000-0000FB0B0000}"/>
    <cellStyle name="표준 2 7" xfId="2977" xr:uid="{00000000-0005-0000-0000-0000FC0B0000}"/>
    <cellStyle name="표준 2 8" xfId="2978" xr:uid="{00000000-0005-0000-0000-0000FD0B0000}"/>
    <cellStyle name="표준 2 8 10" xfId="2979" xr:uid="{00000000-0005-0000-0000-0000FE0B0000}"/>
    <cellStyle name="표준 2 8 11" xfId="2980" xr:uid="{00000000-0005-0000-0000-0000FF0B0000}"/>
    <cellStyle name="표준 2 8 12" xfId="2981" xr:uid="{00000000-0005-0000-0000-0000000C0000}"/>
    <cellStyle name="표준 2 8 13" xfId="2982" xr:uid="{00000000-0005-0000-0000-0000010C0000}"/>
    <cellStyle name="표준 2 8 13 2" xfId="2983" xr:uid="{00000000-0005-0000-0000-0000020C0000}"/>
    <cellStyle name="표준 2 8 14" xfId="2984" xr:uid="{00000000-0005-0000-0000-0000030C0000}"/>
    <cellStyle name="표준 2 8 15" xfId="2985" xr:uid="{00000000-0005-0000-0000-0000040C0000}"/>
    <cellStyle name="표준 2 8 16" xfId="2986" xr:uid="{00000000-0005-0000-0000-0000050C0000}"/>
    <cellStyle name="표준 2 8 17" xfId="2987" xr:uid="{00000000-0005-0000-0000-0000060C0000}"/>
    <cellStyle name="표준 2 8 18" xfId="2988" xr:uid="{00000000-0005-0000-0000-0000070C0000}"/>
    <cellStyle name="표준 2 8 19" xfId="2989" xr:uid="{00000000-0005-0000-0000-0000080C0000}"/>
    <cellStyle name="표준 2 8 2" xfId="2990" xr:uid="{00000000-0005-0000-0000-0000090C0000}"/>
    <cellStyle name="표준 2 8 2 10" xfId="2991" xr:uid="{00000000-0005-0000-0000-00000A0C0000}"/>
    <cellStyle name="표준 2 8 2 11" xfId="2992" xr:uid="{00000000-0005-0000-0000-00000B0C0000}"/>
    <cellStyle name="표준 2 8 2 12" xfId="2993" xr:uid="{00000000-0005-0000-0000-00000C0C0000}"/>
    <cellStyle name="표준 2 8 2 2" xfId="2994" xr:uid="{00000000-0005-0000-0000-00000D0C0000}"/>
    <cellStyle name="표준 2 8 2 2 2" xfId="2995" xr:uid="{00000000-0005-0000-0000-00000E0C0000}"/>
    <cellStyle name="표준 2 8 2 3" xfId="2996" xr:uid="{00000000-0005-0000-0000-00000F0C0000}"/>
    <cellStyle name="표준 2 8 2 4" xfId="2997" xr:uid="{00000000-0005-0000-0000-0000100C0000}"/>
    <cellStyle name="표준 2 8 2 5" xfId="2998" xr:uid="{00000000-0005-0000-0000-0000110C0000}"/>
    <cellStyle name="표준 2 8 2 6" xfId="2999" xr:uid="{00000000-0005-0000-0000-0000120C0000}"/>
    <cellStyle name="표준 2 8 2 7" xfId="3000" xr:uid="{00000000-0005-0000-0000-0000130C0000}"/>
    <cellStyle name="표준 2 8 2 8" xfId="3001" xr:uid="{00000000-0005-0000-0000-0000140C0000}"/>
    <cellStyle name="표준 2 8 2 9" xfId="3002" xr:uid="{00000000-0005-0000-0000-0000150C0000}"/>
    <cellStyle name="표준 2 8 20" xfId="3003" xr:uid="{00000000-0005-0000-0000-0000160C0000}"/>
    <cellStyle name="표준 2 8 21" xfId="3004" xr:uid="{00000000-0005-0000-0000-0000170C0000}"/>
    <cellStyle name="표준 2 8 22" xfId="3005" xr:uid="{00000000-0005-0000-0000-0000180C0000}"/>
    <cellStyle name="표준 2 8 3" xfId="3006" xr:uid="{00000000-0005-0000-0000-0000190C0000}"/>
    <cellStyle name="표준 2 8 4" xfId="3007" xr:uid="{00000000-0005-0000-0000-00001A0C0000}"/>
    <cellStyle name="표준 2 8 5" xfId="3008" xr:uid="{00000000-0005-0000-0000-00001B0C0000}"/>
    <cellStyle name="표준 2 8 6" xfId="3009" xr:uid="{00000000-0005-0000-0000-00001C0C0000}"/>
    <cellStyle name="표준 2 8 7" xfId="3010" xr:uid="{00000000-0005-0000-0000-00001D0C0000}"/>
    <cellStyle name="표준 2 8 8" xfId="3011" xr:uid="{00000000-0005-0000-0000-00001E0C0000}"/>
    <cellStyle name="표준 2 8 9" xfId="3012" xr:uid="{00000000-0005-0000-0000-00001F0C0000}"/>
    <cellStyle name="표준 2 9" xfId="3013" xr:uid="{00000000-0005-0000-0000-0000200C0000}"/>
    <cellStyle name="표준 2 9 2" xfId="3014" xr:uid="{00000000-0005-0000-0000-0000210C0000}"/>
    <cellStyle name="표준 2 9 2 2" xfId="3015" xr:uid="{00000000-0005-0000-0000-0000220C0000}"/>
    <cellStyle name="표준 2 9 2 3" xfId="3016" xr:uid="{00000000-0005-0000-0000-0000230C0000}"/>
    <cellStyle name="표준 2 9 2 4" xfId="3017" xr:uid="{00000000-0005-0000-0000-0000240C0000}"/>
    <cellStyle name="표준 2 9 3" xfId="3018" xr:uid="{00000000-0005-0000-0000-0000250C0000}"/>
    <cellStyle name="표준 2 9 4" xfId="3019" xr:uid="{00000000-0005-0000-0000-0000260C0000}"/>
    <cellStyle name="표준 20" xfId="3020" xr:uid="{00000000-0005-0000-0000-0000270C0000}"/>
    <cellStyle name="표준 20 2" xfId="3168" xr:uid="{00000000-0005-0000-0000-0000280C0000}"/>
    <cellStyle name="표준 21" xfId="3021" xr:uid="{00000000-0005-0000-0000-0000290C0000}"/>
    <cellStyle name="표준 21 2" xfId="3022" xr:uid="{00000000-0005-0000-0000-00002A0C0000}"/>
    <cellStyle name="표준 21 3" xfId="3023" xr:uid="{00000000-0005-0000-0000-00002B0C0000}"/>
    <cellStyle name="표준 21 4" xfId="3024" xr:uid="{00000000-0005-0000-0000-00002C0C0000}"/>
    <cellStyle name="표준 21 5" xfId="3169" xr:uid="{00000000-0005-0000-0000-00002D0C0000}"/>
    <cellStyle name="표준 22" xfId="3112" xr:uid="{00000000-0005-0000-0000-00002E0C0000}"/>
    <cellStyle name="표준 22 2" xfId="3178" xr:uid="{00000000-0005-0000-0000-00002F0C0000}"/>
    <cellStyle name="표준 22 2 2" xfId="3192" xr:uid="{00000000-0005-0000-0000-0000300C0000}"/>
    <cellStyle name="표준 22 2 2 2" xfId="3213" xr:uid="{00000000-0005-0000-0000-0000310C0000}"/>
    <cellStyle name="표준 22 2 2 2 2" xfId="3273" xr:uid="{00000000-0005-0000-0000-0000320C0000}"/>
    <cellStyle name="표준 22 2 2 2 2 2" xfId="3385" xr:uid="{00000000-0005-0000-0000-0000330C0000}"/>
    <cellStyle name="표준 22 2 2 2 2 2 2" xfId="3714" xr:uid="{00000000-0005-0000-0000-0000340C0000}"/>
    <cellStyle name="표준 22 2 2 2 2 3" xfId="3494" xr:uid="{00000000-0005-0000-0000-0000350C0000}"/>
    <cellStyle name="표준 22 2 2 2 2 3 2" xfId="3823" xr:uid="{00000000-0005-0000-0000-0000360C0000}"/>
    <cellStyle name="표준 22 2 2 2 2 4" xfId="3606" xr:uid="{00000000-0005-0000-0000-0000370C0000}"/>
    <cellStyle name="표준 22 2 2 2 3" xfId="3331" xr:uid="{00000000-0005-0000-0000-0000380C0000}"/>
    <cellStyle name="표준 22 2 2 2 3 2" xfId="3660" xr:uid="{00000000-0005-0000-0000-0000390C0000}"/>
    <cellStyle name="표준 22 2 2 2 4" xfId="3440" xr:uid="{00000000-0005-0000-0000-00003A0C0000}"/>
    <cellStyle name="표준 22 2 2 2 4 2" xfId="3769" xr:uid="{00000000-0005-0000-0000-00003B0C0000}"/>
    <cellStyle name="표준 22 2 2 2 5" xfId="3552" xr:uid="{00000000-0005-0000-0000-00003C0C0000}"/>
    <cellStyle name="표준 22 2 2 3" xfId="3235" xr:uid="{00000000-0005-0000-0000-00003D0C0000}"/>
    <cellStyle name="표준 22 2 2 3 2" xfId="3293" xr:uid="{00000000-0005-0000-0000-00003E0C0000}"/>
    <cellStyle name="표준 22 2 2 3 2 2" xfId="3405" xr:uid="{00000000-0005-0000-0000-00003F0C0000}"/>
    <cellStyle name="표준 22 2 2 3 2 2 2" xfId="3734" xr:uid="{00000000-0005-0000-0000-0000400C0000}"/>
    <cellStyle name="표준 22 2 2 3 2 3" xfId="3514" xr:uid="{00000000-0005-0000-0000-0000410C0000}"/>
    <cellStyle name="표준 22 2 2 3 2 3 2" xfId="3843" xr:uid="{00000000-0005-0000-0000-0000420C0000}"/>
    <cellStyle name="표준 22 2 2 3 2 4" xfId="3626" xr:uid="{00000000-0005-0000-0000-0000430C0000}"/>
    <cellStyle name="표준 22 2 2 3 3" xfId="3351" xr:uid="{00000000-0005-0000-0000-0000440C0000}"/>
    <cellStyle name="표준 22 2 2 3 3 2" xfId="3680" xr:uid="{00000000-0005-0000-0000-0000450C0000}"/>
    <cellStyle name="표준 22 2 2 3 4" xfId="3460" xr:uid="{00000000-0005-0000-0000-0000460C0000}"/>
    <cellStyle name="표준 22 2 2 3 4 2" xfId="3789" xr:uid="{00000000-0005-0000-0000-0000470C0000}"/>
    <cellStyle name="표준 22 2 2 3 5" xfId="3572" xr:uid="{00000000-0005-0000-0000-0000480C0000}"/>
    <cellStyle name="표준 22 2 2 4" xfId="3256" xr:uid="{00000000-0005-0000-0000-0000490C0000}"/>
    <cellStyle name="표준 22 2 2 4 2" xfId="3368" xr:uid="{00000000-0005-0000-0000-00004A0C0000}"/>
    <cellStyle name="표준 22 2 2 4 2 2" xfId="3697" xr:uid="{00000000-0005-0000-0000-00004B0C0000}"/>
    <cellStyle name="표준 22 2 2 4 3" xfId="3477" xr:uid="{00000000-0005-0000-0000-00004C0C0000}"/>
    <cellStyle name="표준 22 2 2 4 3 2" xfId="3806" xr:uid="{00000000-0005-0000-0000-00004D0C0000}"/>
    <cellStyle name="표준 22 2 2 4 4" xfId="3589" xr:uid="{00000000-0005-0000-0000-00004E0C0000}"/>
    <cellStyle name="표준 22 2 2 5" xfId="3314" xr:uid="{00000000-0005-0000-0000-00004F0C0000}"/>
    <cellStyle name="표준 22 2 2 5 2" xfId="3643" xr:uid="{00000000-0005-0000-0000-0000500C0000}"/>
    <cellStyle name="표준 22 2 2 6" xfId="3423" xr:uid="{00000000-0005-0000-0000-0000510C0000}"/>
    <cellStyle name="표준 22 2 2 6 2" xfId="3752" xr:uid="{00000000-0005-0000-0000-0000520C0000}"/>
    <cellStyle name="표준 22 2 2 7" xfId="3535" xr:uid="{00000000-0005-0000-0000-0000530C0000}"/>
    <cellStyle name="표준 22 2 3" xfId="3203" xr:uid="{00000000-0005-0000-0000-0000540C0000}"/>
    <cellStyle name="표준 22 2 3 2" xfId="3263" xr:uid="{00000000-0005-0000-0000-0000550C0000}"/>
    <cellStyle name="표준 22 2 3 2 2" xfId="3375" xr:uid="{00000000-0005-0000-0000-0000560C0000}"/>
    <cellStyle name="표준 22 2 3 2 2 2" xfId="3704" xr:uid="{00000000-0005-0000-0000-0000570C0000}"/>
    <cellStyle name="표준 22 2 3 2 3" xfId="3484" xr:uid="{00000000-0005-0000-0000-0000580C0000}"/>
    <cellStyle name="표준 22 2 3 2 3 2" xfId="3813" xr:uid="{00000000-0005-0000-0000-0000590C0000}"/>
    <cellStyle name="표준 22 2 3 2 4" xfId="3596" xr:uid="{00000000-0005-0000-0000-00005A0C0000}"/>
    <cellStyle name="표준 22 2 3 3" xfId="3321" xr:uid="{00000000-0005-0000-0000-00005B0C0000}"/>
    <cellStyle name="표준 22 2 3 3 2" xfId="3650" xr:uid="{00000000-0005-0000-0000-00005C0C0000}"/>
    <cellStyle name="표준 22 2 3 4" xfId="3430" xr:uid="{00000000-0005-0000-0000-00005D0C0000}"/>
    <cellStyle name="표준 22 2 3 4 2" xfId="3759" xr:uid="{00000000-0005-0000-0000-00005E0C0000}"/>
    <cellStyle name="표준 22 2 3 5" xfId="3542" xr:uid="{00000000-0005-0000-0000-00005F0C0000}"/>
    <cellStyle name="표준 22 2 4" xfId="3225" xr:uid="{00000000-0005-0000-0000-0000600C0000}"/>
    <cellStyle name="표준 22 2 4 2" xfId="3283" xr:uid="{00000000-0005-0000-0000-0000610C0000}"/>
    <cellStyle name="표준 22 2 4 2 2" xfId="3395" xr:uid="{00000000-0005-0000-0000-0000620C0000}"/>
    <cellStyle name="표준 22 2 4 2 2 2" xfId="3724" xr:uid="{00000000-0005-0000-0000-0000630C0000}"/>
    <cellStyle name="표준 22 2 4 2 3" xfId="3504" xr:uid="{00000000-0005-0000-0000-0000640C0000}"/>
    <cellStyle name="표준 22 2 4 2 3 2" xfId="3833" xr:uid="{00000000-0005-0000-0000-0000650C0000}"/>
    <cellStyle name="표준 22 2 4 2 4" xfId="3616" xr:uid="{00000000-0005-0000-0000-0000660C0000}"/>
    <cellStyle name="표준 22 2 4 3" xfId="3341" xr:uid="{00000000-0005-0000-0000-0000670C0000}"/>
    <cellStyle name="표준 22 2 4 3 2" xfId="3670" xr:uid="{00000000-0005-0000-0000-0000680C0000}"/>
    <cellStyle name="표준 22 2 4 4" xfId="3450" xr:uid="{00000000-0005-0000-0000-0000690C0000}"/>
    <cellStyle name="표준 22 2 4 4 2" xfId="3779" xr:uid="{00000000-0005-0000-0000-00006A0C0000}"/>
    <cellStyle name="표준 22 2 4 5" xfId="3562" xr:uid="{00000000-0005-0000-0000-00006B0C0000}"/>
    <cellStyle name="표준 22 2 5" xfId="3246" xr:uid="{00000000-0005-0000-0000-00006C0C0000}"/>
    <cellStyle name="표준 22 2 5 2" xfId="3358" xr:uid="{00000000-0005-0000-0000-00006D0C0000}"/>
    <cellStyle name="표준 22 2 5 2 2" xfId="3687" xr:uid="{00000000-0005-0000-0000-00006E0C0000}"/>
    <cellStyle name="표준 22 2 5 3" xfId="3467" xr:uid="{00000000-0005-0000-0000-00006F0C0000}"/>
    <cellStyle name="표준 22 2 5 3 2" xfId="3796" xr:uid="{00000000-0005-0000-0000-0000700C0000}"/>
    <cellStyle name="표준 22 2 5 4" xfId="3579" xr:uid="{00000000-0005-0000-0000-0000710C0000}"/>
    <cellStyle name="표준 22 2 6" xfId="3304" xr:uid="{00000000-0005-0000-0000-0000720C0000}"/>
    <cellStyle name="표준 22 2 6 2" xfId="3633" xr:uid="{00000000-0005-0000-0000-0000730C0000}"/>
    <cellStyle name="표준 22 2 7" xfId="3413" xr:uid="{00000000-0005-0000-0000-0000740C0000}"/>
    <cellStyle name="표준 22 2 7 2" xfId="3742" xr:uid="{00000000-0005-0000-0000-0000750C0000}"/>
    <cellStyle name="표준 22 2 8" xfId="3525" xr:uid="{00000000-0005-0000-0000-0000760C0000}"/>
    <cellStyle name="표준 22 3" xfId="3188" xr:uid="{00000000-0005-0000-0000-0000770C0000}"/>
    <cellStyle name="표준 22 3 2" xfId="3209" xr:uid="{00000000-0005-0000-0000-0000780C0000}"/>
    <cellStyle name="표준 22 3 2 2" xfId="3269" xr:uid="{00000000-0005-0000-0000-0000790C0000}"/>
    <cellStyle name="표준 22 3 2 2 2" xfId="3381" xr:uid="{00000000-0005-0000-0000-00007A0C0000}"/>
    <cellStyle name="표준 22 3 2 2 2 2" xfId="3710" xr:uid="{00000000-0005-0000-0000-00007B0C0000}"/>
    <cellStyle name="표준 22 3 2 2 3" xfId="3490" xr:uid="{00000000-0005-0000-0000-00007C0C0000}"/>
    <cellStyle name="표준 22 3 2 2 3 2" xfId="3819" xr:uid="{00000000-0005-0000-0000-00007D0C0000}"/>
    <cellStyle name="표준 22 3 2 2 4" xfId="3602" xr:uid="{00000000-0005-0000-0000-00007E0C0000}"/>
    <cellStyle name="표준 22 3 2 3" xfId="3327" xr:uid="{00000000-0005-0000-0000-00007F0C0000}"/>
    <cellStyle name="표준 22 3 2 3 2" xfId="3656" xr:uid="{00000000-0005-0000-0000-0000800C0000}"/>
    <cellStyle name="표준 22 3 2 4" xfId="3436" xr:uid="{00000000-0005-0000-0000-0000810C0000}"/>
    <cellStyle name="표준 22 3 2 4 2" xfId="3765" xr:uid="{00000000-0005-0000-0000-0000820C0000}"/>
    <cellStyle name="표준 22 3 2 5" xfId="3548" xr:uid="{00000000-0005-0000-0000-0000830C0000}"/>
    <cellStyle name="표준 22 3 3" xfId="3231" xr:uid="{00000000-0005-0000-0000-0000840C0000}"/>
    <cellStyle name="표준 22 3 3 2" xfId="3289" xr:uid="{00000000-0005-0000-0000-0000850C0000}"/>
    <cellStyle name="표준 22 3 3 2 2" xfId="3401" xr:uid="{00000000-0005-0000-0000-0000860C0000}"/>
    <cellStyle name="표준 22 3 3 2 2 2" xfId="3730" xr:uid="{00000000-0005-0000-0000-0000870C0000}"/>
    <cellStyle name="표준 22 3 3 2 3" xfId="3510" xr:uid="{00000000-0005-0000-0000-0000880C0000}"/>
    <cellStyle name="표준 22 3 3 2 3 2" xfId="3839" xr:uid="{00000000-0005-0000-0000-0000890C0000}"/>
    <cellStyle name="표준 22 3 3 2 4" xfId="3622" xr:uid="{00000000-0005-0000-0000-00008A0C0000}"/>
    <cellStyle name="표준 22 3 3 3" xfId="3347" xr:uid="{00000000-0005-0000-0000-00008B0C0000}"/>
    <cellStyle name="표준 22 3 3 3 2" xfId="3676" xr:uid="{00000000-0005-0000-0000-00008C0C0000}"/>
    <cellStyle name="표준 22 3 3 4" xfId="3456" xr:uid="{00000000-0005-0000-0000-00008D0C0000}"/>
    <cellStyle name="표준 22 3 3 4 2" xfId="3785" xr:uid="{00000000-0005-0000-0000-00008E0C0000}"/>
    <cellStyle name="표준 22 3 3 5" xfId="3568" xr:uid="{00000000-0005-0000-0000-00008F0C0000}"/>
    <cellStyle name="표준 22 3 4" xfId="3252" xr:uid="{00000000-0005-0000-0000-0000900C0000}"/>
    <cellStyle name="표준 22 3 4 2" xfId="3364" xr:uid="{00000000-0005-0000-0000-0000910C0000}"/>
    <cellStyle name="표준 22 3 4 2 2" xfId="3693" xr:uid="{00000000-0005-0000-0000-0000920C0000}"/>
    <cellStyle name="표준 22 3 4 3" xfId="3473" xr:uid="{00000000-0005-0000-0000-0000930C0000}"/>
    <cellStyle name="표준 22 3 4 3 2" xfId="3802" xr:uid="{00000000-0005-0000-0000-0000940C0000}"/>
    <cellStyle name="표준 22 3 4 4" xfId="3585" xr:uid="{00000000-0005-0000-0000-0000950C0000}"/>
    <cellStyle name="표준 22 3 5" xfId="3310" xr:uid="{00000000-0005-0000-0000-0000960C0000}"/>
    <cellStyle name="표준 22 3 5 2" xfId="3639" xr:uid="{00000000-0005-0000-0000-0000970C0000}"/>
    <cellStyle name="표준 22 3 6" xfId="3419" xr:uid="{00000000-0005-0000-0000-0000980C0000}"/>
    <cellStyle name="표준 22 3 6 2" xfId="3748" xr:uid="{00000000-0005-0000-0000-0000990C0000}"/>
    <cellStyle name="표준 22 3 7" xfId="3531" xr:uid="{00000000-0005-0000-0000-00009A0C0000}"/>
    <cellStyle name="표준 22 4" xfId="3199" xr:uid="{00000000-0005-0000-0000-00009B0C0000}"/>
    <cellStyle name="표준 22 4 2" xfId="3259" xr:uid="{00000000-0005-0000-0000-00009C0C0000}"/>
    <cellStyle name="표준 22 4 2 2" xfId="3371" xr:uid="{00000000-0005-0000-0000-00009D0C0000}"/>
    <cellStyle name="표준 22 4 2 2 2" xfId="3700" xr:uid="{00000000-0005-0000-0000-00009E0C0000}"/>
    <cellStyle name="표준 22 4 2 3" xfId="3480" xr:uid="{00000000-0005-0000-0000-00009F0C0000}"/>
    <cellStyle name="표준 22 4 2 3 2" xfId="3809" xr:uid="{00000000-0005-0000-0000-0000A00C0000}"/>
    <cellStyle name="표준 22 4 2 4" xfId="3592" xr:uid="{00000000-0005-0000-0000-0000A10C0000}"/>
    <cellStyle name="표준 22 4 3" xfId="3317" xr:uid="{00000000-0005-0000-0000-0000A20C0000}"/>
    <cellStyle name="표준 22 4 3 2" xfId="3646" xr:uid="{00000000-0005-0000-0000-0000A30C0000}"/>
    <cellStyle name="표준 22 4 4" xfId="3426" xr:uid="{00000000-0005-0000-0000-0000A40C0000}"/>
    <cellStyle name="표준 22 4 4 2" xfId="3755" xr:uid="{00000000-0005-0000-0000-0000A50C0000}"/>
    <cellStyle name="표준 22 4 5" xfId="3538" xr:uid="{00000000-0005-0000-0000-0000A60C0000}"/>
    <cellStyle name="표준 22 5" xfId="3221" xr:uid="{00000000-0005-0000-0000-0000A70C0000}"/>
    <cellStyle name="표준 22 5 2" xfId="3279" xr:uid="{00000000-0005-0000-0000-0000A80C0000}"/>
    <cellStyle name="표준 22 5 2 2" xfId="3391" xr:uid="{00000000-0005-0000-0000-0000A90C0000}"/>
    <cellStyle name="표준 22 5 2 2 2" xfId="3720" xr:uid="{00000000-0005-0000-0000-0000AA0C0000}"/>
    <cellStyle name="표준 22 5 2 3" xfId="3500" xr:uid="{00000000-0005-0000-0000-0000AB0C0000}"/>
    <cellStyle name="표준 22 5 2 3 2" xfId="3829" xr:uid="{00000000-0005-0000-0000-0000AC0C0000}"/>
    <cellStyle name="표준 22 5 2 4" xfId="3612" xr:uid="{00000000-0005-0000-0000-0000AD0C0000}"/>
    <cellStyle name="표준 22 5 3" xfId="3337" xr:uid="{00000000-0005-0000-0000-0000AE0C0000}"/>
    <cellStyle name="표준 22 5 3 2" xfId="3666" xr:uid="{00000000-0005-0000-0000-0000AF0C0000}"/>
    <cellStyle name="표준 22 5 4" xfId="3446" xr:uid="{00000000-0005-0000-0000-0000B00C0000}"/>
    <cellStyle name="표준 22 5 4 2" xfId="3775" xr:uid="{00000000-0005-0000-0000-0000B10C0000}"/>
    <cellStyle name="표준 22 5 5" xfId="3558" xr:uid="{00000000-0005-0000-0000-0000B20C0000}"/>
    <cellStyle name="표준 22 6" xfId="3242" xr:uid="{00000000-0005-0000-0000-0000B30C0000}"/>
    <cellStyle name="표준 22 6 2" xfId="3354" xr:uid="{00000000-0005-0000-0000-0000B40C0000}"/>
    <cellStyle name="표준 22 6 2 2" xfId="3683" xr:uid="{00000000-0005-0000-0000-0000B50C0000}"/>
    <cellStyle name="표준 22 6 3" xfId="3463" xr:uid="{00000000-0005-0000-0000-0000B60C0000}"/>
    <cellStyle name="표준 22 6 3 2" xfId="3792" xr:uid="{00000000-0005-0000-0000-0000B70C0000}"/>
    <cellStyle name="표준 22 6 4" xfId="3575" xr:uid="{00000000-0005-0000-0000-0000B80C0000}"/>
    <cellStyle name="표준 22 7" xfId="3300" xr:uid="{00000000-0005-0000-0000-0000B90C0000}"/>
    <cellStyle name="표준 22 7 2" xfId="3629" xr:uid="{00000000-0005-0000-0000-0000BA0C0000}"/>
    <cellStyle name="표준 22 8" xfId="3409" xr:uid="{00000000-0005-0000-0000-0000BB0C0000}"/>
    <cellStyle name="표준 22 8 2" xfId="3738" xr:uid="{00000000-0005-0000-0000-0000BC0C0000}"/>
    <cellStyle name="표준 22 9" xfId="3521" xr:uid="{00000000-0005-0000-0000-0000BD0C0000}"/>
    <cellStyle name="표준 23" xfId="3025" xr:uid="{00000000-0005-0000-0000-0000BE0C0000}"/>
    <cellStyle name="표준 24" xfId="3026" xr:uid="{00000000-0005-0000-0000-0000BF0C0000}"/>
    <cellStyle name="표준 25" xfId="3027" xr:uid="{00000000-0005-0000-0000-0000C00C0000}"/>
    <cellStyle name="표준 26" xfId="3028" xr:uid="{00000000-0005-0000-0000-0000C10C0000}"/>
    <cellStyle name="표준 27" xfId="3029" xr:uid="{00000000-0005-0000-0000-0000C20C0000}"/>
    <cellStyle name="표준 28" xfId="3030" xr:uid="{00000000-0005-0000-0000-0000C30C0000}"/>
    <cellStyle name="표준 29" xfId="3031" xr:uid="{00000000-0005-0000-0000-0000C40C0000}"/>
    <cellStyle name="표준 3" xfId="3032" xr:uid="{00000000-0005-0000-0000-0000C50C0000}"/>
    <cellStyle name="표준 3 2" xfId="5" xr:uid="{00000000-0005-0000-0000-0000C60C0000}"/>
    <cellStyle name="표준 3 3" xfId="3033" xr:uid="{00000000-0005-0000-0000-0000C70C0000}"/>
    <cellStyle name="표준 3 4" xfId="3034" xr:uid="{00000000-0005-0000-0000-0000C80C0000}"/>
    <cellStyle name="표준 3 5" xfId="3035" xr:uid="{00000000-0005-0000-0000-0000C90C0000}"/>
    <cellStyle name="표준 3 6" xfId="3036" xr:uid="{00000000-0005-0000-0000-0000CA0C0000}"/>
    <cellStyle name="표준 3 7" xfId="3037" xr:uid="{00000000-0005-0000-0000-0000CB0C0000}"/>
    <cellStyle name="표준 3 8" xfId="3038" xr:uid="{00000000-0005-0000-0000-0000CC0C0000}"/>
    <cellStyle name="표준 3 9" xfId="3039" xr:uid="{00000000-0005-0000-0000-0000CD0C0000}"/>
    <cellStyle name="표준 30" xfId="3040" xr:uid="{00000000-0005-0000-0000-0000CE0C0000}"/>
    <cellStyle name="표준 30 10" xfId="3041" xr:uid="{00000000-0005-0000-0000-0000CF0C0000}"/>
    <cellStyle name="표준 30 11" xfId="3042" xr:uid="{00000000-0005-0000-0000-0000D00C0000}"/>
    <cellStyle name="표준 30 12" xfId="3043" xr:uid="{00000000-0005-0000-0000-0000D10C0000}"/>
    <cellStyle name="표준 30 2" xfId="3044" xr:uid="{00000000-0005-0000-0000-0000D20C0000}"/>
    <cellStyle name="표준 30 3" xfId="3045" xr:uid="{00000000-0005-0000-0000-0000D30C0000}"/>
    <cellStyle name="표준 30 4" xfId="3046" xr:uid="{00000000-0005-0000-0000-0000D40C0000}"/>
    <cellStyle name="표준 30 5" xfId="3047" xr:uid="{00000000-0005-0000-0000-0000D50C0000}"/>
    <cellStyle name="표준 30 6" xfId="3048" xr:uid="{00000000-0005-0000-0000-0000D60C0000}"/>
    <cellStyle name="표준 30 7" xfId="3049" xr:uid="{00000000-0005-0000-0000-0000D70C0000}"/>
    <cellStyle name="표준 30 8" xfId="3050" xr:uid="{00000000-0005-0000-0000-0000D80C0000}"/>
    <cellStyle name="표준 30 9" xfId="3051" xr:uid="{00000000-0005-0000-0000-0000D90C0000}"/>
    <cellStyle name="표준 31" xfId="3052" xr:uid="{00000000-0005-0000-0000-0000DA0C0000}"/>
    <cellStyle name="표준 32" xfId="3053" xr:uid="{00000000-0005-0000-0000-0000DB0C0000}"/>
    <cellStyle name="표준 33" xfId="3054" xr:uid="{00000000-0005-0000-0000-0000DC0C0000}"/>
    <cellStyle name="표준 34" xfId="3055" xr:uid="{00000000-0005-0000-0000-0000DD0C0000}"/>
    <cellStyle name="표준 35" xfId="3056" xr:uid="{00000000-0005-0000-0000-0000DE0C0000}"/>
    <cellStyle name="표준 36" xfId="3057" xr:uid="{00000000-0005-0000-0000-0000DF0C0000}"/>
    <cellStyle name="표준 37" xfId="3058" xr:uid="{00000000-0005-0000-0000-0000E00C0000}"/>
    <cellStyle name="표준 38" xfId="3059" xr:uid="{00000000-0005-0000-0000-0000E10C0000}"/>
    <cellStyle name="표준 39" xfId="3060" xr:uid="{00000000-0005-0000-0000-0000E20C0000}"/>
    <cellStyle name="표준 4" xfId="3061" xr:uid="{00000000-0005-0000-0000-0000E30C0000}"/>
    <cellStyle name="표준 4 2" xfId="6" xr:uid="{00000000-0005-0000-0000-0000E40C0000}"/>
    <cellStyle name="표준 4 3" xfId="3062" xr:uid="{00000000-0005-0000-0000-0000E50C0000}"/>
    <cellStyle name="표준 4 4" xfId="3063" xr:uid="{00000000-0005-0000-0000-0000E60C0000}"/>
    <cellStyle name="표준 4 5" xfId="3064" xr:uid="{00000000-0005-0000-0000-0000E70C0000}"/>
    <cellStyle name="표준 4 6" xfId="3065" xr:uid="{00000000-0005-0000-0000-0000E80C0000}"/>
    <cellStyle name="표준 4 7" xfId="3066" xr:uid="{00000000-0005-0000-0000-0000E90C0000}"/>
    <cellStyle name="표준 40" xfId="3067" xr:uid="{00000000-0005-0000-0000-0000EA0C0000}"/>
    <cellStyle name="표준 41" xfId="3120" xr:uid="{00000000-0005-0000-0000-0000EB0C0000}"/>
    <cellStyle name="표준 42" xfId="3122" xr:uid="{00000000-0005-0000-0000-0000EC0C0000}"/>
    <cellStyle name="표준 43" xfId="3068" xr:uid="{00000000-0005-0000-0000-0000ED0C0000}"/>
    <cellStyle name="표준 44" xfId="3069" xr:uid="{00000000-0005-0000-0000-0000EE0C0000}"/>
    <cellStyle name="표준 45" xfId="3070" xr:uid="{00000000-0005-0000-0000-0000EF0C0000}"/>
    <cellStyle name="표준 46" xfId="3123" xr:uid="{00000000-0005-0000-0000-0000F00C0000}"/>
    <cellStyle name="표준 46 2" xfId="3179" xr:uid="{00000000-0005-0000-0000-0000F10C0000}"/>
    <cellStyle name="표준 46 2 2" xfId="3193" xr:uid="{00000000-0005-0000-0000-0000F20C0000}"/>
    <cellStyle name="표준 46 2 2 2" xfId="3214" xr:uid="{00000000-0005-0000-0000-0000F30C0000}"/>
    <cellStyle name="표준 46 2 2 2 2" xfId="3274" xr:uid="{00000000-0005-0000-0000-0000F40C0000}"/>
    <cellStyle name="표준 46 2 2 2 2 2" xfId="3386" xr:uid="{00000000-0005-0000-0000-0000F50C0000}"/>
    <cellStyle name="표준 46 2 2 2 2 2 2" xfId="3715" xr:uid="{00000000-0005-0000-0000-0000F60C0000}"/>
    <cellStyle name="표준 46 2 2 2 2 3" xfId="3495" xr:uid="{00000000-0005-0000-0000-0000F70C0000}"/>
    <cellStyle name="표준 46 2 2 2 2 3 2" xfId="3824" xr:uid="{00000000-0005-0000-0000-0000F80C0000}"/>
    <cellStyle name="표준 46 2 2 2 2 4" xfId="3607" xr:uid="{00000000-0005-0000-0000-0000F90C0000}"/>
    <cellStyle name="표준 46 2 2 2 3" xfId="3332" xr:uid="{00000000-0005-0000-0000-0000FA0C0000}"/>
    <cellStyle name="표준 46 2 2 2 3 2" xfId="3661" xr:uid="{00000000-0005-0000-0000-0000FB0C0000}"/>
    <cellStyle name="표준 46 2 2 2 4" xfId="3441" xr:uid="{00000000-0005-0000-0000-0000FC0C0000}"/>
    <cellStyle name="표준 46 2 2 2 4 2" xfId="3770" xr:uid="{00000000-0005-0000-0000-0000FD0C0000}"/>
    <cellStyle name="표준 46 2 2 2 5" xfId="3553" xr:uid="{00000000-0005-0000-0000-0000FE0C0000}"/>
    <cellStyle name="표준 46 2 2 3" xfId="3236" xr:uid="{00000000-0005-0000-0000-0000FF0C0000}"/>
    <cellStyle name="표준 46 2 2 3 2" xfId="3294" xr:uid="{00000000-0005-0000-0000-0000000D0000}"/>
    <cellStyle name="표준 46 2 2 3 2 2" xfId="3406" xr:uid="{00000000-0005-0000-0000-0000010D0000}"/>
    <cellStyle name="표준 46 2 2 3 2 2 2" xfId="3735" xr:uid="{00000000-0005-0000-0000-0000020D0000}"/>
    <cellStyle name="표준 46 2 2 3 2 3" xfId="3515" xr:uid="{00000000-0005-0000-0000-0000030D0000}"/>
    <cellStyle name="표준 46 2 2 3 2 3 2" xfId="3844" xr:uid="{00000000-0005-0000-0000-0000040D0000}"/>
    <cellStyle name="표준 46 2 2 3 2 4" xfId="3627" xr:uid="{00000000-0005-0000-0000-0000050D0000}"/>
    <cellStyle name="표준 46 2 2 3 3" xfId="3352" xr:uid="{00000000-0005-0000-0000-0000060D0000}"/>
    <cellStyle name="표준 46 2 2 3 3 2" xfId="3681" xr:uid="{00000000-0005-0000-0000-0000070D0000}"/>
    <cellStyle name="표준 46 2 2 3 4" xfId="3461" xr:uid="{00000000-0005-0000-0000-0000080D0000}"/>
    <cellStyle name="표준 46 2 2 3 4 2" xfId="3790" xr:uid="{00000000-0005-0000-0000-0000090D0000}"/>
    <cellStyle name="표준 46 2 2 3 5" xfId="3573" xr:uid="{00000000-0005-0000-0000-00000A0D0000}"/>
    <cellStyle name="표준 46 2 2 4" xfId="3257" xr:uid="{00000000-0005-0000-0000-00000B0D0000}"/>
    <cellStyle name="표준 46 2 2 4 2" xfId="3369" xr:uid="{00000000-0005-0000-0000-00000C0D0000}"/>
    <cellStyle name="표준 46 2 2 4 2 2" xfId="3698" xr:uid="{00000000-0005-0000-0000-00000D0D0000}"/>
    <cellStyle name="표준 46 2 2 4 3" xfId="3478" xr:uid="{00000000-0005-0000-0000-00000E0D0000}"/>
    <cellStyle name="표준 46 2 2 4 3 2" xfId="3807" xr:uid="{00000000-0005-0000-0000-00000F0D0000}"/>
    <cellStyle name="표준 46 2 2 4 4" xfId="3590" xr:uid="{00000000-0005-0000-0000-0000100D0000}"/>
    <cellStyle name="표준 46 2 2 5" xfId="3315" xr:uid="{00000000-0005-0000-0000-0000110D0000}"/>
    <cellStyle name="표준 46 2 2 5 2" xfId="3644" xr:uid="{00000000-0005-0000-0000-0000120D0000}"/>
    <cellStyle name="표준 46 2 2 6" xfId="3424" xr:uid="{00000000-0005-0000-0000-0000130D0000}"/>
    <cellStyle name="표준 46 2 2 6 2" xfId="3753" xr:uid="{00000000-0005-0000-0000-0000140D0000}"/>
    <cellStyle name="표준 46 2 2 7" xfId="3536" xr:uid="{00000000-0005-0000-0000-0000150D0000}"/>
    <cellStyle name="표준 46 2 3" xfId="3204" xr:uid="{00000000-0005-0000-0000-0000160D0000}"/>
    <cellStyle name="표준 46 2 3 2" xfId="3264" xr:uid="{00000000-0005-0000-0000-0000170D0000}"/>
    <cellStyle name="표준 46 2 3 2 2" xfId="3376" xr:uid="{00000000-0005-0000-0000-0000180D0000}"/>
    <cellStyle name="표준 46 2 3 2 2 2" xfId="3705" xr:uid="{00000000-0005-0000-0000-0000190D0000}"/>
    <cellStyle name="표준 46 2 3 2 3" xfId="3485" xr:uid="{00000000-0005-0000-0000-00001A0D0000}"/>
    <cellStyle name="표준 46 2 3 2 3 2" xfId="3814" xr:uid="{00000000-0005-0000-0000-00001B0D0000}"/>
    <cellStyle name="표준 46 2 3 2 4" xfId="3597" xr:uid="{00000000-0005-0000-0000-00001C0D0000}"/>
    <cellStyle name="표준 46 2 3 3" xfId="3322" xr:uid="{00000000-0005-0000-0000-00001D0D0000}"/>
    <cellStyle name="표준 46 2 3 3 2" xfId="3651" xr:uid="{00000000-0005-0000-0000-00001E0D0000}"/>
    <cellStyle name="표준 46 2 3 4" xfId="3431" xr:uid="{00000000-0005-0000-0000-00001F0D0000}"/>
    <cellStyle name="표준 46 2 3 4 2" xfId="3760" xr:uid="{00000000-0005-0000-0000-0000200D0000}"/>
    <cellStyle name="표준 46 2 3 5" xfId="3543" xr:uid="{00000000-0005-0000-0000-0000210D0000}"/>
    <cellStyle name="표준 46 2 4" xfId="3226" xr:uid="{00000000-0005-0000-0000-0000220D0000}"/>
    <cellStyle name="표준 46 2 4 2" xfId="3284" xr:uid="{00000000-0005-0000-0000-0000230D0000}"/>
    <cellStyle name="표준 46 2 4 2 2" xfId="3396" xr:uid="{00000000-0005-0000-0000-0000240D0000}"/>
    <cellStyle name="표준 46 2 4 2 2 2" xfId="3725" xr:uid="{00000000-0005-0000-0000-0000250D0000}"/>
    <cellStyle name="표준 46 2 4 2 3" xfId="3505" xr:uid="{00000000-0005-0000-0000-0000260D0000}"/>
    <cellStyle name="표준 46 2 4 2 3 2" xfId="3834" xr:uid="{00000000-0005-0000-0000-0000270D0000}"/>
    <cellStyle name="표준 46 2 4 2 4" xfId="3617" xr:uid="{00000000-0005-0000-0000-0000280D0000}"/>
    <cellStyle name="표준 46 2 4 3" xfId="3342" xr:uid="{00000000-0005-0000-0000-0000290D0000}"/>
    <cellStyle name="표준 46 2 4 3 2" xfId="3671" xr:uid="{00000000-0005-0000-0000-00002A0D0000}"/>
    <cellStyle name="표준 46 2 4 4" xfId="3451" xr:uid="{00000000-0005-0000-0000-00002B0D0000}"/>
    <cellStyle name="표준 46 2 4 4 2" xfId="3780" xr:uid="{00000000-0005-0000-0000-00002C0D0000}"/>
    <cellStyle name="표준 46 2 4 5" xfId="3563" xr:uid="{00000000-0005-0000-0000-00002D0D0000}"/>
    <cellStyle name="표준 46 2 5" xfId="3247" xr:uid="{00000000-0005-0000-0000-00002E0D0000}"/>
    <cellStyle name="표준 46 2 5 2" xfId="3359" xr:uid="{00000000-0005-0000-0000-00002F0D0000}"/>
    <cellStyle name="표준 46 2 5 2 2" xfId="3688" xr:uid="{00000000-0005-0000-0000-0000300D0000}"/>
    <cellStyle name="표준 46 2 5 3" xfId="3468" xr:uid="{00000000-0005-0000-0000-0000310D0000}"/>
    <cellStyle name="표준 46 2 5 3 2" xfId="3797" xr:uid="{00000000-0005-0000-0000-0000320D0000}"/>
    <cellStyle name="표준 46 2 5 4" xfId="3580" xr:uid="{00000000-0005-0000-0000-0000330D0000}"/>
    <cellStyle name="표준 46 2 6" xfId="3305" xr:uid="{00000000-0005-0000-0000-0000340D0000}"/>
    <cellStyle name="표준 46 2 6 2" xfId="3634" xr:uid="{00000000-0005-0000-0000-0000350D0000}"/>
    <cellStyle name="표준 46 2 7" xfId="3414" xr:uid="{00000000-0005-0000-0000-0000360D0000}"/>
    <cellStyle name="표준 46 2 7 2" xfId="3743" xr:uid="{00000000-0005-0000-0000-0000370D0000}"/>
    <cellStyle name="표준 46 2 8" xfId="3526" xr:uid="{00000000-0005-0000-0000-0000380D0000}"/>
    <cellStyle name="표준 46 3" xfId="3189" xr:uid="{00000000-0005-0000-0000-0000390D0000}"/>
    <cellStyle name="표준 46 3 2" xfId="3210" xr:uid="{00000000-0005-0000-0000-00003A0D0000}"/>
    <cellStyle name="표준 46 3 2 2" xfId="3270" xr:uid="{00000000-0005-0000-0000-00003B0D0000}"/>
    <cellStyle name="표준 46 3 2 2 2" xfId="3382" xr:uid="{00000000-0005-0000-0000-00003C0D0000}"/>
    <cellStyle name="표준 46 3 2 2 2 2" xfId="3711" xr:uid="{00000000-0005-0000-0000-00003D0D0000}"/>
    <cellStyle name="표준 46 3 2 2 3" xfId="3491" xr:uid="{00000000-0005-0000-0000-00003E0D0000}"/>
    <cellStyle name="표준 46 3 2 2 3 2" xfId="3820" xr:uid="{00000000-0005-0000-0000-00003F0D0000}"/>
    <cellStyle name="표준 46 3 2 2 4" xfId="3603" xr:uid="{00000000-0005-0000-0000-0000400D0000}"/>
    <cellStyle name="표준 46 3 2 3" xfId="3328" xr:uid="{00000000-0005-0000-0000-0000410D0000}"/>
    <cellStyle name="표준 46 3 2 3 2" xfId="3657" xr:uid="{00000000-0005-0000-0000-0000420D0000}"/>
    <cellStyle name="표준 46 3 2 4" xfId="3437" xr:uid="{00000000-0005-0000-0000-0000430D0000}"/>
    <cellStyle name="표준 46 3 2 4 2" xfId="3766" xr:uid="{00000000-0005-0000-0000-0000440D0000}"/>
    <cellStyle name="표준 46 3 2 5" xfId="3549" xr:uid="{00000000-0005-0000-0000-0000450D0000}"/>
    <cellStyle name="표준 46 3 3" xfId="3232" xr:uid="{00000000-0005-0000-0000-0000460D0000}"/>
    <cellStyle name="표준 46 3 3 2" xfId="3290" xr:uid="{00000000-0005-0000-0000-0000470D0000}"/>
    <cellStyle name="표준 46 3 3 2 2" xfId="3402" xr:uid="{00000000-0005-0000-0000-0000480D0000}"/>
    <cellStyle name="표준 46 3 3 2 2 2" xfId="3731" xr:uid="{00000000-0005-0000-0000-0000490D0000}"/>
    <cellStyle name="표준 46 3 3 2 3" xfId="3511" xr:uid="{00000000-0005-0000-0000-00004A0D0000}"/>
    <cellStyle name="표준 46 3 3 2 3 2" xfId="3840" xr:uid="{00000000-0005-0000-0000-00004B0D0000}"/>
    <cellStyle name="표준 46 3 3 2 4" xfId="3623" xr:uid="{00000000-0005-0000-0000-00004C0D0000}"/>
    <cellStyle name="표준 46 3 3 3" xfId="3348" xr:uid="{00000000-0005-0000-0000-00004D0D0000}"/>
    <cellStyle name="표준 46 3 3 3 2" xfId="3677" xr:uid="{00000000-0005-0000-0000-00004E0D0000}"/>
    <cellStyle name="표준 46 3 3 4" xfId="3457" xr:uid="{00000000-0005-0000-0000-00004F0D0000}"/>
    <cellStyle name="표준 46 3 3 4 2" xfId="3786" xr:uid="{00000000-0005-0000-0000-0000500D0000}"/>
    <cellStyle name="표준 46 3 3 5" xfId="3569" xr:uid="{00000000-0005-0000-0000-0000510D0000}"/>
    <cellStyle name="표준 46 3 4" xfId="3253" xr:uid="{00000000-0005-0000-0000-0000520D0000}"/>
    <cellStyle name="표준 46 3 4 2" xfId="3365" xr:uid="{00000000-0005-0000-0000-0000530D0000}"/>
    <cellStyle name="표준 46 3 4 2 2" xfId="3694" xr:uid="{00000000-0005-0000-0000-0000540D0000}"/>
    <cellStyle name="표준 46 3 4 3" xfId="3474" xr:uid="{00000000-0005-0000-0000-0000550D0000}"/>
    <cellStyle name="표준 46 3 4 3 2" xfId="3803" xr:uid="{00000000-0005-0000-0000-0000560D0000}"/>
    <cellStyle name="표준 46 3 4 4" xfId="3586" xr:uid="{00000000-0005-0000-0000-0000570D0000}"/>
    <cellStyle name="표준 46 3 5" xfId="3311" xr:uid="{00000000-0005-0000-0000-0000580D0000}"/>
    <cellStyle name="표준 46 3 5 2" xfId="3640" xr:uid="{00000000-0005-0000-0000-0000590D0000}"/>
    <cellStyle name="표준 46 3 6" xfId="3420" xr:uid="{00000000-0005-0000-0000-00005A0D0000}"/>
    <cellStyle name="표준 46 3 6 2" xfId="3749" xr:uid="{00000000-0005-0000-0000-00005B0D0000}"/>
    <cellStyle name="표준 46 3 7" xfId="3532" xr:uid="{00000000-0005-0000-0000-00005C0D0000}"/>
    <cellStyle name="표준 46 4" xfId="3200" xr:uid="{00000000-0005-0000-0000-00005D0D0000}"/>
    <cellStyle name="표준 46 4 2" xfId="3260" xr:uid="{00000000-0005-0000-0000-00005E0D0000}"/>
    <cellStyle name="표준 46 4 2 2" xfId="3372" xr:uid="{00000000-0005-0000-0000-00005F0D0000}"/>
    <cellStyle name="표준 46 4 2 2 2" xfId="3701" xr:uid="{00000000-0005-0000-0000-0000600D0000}"/>
    <cellStyle name="표준 46 4 2 3" xfId="3481" xr:uid="{00000000-0005-0000-0000-0000610D0000}"/>
    <cellStyle name="표준 46 4 2 3 2" xfId="3810" xr:uid="{00000000-0005-0000-0000-0000620D0000}"/>
    <cellStyle name="표준 46 4 2 4" xfId="3593" xr:uid="{00000000-0005-0000-0000-0000630D0000}"/>
    <cellStyle name="표준 46 4 3" xfId="3318" xr:uid="{00000000-0005-0000-0000-0000640D0000}"/>
    <cellStyle name="표준 46 4 3 2" xfId="3647" xr:uid="{00000000-0005-0000-0000-0000650D0000}"/>
    <cellStyle name="표준 46 4 4" xfId="3427" xr:uid="{00000000-0005-0000-0000-0000660D0000}"/>
    <cellStyle name="표준 46 4 4 2" xfId="3756" xr:uid="{00000000-0005-0000-0000-0000670D0000}"/>
    <cellStyle name="표준 46 4 5" xfId="3539" xr:uid="{00000000-0005-0000-0000-0000680D0000}"/>
    <cellStyle name="표준 46 5" xfId="3222" xr:uid="{00000000-0005-0000-0000-0000690D0000}"/>
    <cellStyle name="표준 46 5 2" xfId="3280" xr:uid="{00000000-0005-0000-0000-00006A0D0000}"/>
    <cellStyle name="표준 46 5 2 2" xfId="3392" xr:uid="{00000000-0005-0000-0000-00006B0D0000}"/>
    <cellStyle name="표준 46 5 2 2 2" xfId="3721" xr:uid="{00000000-0005-0000-0000-00006C0D0000}"/>
    <cellStyle name="표준 46 5 2 3" xfId="3501" xr:uid="{00000000-0005-0000-0000-00006D0D0000}"/>
    <cellStyle name="표준 46 5 2 3 2" xfId="3830" xr:uid="{00000000-0005-0000-0000-00006E0D0000}"/>
    <cellStyle name="표준 46 5 2 4" xfId="3613" xr:uid="{00000000-0005-0000-0000-00006F0D0000}"/>
    <cellStyle name="표준 46 5 3" xfId="3338" xr:uid="{00000000-0005-0000-0000-0000700D0000}"/>
    <cellStyle name="표준 46 5 3 2" xfId="3667" xr:uid="{00000000-0005-0000-0000-0000710D0000}"/>
    <cellStyle name="표준 46 5 4" xfId="3447" xr:uid="{00000000-0005-0000-0000-0000720D0000}"/>
    <cellStyle name="표준 46 5 4 2" xfId="3776" xr:uid="{00000000-0005-0000-0000-0000730D0000}"/>
    <cellStyle name="표준 46 5 5" xfId="3559" xr:uid="{00000000-0005-0000-0000-0000740D0000}"/>
    <cellStyle name="표준 46 6" xfId="3243" xr:uid="{00000000-0005-0000-0000-0000750D0000}"/>
    <cellStyle name="표준 46 6 2" xfId="3355" xr:uid="{00000000-0005-0000-0000-0000760D0000}"/>
    <cellStyle name="표준 46 6 2 2" xfId="3684" xr:uid="{00000000-0005-0000-0000-0000770D0000}"/>
    <cellStyle name="표준 46 6 3" xfId="3464" xr:uid="{00000000-0005-0000-0000-0000780D0000}"/>
    <cellStyle name="표준 46 6 3 2" xfId="3793" xr:uid="{00000000-0005-0000-0000-0000790D0000}"/>
    <cellStyle name="표준 46 6 4" xfId="3576" xr:uid="{00000000-0005-0000-0000-00007A0D0000}"/>
    <cellStyle name="표준 46 7" xfId="3301" xr:uid="{00000000-0005-0000-0000-00007B0D0000}"/>
    <cellStyle name="표준 46 7 2" xfId="3630" xr:uid="{00000000-0005-0000-0000-00007C0D0000}"/>
    <cellStyle name="표준 46 8" xfId="3410" xr:uid="{00000000-0005-0000-0000-00007D0D0000}"/>
    <cellStyle name="표준 46 8 2" xfId="3739" xr:uid="{00000000-0005-0000-0000-00007E0D0000}"/>
    <cellStyle name="표준 46 9" xfId="3522" xr:uid="{00000000-0005-0000-0000-00007F0D0000}"/>
    <cellStyle name="표준 47" xfId="3127" xr:uid="{00000000-0005-0000-0000-0000800D0000}"/>
    <cellStyle name="표준 48" xfId="3071" xr:uid="{00000000-0005-0000-0000-0000810D0000}"/>
    <cellStyle name="표준 49" xfId="3170" xr:uid="{00000000-0005-0000-0000-0000820D0000}"/>
    <cellStyle name="표준 5" xfId="3072" xr:uid="{00000000-0005-0000-0000-0000830D0000}"/>
    <cellStyle name="표준 5 2" xfId="3073" xr:uid="{00000000-0005-0000-0000-0000840D0000}"/>
    <cellStyle name="표준 5 3" xfId="3074" xr:uid="{00000000-0005-0000-0000-0000850D0000}"/>
    <cellStyle name="표준 5 4" xfId="3075" xr:uid="{00000000-0005-0000-0000-0000860D0000}"/>
    <cellStyle name="표준 5 5" xfId="3076" xr:uid="{00000000-0005-0000-0000-0000870D0000}"/>
    <cellStyle name="표준 5 6" xfId="3077" xr:uid="{00000000-0005-0000-0000-0000880D0000}"/>
    <cellStyle name="표준 5 7" xfId="3078" xr:uid="{00000000-0005-0000-0000-0000890D0000}"/>
    <cellStyle name="표준 5 8" xfId="3079" xr:uid="{00000000-0005-0000-0000-00008A0D0000}"/>
    <cellStyle name="표준 5 9" xfId="3080" xr:uid="{00000000-0005-0000-0000-00008B0D0000}"/>
    <cellStyle name="표준 50" xfId="3081" xr:uid="{00000000-0005-0000-0000-00008C0D0000}"/>
    <cellStyle name="표준 51" xfId="3082" xr:uid="{00000000-0005-0000-0000-00008D0D0000}"/>
    <cellStyle name="표준 52" xfId="3083" xr:uid="{00000000-0005-0000-0000-00008E0D0000}"/>
    <cellStyle name="표준 52 2" xfId="3084" xr:uid="{00000000-0005-0000-0000-00008F0D0000}"/>
    <cellStyle name="표준 52 3" xfId="3085" xr:uid="{00000000-0005-0000-0000-0000900D0000}"/>
    <cellStyle name="표준 52 4" xfId="3086" xr:uid="{00000000-0005-0000-0000-0000910D0000}"/>
    <cellStyle name="표준 52 5" xfId="3087" xr:uid="{00000000-0005-0000-0000-0000920D0000}"/>
    <cellStyle name="표준 52 6" xfId="3088" xr:uid="{00000000-0005-0000-0000-0000930D0000}"/>
    <cellStyle name="표준 52 7" xfId="3089" xr:uid="{00000000-0005-0000-0000-0000940D0000}"/>
    <cellStyle name="표준 53" xfId="3171" xr:uid="{00000000-0005-0000-0000-0000950D0000}"/>
    <cellStyle name="표준 54" xfId="3173" xr:uid="{00000000-0005-0000-0000-0000960D0000}"/>
    <cellStyle name="표준 55" xfId="3172" xr:uid="{00000000-0005-0000-0000-0000970D0000}"/>
    <cellStyle name="표준 55 2" xfId="3190" xr:uid="{00000000-0005-0000-0000-0000980D0000}"/>
    <cellStyle name="표준 55 2 2" xfId="3211" xr:uid="{00000000-0005-0000-0000-0000990D0000}"/>
    <cellStyle name="표준 55 2 2 2" xfId="3271" xr:uid="{00000000-0005-0000-0000-00009A0D0000}"/>
    <cellStyle name="표준 55 2 2 2 2" xfId="3383" xr:uid="{00000000-0005-0000-0000-00009B0D0000}"/>
    <cellStyle name="표준 55 2 2 2 2 2" xfId="3712" xr:uid="{00000000-0005-0000-0000-00009C0D0000}"/>
    <cellStyle name="표준 55 2 2 2 3" xfId="3492" xr:uid="{00000000-0005-0000-0000-00009D0D0000}"/>
    <cellStyle name="표준 55 2 2 2 3 2" xfId="3821" xr:uid="{00000000-0005-0000-0000-00009E0D0000}"/>
    <cellStyle name="표준 55 2 2 2 4" xfId="3604" xr:uid="{00000000-0005-0000-0000-00009F0D0000}"/>
    <cellStyle name="표준 55 2 2 3" xfId="3329" xr:uid="{00000000-0005-0000-0000-0000A00D0000}"/>
    <cellStyle name="표준 55 2 2 3 2" xfId="3658" xr:uid="{00000000-0005-0000-0000-0000A10D0000}"/>
    <cellStyle name="표준 55 2 2 4" xfId="3438" xr:uid="{00000000-0005-0000-0000-0000A20D0000}"/>
    <cellStyle name="표준 55 2 2 4 2" xfId="3767" xr:uid="{00000000-0005-0000-0000-0000A30D0000}"/>
    <cellStyle name="표준 55 2 2 5" xfId="3550" xr:uid="{00000000-0005-0000-0000-0000A40D0000}"/>
    <cellStyle name="표준 55 2 3" xfId="3233" xr:uid="{00000000-0005-0000-0000-0000A50D0000}"/>
    <cellStyle name="표준 55 2 3 2" xfId="3291" xr:uid="{00000000-0005-0000-0000-0000A60D0000}"/>
    <cellStyle name="표준 55 2 3 2 2" xfId="3403" xr:uid="{00000000-0005-0000-0000-0000A70D0000}"/>
    <cellStyle name="표준 55 2 3 2 2 2" xfId="3732" xr:uid="{00000000-0005-0000-0000-0000A80D0000}"/>
    <cellStyle name="표준 55 2 3 2 3" xfId="3512" xr:uid="{00000000-0005-0000-0000-0000A90D0000}"/>
    <cellStyle name="표준 55 2 3 2 3 2" xfId="3841" xr:uid="{00000000-0005-0000-0000-0000AA0D0000}"/>
    <cellStyle name="표준 55 2 3 2 4" xfId="3624" xr:uid="{00000000-0005-0000-0000-0000AB0D0000}"/>
    <cellStyle name="표준 55 2 3 3" xfId="3349" xr:uid="{00000000-0005-0000-0000-0000AC0D0000}"/>
    <cellStyle name="표준 55 2 3 3 2" xfId="3678" xr:uid="{00000000-0005-0000-0000-0000AD0D0000}"/>
    <cellStyle name="표준 55 2 3 4" xfId="3458" xr:uid="{00000000-0005-0000-0000-0000AE0D0000}"/>
    <cellStyle name="표준 55 2 3 4 2" xfId="3787" xr:uid="{00000000-0005-0000-0000-0000AF0D0000}"/>
    <cellStyle name="표준 55 2 3 5" xfId="3570" xr:uid="{00000000-0005-0000-0000-0000B00D0000}"/>
    <cellStyle name="표준 55 2 4" xfId="3254" xr:uid="{00000000-0005-0000-0000-0000B10D0000}"/>
    <cellStyle name="표준 55 2 4 2" xfId="3366" xr:uid="{00000000-0005-0000-0000-0000B20D0000}"/>
    <cellStyle name="표준 55 2 4 2 2" xfId="3695" xr:uid="{00000000-0005-0000-0000-0000B30D0000}"/>
    <cellStyle name="표준 55 2 4 3" xfId="3475" xr:uid="{00000000-0005-0000-0000-0000B40D0000}"/>
    <cellStyle name="표준 55 2 4 3 2" xfId="3804" xr:uid="{00000000-0005-0000-0000-0000B50D0000}"/>
    <cellStyle name="표준 55 2 4 4" xfId="3587" xr:uid="{00000000-0005-0000-0000-0000B60D0000}"/>
    <cellStyle name="표준 55 2 5" xfId="3312" xr:uid="{00000000-0005-0000-0000-0000B70D0000}"/>
    <cellStyle name="표준 55 2 5 2" xfId="3641" xr:uid="{00000000-0005-0000-0000-0000B80D0000}"/>
    <cellStyle name="표준 55 2 6" xfId="3421" xr:uid="{00000000-0005-0000-0000-0000B90D0000}"/>
    <cellStyle name="표준 55 2 6 2" xfId="3750" xr:uid="{00000000-0005-0000-0000-0000BA0D0000}"/>
    <cellStyle name="표준 55 2 7" xfId="3533" xr:uid="{00000000-0005-0000-0000-0000BB0D0000}"/>
    <cellStyle name="표준 55 3" xfId="3201" xr:uid="{00000000-0005-0000-0000-0000BC0D0000}"/>
    <cellStyle name="표준 55 3 2" xfId="3261" xr:uid="{00000000-0005-0000-0000-0000BD0D0000}"/>
    <cellStyle name="표준 55 3 2 2" xfId="3373" xr:uid="{00000000-0005-0000-0000-0000BE0D0000}"/>
    <cellStyle name="표준 55 3 2 2 2" xfId="3702" xr:uid="{00000000-0005-0000-0000-0000BF0D0000}"/>
    <cellStyle name="표준 55 3 2 3" xfId="3482" xr:uid="{00000000-0005-0000-0000-0000C00D0000}"/>
    <cellStyle name="표준 55 3 2 3 2" xfId="3811" xr:uid="{00000000-0005-0000-0000-0000C10D0000}"/>
    <cellStyle name="표준 55 3 2 4" xfId="3594" xr:uid="{00000000-0005-0000-0000-0000C20D0000}"/>
    <cellStyle name="표준 55 3 3" xfId="3319" xr:uid="{00000000-0005-0000-0000-0000C30D0000}"/>
    <cellStyle name="표준 55 3 3 2" xfId="3648" xr:uid="{00000000-0005-0000-0000-0000C40D0000}"/>
    <cellStyle name="표준 55 3 4" xfId="3428" xr:uid="{00000000-0005-0000-0000-0000C50D0000}"/>
    <cellStyle name="표준 55 3 4 2" xfId="3757" xr:uid="{00000000-0005-0000-0000-0000C60D0000}"/>
    <cellStyle name="표준 55 3 5" xfId="3540" xr:uid="{00000000-0005-0000-0000-0000C70D0000}"/>
    <cellStyle name="표준 55 4" xfId="3223" xr:uid="{00000000-0005-0000-0000-0000C80D0000}"/>
    <cellStyle name="표준 55 4 2" xfId="3281" xr:uid="{00000000-0005-0000-0000-0000C90D0000}"/>
    <cellStyle name="표준 55 4 2 2" xfId="3393" xr:uid="{00000000-0005-0000-0000-0000CA0D0000}"/>
    <cellStyle name="표준 55 4 2 2 2" xfId="3722" xr:uid="{00000000-0005-0000-0000-0000CB0D0000}"/>
    <cellStyle name="표준 55 4 2 3" xfId="3502" xr:uid="{00000000-0005-0000-0000-0000CC0D0000}"/>
    <cellStyle name="표준 55 4 2 3 2" xfId="3831" xr:uid="{00000000-0005-0000-0000-0000CD0D0000}"/>
    <cellStyle name="표준 55 4 2 4" xfId="3614" xr:uid="{00000000-0005-0000-0000-0000CE0D0000}"/>
    <cellStyle name="표준 55 4 3" xfId="3339" xr:uid="{00000000-0005-0000-0000-0000CF0D0000}"/>
    <cellStyle name="표준 55 4 3 2" xfId="3668" xr:uid="{00000000-0005-0000-0000-0000D00D0000}"/>
    <cellStyle name="표준 55 4 4" xfId="3448" xr:uid="{00000000-0005-0000-0000-0000D10D0000}"/>
    <cellStyle name="표준 55 4 4 2" xfId="3777" xr:uid="{00000000-0005-0000-0000-0000D20D0000}"/>
    <cellStyle name="표준 55 4 5" xfId="3560" xr:uid="{00000000-0005-0000-0000-0000D30D0000}"/>
    <cellStyle name="표준 55 5" xfId="3244" xr:uid="{00000000-0005-0000-0000-0000D40D0000}"/>
    <cellStyle name="표준 55 5 2" xfId="3356" xr:uid="{00000000-0005-0000-0000-0000D50D0000}"/>
    <cellStyle name="표준 55 5 2 2" xfId="3685" xr:uid="{00000000-0005-0000-0000-0000D60D0000}"/>
    <cellStyle name="표준 55 5 3" xfId="3465" xr:uid="{00000000-0005-0000-0000-0000D70D0000}"/>
    <cellStyle name="표준 55 5 3 2" xfId="3794" xr:uid="{00000000-0005-0000-0000-0000D80D0000}"/>
    <cellStyle name="표준 55 5 4" xfId="3577" xr:uid="{00000000-0005-0000-0000-0000D90D0000}"/>
    <cellStyle name="표준 55 6" xfId="3302" xr:uid="{00000000-0005-0000-0000-0000DA0D0000}"/>
    <cellStyle name="표준 55 6 2" xfId="3631" xr:uid="{00000000-0005-0000-0000-0000DB0D0000}"/>
    <cellStyle name="표준 55 7" xfId="3411" xr:uid="{00000000-0005-0000-0000-0000DC0D0000}"/>
    <cellStyle name="표준 55 7 2" xfId="3740" xr:uid="{00000000-0005-0000-0000-0000DD0D0000}"/>
    <cellStyle name="표준 55 8" xfId="3523" xr:uid="{00000000-0005-0000-0000-0000DE0D0000}"/>
    <cellStyle name="표준 56" xfId="3177" xr:uid="{00000000-0005-0000-0000-0000DF0D0000}"/>
    <cellStyle name="표준 56 2" xfId="3191" xr:uid="{00000000-0005-0000-0000-0000E00D0000}"/>
    <cellStyle name="표준 56 2 2" xfId="3212" xr:uid="{00000000-0005-0000-0000-0000E10D0000}"/>
    <cellStyle name="표준 56 2 2 2" xfId="3272" xr:uid="{00000000-0005-0000-0000-0000E20D0000}"/>
    <cellStyle name="표준 56 2 2 2 2" xfId="3384" xr:uid="{00000000-0005-0000-0000-0000E30D0000}"/>
    <cellStyle name="표준 56 2 2 2 2 2" xfId="3713" xr:uid="{00000000-0005-0000-0000-0000E40D0000}"/>
    <cellStyle name="표준 56 2 2 2 3" xfId="3493" xr:uid="{00000000-0005-0000-0000-0000E50D0000}"/>
    <cellStyle name="표준 56 2 2 2 3 2" xfId="3822" xr:uid="{00000000-0005-0000-0000-0000E60D0000}"/>
    <cellStyle name="표준 56 2 2 2 4" xfId="3605" xr:uid="{00000000-0005-0000-0000-0000E70D0000}"/>
    <cellStyle name="표준 56 2 2 3" xfId="3330" xr:uid="{00000000-0005-0000-0000-0000E80D0000}"/>
    <cellStyle name="표준 56 2 2 3 2" xfId="3659" xr:uid="{00000000-0005-0000-0000-0000E90D0000}"/>
    <cellStyle name="표준 56 2 2 4" xfId="3439" xr:uid="{00000000-0005-0000-0000-0000EA0D0000}"/>
    <cellStyle name="표준 56 2 2 4 2" xfId="3768" xr:uid="{00000000-0005-0000-0000-0000EB0D0000}"/>
    <cellStyle name="표준 56 2 2 5" xfId="3551" xr:uid="{00000000-0005-0000-0000-0000EC0D0000}"/>
    <cellStyle name="표준 56 2 3" xfId="3234" xr:uid="{00000000-0005-0000-0000-0000ED0D0000}"/>
    <cellStyle name="표준 56 2 3 2" xfId="3292" xr:uid="{00000000-0005-0000-0000-0000EE0D0000}"/>
    <cellStyle name="표준 56 2 3 2 2" xfId="3404" xr:uid="{00000000-0005-0000-0000-0000EF0D0000}"/>
    <cellStyle name="표준 56 2 3 2 2 2" xfId="3733" xr:uid="{00000000-0005-0000-0000-0000F00D0000}"/>
    <cellStyle name="표준 56 2 3 2 3" xfId="3513" xr:uid="{00000000-0005-0000-0000-0000F10D0000}"/>
    <cellStyle name="표준 56 2 3 2 3 2" xfId="3842" xr:uid="{00000000-0005-0000-0000-0000F20D0000}"/>
    <cellStyle name="표준 56 2 3 2 4" xfId="3625" xr:uid="{00000000-0005-0000-0000-0000F30D0000}"/>
    <cellStyle name="표준 56 2 3 3" xfId="3350" xr:uid="{00000000-0005-0000-0000-0000F40D0000}"/>
    <cellStyle name="표준 56 2 3 3 2" xfId="3679" xr:uid="{00000000-0005-0000-0000-0000F50D0000}"/>
    <cellStyle name="표준 56 2 3 4" xfId="3459" xr:uid="{00000000-0005-0000-0000-0000F60D0000}"/>
    <cellStyle name="표준 56 2 3 4 2" xfId="3788" xr:uid="{00000000-0005-0000-0000-0000F70D0000}"/>
    <cellStyle name="표준 56 2 3 5" xfId="3571" xr:uid="{00000000-0005-0000-0000-0000F80D0000}"/>
    <cellStyle name="표준 56 2 4" xfId="3255" xr:uid="{00000000-0005-0000-0000-0000F90D0000}"/>
    <cellStyle name="표준 56 2 4 2" xfId="3367" xr:uid="{00000000-0005-0000-0000-0000FA0D0000}"/>
    <cellStyle name="표준 56 2 4 2 2" xfId="3696" xr:uid="{00000000-0005-0000-0000-0000FB0D0000}"/>
    <cellStyle name="표준 56 2 4 3" xfId="3476" xr:uid="{00000000-0005-0000-0000-0000FC0D0000}"/>
    <cellStyle name="표준 56 2 4 3 2" xfId="3805" xr:uid="{00000000-0005-0000-0000-0000FD0D0000}"/>
    <cellStyle name="표준 56 2 4 4" xfId="3588" xr:uid="{00000000-0005-0000-0000-0000FE0D0000}"/>
    <cellStyle name="표준 56 2 5" xfId="3313" xr:uid="{00000000-0005-0000-0000-0000FF0D0000}"/>
    <cellStyle name="표준 56 2 5 2" xfId="3642" xr:uid="{00000000-0005-0000-0000-0000000E0000}"/>
    <cellStyle name="표준 56 2 6" xfId="3422" xr:uid="{00000000-0005-0000-0000-0000010E0000}"/>
    <cellStyle name="표준 56 2 6 2" xfId="3751" xr:uid="{00000000-0005-0000-0000-0000020E0000}"/>
    <cellStyle name="표준 56 2 7" xfId="3534" xr:uid="{00000000-0005-0000-0000-0000030E0000}"/>
    <cellStyle name="표준 56 3" xfId="3202" xr:uid="{00000000-0005-0000-0000-0000040E0000}"/>
    <cellStyle name="표준 56 3 2" xfId="3262" xr:uid="{00000000-0005-0000-0000-0000050E0000}"/>
    <cellStyle name="표준 56 3 2 2" xfId="3374" xr:uid="{00000000-0005-0000-0000-0000060E0000}"/>
    <cellStyle name="표준 56 3 2 2 2" xfId="3703" xr:uid="{00000000-0005-0000-0000-0000070E0000}"/>
    <cellStyle name="표준 56 3 2 3" xfId="3483" xr:uid="{00000000-0005-0000-0000-0000080E0000}"/>
    <cellStyle name="표준 56 3 2 3 2" xfId="3812" xr:uid="{00000000-0005-0000-0000-0000090E0000}"/>
    <cellStyle name="표준 56 3 2 4" xfId="3595" xr:uid="{00000000-0005-0000-0000-00000A0E0000}"/>
    <cellStyle name="표준 56 3 3" xfId="3320" xr:uid="{00000000-0005-0000-0000-00000B0E0000}"/>
    <cellStyle name="표준 56 3 3 2" xfId="3649" xr:uid="{00000000-0005-0000-0000-00000C0E0000}"/>
    <cellStyle name="표준 56 3 4" xfId="3429" xr:uid="{00000000-0005-0000-0000-00000D0E0000}"/>
    <cellStyle name="표준 56 3 4 2" xfId="3758" xr:uid="{00000000-0005-0000-0000-00000E0E0000}"/>
    <cellStyle name="표준 56 3 5" xfId="3541" xr:uid="{00000000-0005-0000-0000-00000F0E0000}"/>
    <cellStyle name="표준 56 4" xfId="3224" xr:uid="{00000000-0005-0000-0000-0000100E0000}"/>
    <cellStyle name="표준 56 4 2" xfId="3282" xr:uid="{00000000-0005-0000-0000-0000110E0000}"/>
    <cellStyle name="표준 56 4 2 2" xfId="3394" xr:uid="{00000000-0005-0000-0000-0000120E0000}"/>
    <cellStyle name="표준 56 4 2 2 2" xfId="3723" xr:uid="{00000000-0005-0000-0000-0000130E0000}"/>
    <cellStyle name="표준 56 4 2 3" xfId="3503" xr:uid="{00000000-0005-0000-0000-0000140E0000}"/>
    <cellStyle name="표준 56 4 2 3 2" xfId="3832" xr:uid="{00000000-0005-0000-0000-0000150E0000}"/>
    <cellStyle name="표준 56 4 2 4" xfId="3615" xr:uid="{00000000-0005-0000-0000-0000160E0000}"/>
    <cellStyle name="표준 56 4 3" xfId="3340" xr:uid="{00000000-0005-0000-0000-0000170E0000}"/>
    <cellStyle name="표준 56 4 3 2" xfId="3669" xr:uid="{00000000-0005-0000-0000-0000180E0000}"/>
    <cellStyle name="표준 56 4 4" xfId="3449" xr:uid="{00000000-0005-0000-0000-0000190E0000}"/>
    <cellStyle name="표준 56 4 4 2" xfId="3778" xr:uid="{00000000-0005-0000-0000-00001A0E0000}"/>
    <cellStyle name="표준 56 4 5" xfId="3561" xr:uid="{00000000-0005-0000-0000-00001B0E0000}"/>
    <cellStyle name="표준 56 5" xfId="3245" xr:uid="{00000000-0005-0000-0000-00001C0E0000}"/>
    <cellStyle name="표준 56 5 2" xfId="3357" xr:uid="{00000000-0005-0000-0000-00001D0E0000}"/>
    <cellStyle name="표준 56 5 2 2" xfId="3686" xr:uid="{00000000-0005-0000-0000-00001E0E0000}"/>
    <cellStyle name="표준 56 5 3" xfId="3466" xr:uid="{00000000-0005-0000-0000-00001F0E0000}"/>
    <cellStyle name="표준 56 5 3 2" xfId="3795" xr:uid="{00000000-0005-0000-0000-0000200E0000}"/>
    <cellStyle name="표준 56 5 4" xfId="3578" xr:uid="{00000000-0005-0000-0000-0000210E0000}"/>
    <cellStyle name="표준 56 6" xfId="3303" xr:uid="{00000000-0005-0000-0000-0000220E0000}"/>
    <cellStyle name="표준 56 6 2" xfId="3632" xr:uid="{00000000-0005-0000-0000-0000230E0000}"/>
    <cellStyle name="표준 56 7" xfId="3412" xr:uid="{00000000-0005-0000-0000-0000240E0000}"/>
    <cellStyle name="표준 56 7 2" xfId="3741" xr:uid="{00000000-0005-0000-0000-0000250E0000}"/>
    <cellStyle name="표준 56 8" xfId="3524" xr:uid="{00000000-0005-0000-0000-0000260E0000}"/>
    <cellStyle name="표준 57" xfId="3181" xr:uid="{00000000-0005-0000-0000-0000270E0000}"/>
    <cellStyle name="표준 58" xfId="3180" xr:uid="{00000000-0005-0000-0000-0000280E0000}"/>
    <cellStyle name="표준 58 2" xfId="3205" xr:uid="{00000000-0005-0000-0000-0000290E0000}"/>
    <cellStyle name="표준 58 2 2" xfId="3265" xr:uid="{00000000-0005-0000-0000-00002A0E0000}"/>
    <cellStyle name="표준 58 2 2 2" xfId="3377" xr:uid="{00000000-0005-0000-0000-00002B0E0000}"/>
    <cellStyle name="표준 58 2 2 2 2" xfId="3706" xr:uid="{00000000-0005-0000-0000-00002C0E0000}"/>
    <cellStyle name="표준 58 2 2 3" xfId="3486" xr:uid="{00000000-0005-0000-0000-00002D0E0000}"/>
    <cellStyle name="표준 58 2 2 3 2" xfId="3815" xr:uid="{00000000-0005-0000-0000-00002E0E0000}"/>
    <cellStyle name="표준 58 2 2 4" xfId="3598" xr:uid="{00000000-0005-0000-0000-00002F0E0000}"/>
    <cellStyle name="표준 58 2 3" xfId="3323" xr:uid="{00000000-0005-0000-0000-0000300E0000}"/>
    <cellStyle name="표준 58 2 3 2" xfId="3652" xr:uid="{00000000-0005-0000-0000-0000310E0000}"/>
    <cellStyle name="표준 58 2 4" xfId="3432" xr:uid="{00000000-0005-0000-0000-0000320E0000}"/>
    <cellStyle name="표준 58 2 4 2" xfId="3761" xr:uid="{00000000-0005-0000-0000-0000330E0000}"/>
    <cellStyle name="표준 58 2 5" xfId="3544" xr:uid="{00000000-0005-0000-0000-0000340E0000}"/>
    <cellStyle name="표준 58 3" xfId="3227" xr:uid="{00000000-0005-0000-0000-0000350E0000}"/>
    <cellStyle name="표준 58 3 2" xfId="3285" xr:uid="{00000000-0005-0000-0000-0000360E0000}"/>
    <cellStyle name="표준 58 3 2 2" xfId="3397" xr:uid="{00000000-0005-0000-0000-0000370E0000}"/>
    <cellStyle name="표준 58 3 2 2 2" xfId="3726" xr:uid="{00000000-0005-0000-0000-0000380E0000}"/>
    <cellStyle name="표준 58 3 2 3" xfId="3506" xr:uid="{00000000-0005-0000-0000-0000390E0000}"/>
    <cellStyle name="표준 58 3 2 3 2" xfId="3835" xr:uid="{00000000-0005-0000-0000-00003A0E0000}"/>
    <cellStyle name="표준 58 3 2 4" xfId="3618" xr:uid="{00000000-0005-0000-0000-00003B0E0000}"/>
    <cellStyle name="표준 58 3 3" xfId="3343" xr:uid="{00000000-0005-0000-0000-00003C0E0000}"/>
    <cellStyle name="표준 58 3 3 2" xfId="3672" xr:uid="{00000000-0005-0000-0000-00003D0E0000}"/>
    <cellStyle name="표준 58 3 4" xfId="3452" xr:uid="{00000000-0005-0000-0000-00003E0E0000}"/>
    <cellStyle name="표준 58 3 4 2" xfId="3781" xr:uid="{00000000-0005-0000-0000-00003F0E0000}"/>
    <cellStyle name="표준 58 3 5" xfId="3564" xr:uid="{00000000-0005-0000-0000-0000400E0000}"/>
    <cellStyle name="표준 58 4" xfId="3248" xr:uid="{00000000-0005-0000-0000-0000410E0000}"/>
    <cellStyle name="표준 58 4 2" xfId="3360" xr:uid="{00000000-0005-0000-0000-0000420E0000}"/>
    <cellStyle name="표준 58 4 2 2" xfId="3689" xr:uid="{00000000-0005-0000-0000-0000430E0000}"/>
    <cellStyle name="표준 58 4 3" xfId="3469" xr:uid="{00000000-0005-0000-0000-0000440E0000}"/>
    <cellStyle name="표준 58 4 3 2" xfId="3798" xr:uid="{00000000-0005-0000-0000-0000450E0000}"/>
    <cellStyle name="표준 58 4 4" xfId="3581" xr:uid="{00000000-0005-0000-0000-0000460E0000}"/>
    <cellStyle name="표준 58 5" xfId="3306" xr:uid="{00000000-0005-0000-0000-0000470E0000}"/>
    <cellStyle name="표준 58 5 2" xfId="3635" xr:uid="{00000000-0005-0000-0000-0000480E0000}"/>
    <cellStyle name="표준 58 6" xfId="3415" xr:uid="{00000000-0005-0000-0000-0000490E0000}"/>
    <cellStyle name="표준 58 6 2" xfId="3744" xr:uid="{00000000-0005-0000-0000-00004A0E0000}"/>
    <cellStyle name="표준 58 7" xfId="3527" xr:uid="{00000000-0005-0000-0000-00004B0E0000}"/>
    <cellStyle name="표준 59" xfId="3187" xr:uid="{00000000-0005-0000-0000-00004C0E0000}"/>
    <cellStyle name="표준 59 2" xfId="3208" xr:uid="{00000000-0005-0000-0000-00004D0E0000}"/>
    <cellStyle name="표준 59 2 2" xfId="3268" xr:uid="{00000000-0005-0000-0000-00004E0E0000}"/>
    <cellStyle name="표준 59 2 2 2" xfId="3380" xr:uid="{00000000-0005-0000-0000-00004F0E0000}"/>
    <cellStyle name="표준 59 2 2 2 2" xfId="3709" xr:uid="{00000000-0005-0000-0000-0000500E0000}"/>
    <cellStyle name="표준 59 2 2 3" xfId="3489" xr:uid="{00000000-0005-0000-0000-0000510E0000}"/>
    <cellStyle name="표준 59 2 2 3 2" xfId="3818" xr:uid="{00000000-0005-0000-0000-0000520E0000}"/>
    <cellStyle name="표준 59 2 2 4" xfId="3601" xr:uid="{00000000-0005-0000-0000-0000530E0000}"/>
    <cellStyle name="표준 59 2 3" xfId="3326" xr:uid="{00000000-0005-0000-0000-0000540E0000}"/>
    <cellStyle name="표준 59 2 3 2" xfId="3655" xr:uid="{00000000-0005-0000-0000-0000550E0000}"/>
    <cellStyle name="표준 59 2 4" xfId="3435" xr:uid="{00000000-0005-0000-0000-0000560E0000}"/>
    <cellStyle name="표준 59 2 4 2" xfId="3764" xr:uid="{00000000-0005-0000-0000-0000570E0000}"/>
    <cellStyle name="표준 59 2 5" xfId="3547" xr:uid="{00000000-0005-0000-0000-0000580E0000}"/>
    <cellStyle name="표준 59 3" xfId="3230" xr:uid="{00000000-0005-0000-0000-0000590E0000}"/>
    <cellStyle name="표준 59 3 2" xfId="3288" xr:uid="{00000000-0005-0000-0000-00005A0E0000}"/>
    <cellStyle name="표준 59 3 2 2" xfId="3400" xr:uid="{00000000-0005-0000-0000-00005B0E0000}"/>
    <cellStyle name="표준 59 3 2 2 2" xfId="3729" xr:uid="{00000000-0005-0000-0000-00005C0E0000}"/>
    <cellStyle name="표준 59 3 2 3" xfId="3509" xr:uid="{00000000-0005-0000-0000-00005D0E0000}"/>
    <cellStyle name="표준 59 3 2 3 2" xfId="3838" xr:uid="{00000000-0005-0000-0000-00005E0E0000}"/>
    <cellStyle name="표준 59 3 2 4" xfId="3621" xr:uid="{00000000-0005-0000-0000-00005F0E0000}"/>
    <cellStyle name="표준 59 3 3" xfId="3346" xr:uid="{00000000-0005-0000-0000-0000600E0000}"/>
    <cellStyle name="표준 59 3 3 2" xfId="3675" xr:uid="{00000000-0005-0000-0000-0000610E0000}"/>
    <cellStyle name="표준 59 3 4" xfId="3455" xr:uid="{00000000-0005-0000-0000-0000620E0000}"/>
    <cellStyle name="표준 59 3 4 2" xfId="3784" xr:uid="{00000000-0005-0000-0000-0000630E0000}"/>
    <cellStyle name="표준 59 3 5" xfId="3567" xr:uid="{00000000-0005-0000-0000-0000640E0000}"/>
    <cellStyle name="표준 59 4" xfId="3251" xr:uid="{00000000-0005-0000-0000-0000650E0000}"/>
    <cellStyle name="표준 59 4 2" xfId="3363" xr:uid="{00000000-0005-0000-0000-0000660E0000}"/>
    <cellStyle name="표준 59 4 2 2" xfId="3692" xr:uid="{00000000-0005-0000-0000-0000670E0000}"/>
    <cellStyle name="표준 59 4 3" xfId="3472" xr:uid="{00000000-0005-0000-0000-0000680E0000}"/>
    <cellStyle name="표준 59 4 3 2" xfId="3801" xr:uid="{00000000-0005-0000-0000-0000690E0000}"/>
    <cellStyle name="표준 59 4 4" xfId="3584" xr:uid="{00000000-0005-0000-0000-00006A0E0000}"/>
    <cellStyle name="표준 59 5" xfId="3309" xr:uid="{00000000-0005-0000-0000-00006B0E0000}"/>
    <cellStyle name="표준 59 5 2" xfId="3638" xr:uid="{00000000-0005-0000-0000-00006C0E0000}"/>
    <cellStyle name="표준 59 6" xfId="3418" xr:uid="{00000000-0005-0000-0000-00006D0E0000}"/>
    <cellStyle name="표준 59 6 2" xfId="3747" xr:uid="{00000000-0005-0000-0000-00006E0E0000}"/>
    <cellStyle name="표준 59 7" xfId="3530" xr:uid="{00000000-0005-0000-0000-00006F0E0000}"/>
    <cellStyle name="표준 6" xfId="3090" xr:uid="{00000000-0005-0000-0000-0000700E0000}"/>
    <cellStyle name="표준 6 2" xfId="3091" xr:uid="{00000000-0005-0000-0000-0000710E0000}"/>
    <cellStyle name="표준 60" xfId="3182" xr:uid="{00000000-0005-0000-0000-0000720E0000}"/>
    <cellStyle name="표준 60 2" xfId="3206" xr:uid="{00000000-0005-0000-0000-0000730E0000}"/>
    <cellStyle name="표준 60 2 2" xfId="3266" xr:uid="{00000000-0005-0000-0000-0000740E0000}"/>
    <cellStyle name="표준 60 2 2 2" xfId="3378" xr:uid="{00000000-0005-0000-0000-0000750E0000}"/>
    <cellStyle name="표준 60 2 2 2 2" xfId="3707" xr:uid="{00000000-0005-0000-0000-0000760E0000}"/>
    <cellStyle name="표준 60 2 2 3" xfId="3487" xr:uid="{00000000-0005-0000-0000-0000770E0000}"/>
    <cellStyle name="표준 60 2 2 3 2" xfId="3816" xr:uid="{00000000-0005-0000-0000-0000780E0000}"/>
    <cellStyle name="표준 60 2 2 4" xfId="3599" xr:uid="{00000000-0005-0000-0000-0000790E0000}"/>
    <cellStyle name="표준 60 2 3" xfId="3324" xr:uid="{00000000-0005-0000-0000-00007A0E0000}"/>
    <cellStyle name="표준 60 2 3 2" xfId="3653" xr:uid="{00000000-0005-0000-0000-00007B0E0000}"/>
    <cellStyle name="표준 60 2 4" xfId="3433" xr:uid="{00000000-0005-0000-0000-00007C0E0000}"/>
    <cellStyle name="표준 60 2 4 2" xfId="3762" xr:uid="{00000000-0005-0000-0000-00007D0E0000}"/>
    <cellStyle name="표준 60 2 5" xfId="3545" xr:uid="{00000000-0005-0000-0000-00007E0E0000}"/>
    <cellStyle name="표준 60 3" xfId="3228" xr:uid="{00000000-0005-0000-0000-00007F0E0000}"/>
    <cellStyle name="표준 60 3 2" xfId="3286" xr:uid="{00000000-0005-0000-0000-0000800E0000}"/>
    <cellStyle name="표준 60 3 2 2" xfId="3398" xr:uid="{00000000-0005-0000-0000-0000810E0000}"/>
    <cellStyle name="표준 60 3 2 2 2" xfId="3727" xr:uid="{00000000-0005-0000-0000-0000820E0000}"/>
    <cellStyle name="표준 60 3 2 3" xfId="3507" xr:uid="{00000000-0005-0000-0000-0000830E0000}"/>
    <cellStyle name="표준 60 3 2 3 2" xfId="3836" xr:uid="{00000000-0005-0000-0000-0000840E0000}"/>
    <cellStyle name="표준 60 3 2 4" xfId="3619" xr:uid="{00000000-0005-0000-0000-0000850E0000}"/>
    <cellStyle name="표준 60 3 3" xfId="3344" xr:uid="{00000000-0005-0000-0000-0000860E0000}"/>
    <cellStyle name="표준 60 3 3 2" xfId="3673" xr:uid="{00000000-0005-0000-0000-0000870E0000}"/>
    <cellStyle name="표준 60 3 4" xfId="3453" xr:uid="{00000000-0005-0000-0000-0000880E0000}"/>
    <cellStyle name="표준 60 3 4 2" xfId="3782" xr:uid="{00000000-0005-0000-0000-0000890E0000}"/>
    <cellStyle name="표준 60 3 5" xfId="3565" xr:uid="{00000000-0005-0000-0000-00008A0E0000}"/>
    <cellStyle name="표준 60 4" xfId="3249" xr:uid="{00000000-0005-0000-0000-00008B0E0000}"/>
    <cellStyle name="표준 60 4 2" xfId="3361" xr:uid="{00000000-0005-0000-0000-00008C0E0000}"/>
    <cellStyle name="표준 60 4 2 2" xfId="3690" xr:uid="{00000000-0005-0000-0000-00008D0E0000}"/>
    <cellStyle name="표준 60 4 3" xfId="3470" xr:uid="{00000000-0005-0000-0000-00008E0E0000}"/>
    <cellStyle name="표준 60 4 3 2" xfId="3799" xr:uid="{00000000-0005-0000-0000-00008F0E0000}"/>
    <cellStyle name="표준 60 4 4" xfId="3582" xr:uid="{00000000-0005-0000-0000-0000900E0000}"/>
    <cellStyle name="표준 60 5" xfId="3307" xr:uid="{00000000-0005-0000-0000-0000910E0000}"/>
    <cellStyle name="표준 60 5 2" xfId="3636" xr:uid="{00000000-0005-0000-0000-0000920E0000}"/>
    <cellStyle name="표준 60 6" xfId="3416" xr:uid="{00000000-0005-0000-0000-0000930E0000}"/>
    <cellStyle name="표준 60 6 2" xfId="3745" xr:uid="{00000000-0005-0000-0000-0000940E0000}"/>
    <cellStyle name="표준 60 7" xfId="3528" xr:uid="{00000000-0005-0000-0000-0000950E0000}"/>
    <cellStyle name="표준 61" xfId="3186" xr:uid="{00000000-0005-0000-0000-0000960E0000}"/>
    <cellStyle name="표준 61 2" xfId="3207" xr:uid="{00000000-0005-0000-0000-0000970E0000}"/>
    <cellStyle name="표준 61 2 2" xfId="3267" xr:uid="{00000000-0005-0000-0000-0000980E0000}"/>
    <cellStyle name="표준 61 2 2 2" xfId="3379" xr:uid="{00000000-0005-0000-0000-0000990E0000}"/>
    <cellStyle name="표준 61 2 2 2 2" xfId="3708" xr:uid="{00000000-0005-0000-0000-00009A0E0000}"/>
    <cellStyle name="표준 61 2 2 3" xfId="3488" xr:uid="{00000000-0005-0000-0000-00009B0E0000}"/>
    <cellStyle name="표준 61 2 2 3 2" xfId="3817" xr:uid="{00000000-0005-0000-0000-00009C0E0000}"/>
    <cellStyle name="표준 61 2 2 4" xfId="3600" xr:uid="{00000000-0005-0000-0000-00009D0E0000}"/>
    <cellStyle name="표준 61 2 3" xfId="3325" xr:uid="{00000000-0005-0000-0000-00009E0E0000}"/>
    <cellStyle name="표준 61 2 3 2" xfId="3654" xr:uid="{00000000-0005-0000-0000-00009F0E0000}"/>
    <cellStyle name="표준 61 2 4" xfId="3434" xr:uid="{00000000-0005-0000-0000-0000A00E0000}"/>
    <cellStyle name="표준 61 2 4 2" xfId="3763" xr:uid="{00000000-0005-0000-0000-0000A10E0000}"/>
    <cellStyle name="표준 61 2 5" xfId="3546" xr:uid="{00000000-0005-0000-0000-0000A20E0000}"/>
    <cellStyle name="표준 61 3" xfId="3229" xr:uid="{00000000-0005-0000-0000-0000A30E0000}"/>
    <cellStyle name="표준 61 3 2" xfId="3287" xr:uid="{00000000-0005-0000-0000-0000A40E0000}"/>
    <cellStyle name="표준 61 3 2 2" xfId="3399" xr:uid="{00000000-0005-0000-0000-0000A50E0000}"/>
    <cellStyle name="표준 61 3 2 2 2" xfId="3728" xr:uid="{00000000-0005-0000-0000-0000A60E0000}"/>
    <cellStyle name="표준 61 3 2 3" xfId="3508" xr:uid="{00000000-0005-0000-0000-0000A70E0000}"/>
    <cellStyle name="표준 61 3 2 3 2" xfId="3837" xr:uid="{00000000-0005-0000-0000-0000A80E0000}"/>
    <cellStyle name="표준 61 3 2 4" xfId="3620" xr:uid="{00000000-0005-0000-0000-0000A90E0000}"/>
    <cellStyle name="표준 61 3 3" xfId="3345" xr:uid="{00000000-0005-0000-0000-0000AA0E0000}"/>
    <cellStyle name="표준 61 3 3 2" xfId="3674" xr:uid="{00000000-0005-0000-0000-0000AB0E0000}"/>
    <cellStyle name="표준 61 3 4" xfId="3454" xr:uid="{00000000-0005-0000-0000-0000AC0E0000}"/>
    <cellStyle name="표준 61 3 4 2" xfId="3783" xr:uid="{00000000-0005-0000-0000-0000AD0E0000}"/>
    <cellStyle name="표준 61 3 5" xfId="3566" xr:uid="{00000000-0005-0000-0000-0000AE0E0000}"/>
    <cellStyle name="표준 61 4" xfId="3250" xr:uid="{00000000-0005-0000-0000-0000AF0E0000}"/>
    <cellStyle name="표준 61 4 2" xfId="3362" xr:uid="{00000000-0005-0000-0000-0000B00E0000}"/>
    <cellStyle name="표준 61 4 2 2" xfId="3691" xr:uid="{00000000-0005-0000-0000-0000B10E0000}"/>
    <cellStyle name="표준 61 4 3" xfId="3471" xr:uid="{00000000-0005-0000-0000-0000B20E0000}"/>
    <cellStyle name="표준 61 4 3 2" xfId="3800" xr:uid="{00000000-0005-0000-0000-0000B30E0000}"/>
    <cellStyle name="표준 61 4 4" xfId="3583" xr:uid="{00000000-0005-0000-0000-0000B40E0000}"/>
    <cellStyle name="표준 61 5" xfId="3308" xr:uid="{00000000-0005-0000-0000-0000B50E0000}"/>
    <cellStyle name="표준 61 5 2" xfId="3637" xr:uid="{00000000-0005-0000-0000-0000B60E0000}"/>
    <cellStyle name="표준 61 6" xfId="3417" xr:uid="{00000000-0005-0000-0000-0000B70E0000}"/>
    <cellStyle name="표준 61 6 2" xfId="3746" xr:uid="{00000000-0005-0000-0000-0000B80E0000}"/>
    <cellStyle name="표준 61 7" xfId="3529" xr:uid="{00000000-0005-0000-0000-0000B90E0000}"/>
    <cellStyle name="표준 62" xfId="3195" xr:uid="{00000000-0005-0000-0000-0000BA0E0000}"/>
    <cellStyle name="표준 63" xfId="3194" xr:uid="{00000000-0005-0000-0000-0000BB0E0000}"/>
    <cellStyle name="표준 63 2" xfId="3258" xr:uid="{00000000-0005-0000-0000-0000BC0E0000}"/>
    <cellStyle name="표준 63 2 2" xfId="3370" xr:uid="{00000000-0005-0000-0000-0000BD0E0000}"/>
    <cellStyle name="표준 63 2 2 2" xfId="3699" xr:uid="{00000000-0005-0000-0000-0000BE0E0000}"/>
    <cellStyle name="표준 63 2 3" xfId="3479" xr:uid="{00000000-0005-0000-0000-0000BF0E0000}"/>
    <cellStyle name="표준 63 2 3 2" xfId="3808" xr:uid="{00000000-0005-0000-0000-0000C00E0000}"/>
    <cellStyle name="표준 63 2 4" xfId="3591" xr:uid="{00000000-0005-0000-0000-0000C10E0000}"/>
    <cellStyle name="표준 63 3" xfId="3316" xr:uid="{00000000-0005-0000-0000-0000C20E0000}"/>
    <cellStyle name="표준 63 3 2" xfId="3645" xr:uid="{00000000-0005-0000-0000-0000C30E0000}"/>
    <cellStyle name="표준 63 4" xfId="3425" xr:uid="{00000000-0005-0000-0000-0000C40E0000}"/>
    <cellStyle name="표준 63 4 2" xfId="3754" xr:uid="{00000000-0005-0000-0000-0000C50E0000}"/>
    <cellStyle name="표준 63 5" xfId="3537" xr:uid="{00000000-0005-0000-0000-0000C60E0000}"/>
    <cellStyle name="표준 64" xfId="3215" xr:uid="{00000000-0005-0000-0000-0000C70E0000}"/>
    <cellStyle name="표준 64 2" xfId="3275" xr:uid="{00000000-0005-0000-0000-0000C80E0000}"/>
    <cellStyle name="표준 64 2 2" xfId="3387" xr:uid="{00000000-0005-0000-0000-0000C90E0000}"/>
    <cellStyle name="표준 64 2 2 2" xfId="3716" xr:uid="{00000000-0005-0000-0000-0000CA0E0000}"/>
    <cellStyle name="표준 64 2 3" xfId="3496" xr:uid="{00000000-0005-0000-0000-0000CB0E0000}"/>
    <cellStyle name="표준 64 2 3 2" xfId="3825" xr:uid="{00000000-0005-0000-0000-0000CC0E0000}"/>
    <cellStyle name="표준 64 2 4" xfId="3608" xr:uid="{00000000-0005-0000-0000-0000CD0E0000}"/>
    <cellStyle name="표준 64 3" xfId="3333" xr:uid="{00000000-0005-0000-0000-0000CE0E0000}"/>
    <cellStyle name="표준 64 3 2" xfId="3662" xr:uid="{00000000-0005-0000-0000-0000CF0E0000}"/>
    <cellStyle name="표준 64 4" xfId="3442" xr:uid="{00000000-0005-0000-0000-0000D00E0000}"/>
    <cellStyle name="표준 64 4 2" xfId="3771" xr:uid="{00000000-0005-0000-0000-0000D10E0000}"/>
    <cellStyle name="표준 64 5" xfId="3554" xr:uid="{00000000-0005-0000-0000-0000D20E0000}"/>
    <cellStyle name="표준 65" xfId="3220" xr:uid="{00000000-0005-0000-0000-0000D30E0000}"/>
    <cellStyle name="표준 65 2" xfId="3278" xr:uid="{00000000-0005-0000-0000-0000D40E0000}"/>
    <cellStyle name="표준 65 2 2" xfId="3390" xr:uid="{00000000-0005-0000-0000-0000D50E0000}"/>
    <cellStyle name="표준 65 2 2 2" xfId="3719" xr:uid="{00000000-0005-0000-0000-0000D60E0000}"/>
    <cellStyle name="표준 65 2 3" xfId="3499" xr:uid="{00000000-0005-0000-0000-0000D70E0000}"/>
    <cellStyle name="표준 65 2 3 2" xfId="3828" xr:uid="{00000000-0005-0000-0000-0000D80E0000}"/>
    <cellStyle name="표준 65 2 4" xfId="3611" xr:uid="{00000000-0005-0000-0000-0000D90E0000}"/>
    <cellStyle name="표준 65 3" xfId="3336" xr:uid="{00000000-0005-0000-0000-0000DA0E0000}"/>
    <cellStyle name="표준 65 3 2" xfId="3665" xr:uid="{00000000-0005-0000-0000-0000DB0E0000}"/>
    <cellStyle name="표준 65 4" xfId="3445" xr:uid="{00000000-0005-0000-0000-0000DC0E0000}"/>
    <cellStyle name="표준 65 4 2" xfId="3774" xr:uid="{00000000-0005-0000-0000-0000DD0E0000}"/>
    <cellStyle name="표준 65 5" xfId="3557" xr:uid="{00000000-0005-0000-0000-0000DE0E0000}"/>
    <cellStyle name="표준 66" xfId="3238" xr:uid="{00000000-0005-0000-0000-0000DF0E0000}"/>
    <cellStyle name="표준 67" xfId="3237" xr:uid="{00000000-0005-0000-0000-0000E00E0000}"/>
    <cellStyle name="표준 67 2" xfId="3353" xr:uid="{00000000-0005-0000-0000-0000E10E0000}"/>
    <cellStyle name="표준 67 2 2" xfId="3682" xr:uid="{00000000-0005-0000-0000-0000E20E0000}"/>
    <cellStyle name="표준 67 3" xfId="3462" xr:uid="{00000000-0005-0000-0000-0000E30E0000}"/>
    <cellStyle name="표준 67 3 2" xfId="3791" xr:uid="{00000000-0005-0000-0000-0000E40E0000}"/>
    <cellStyle name="표준 67 4" xfId="3574" xr:uid="{00000000-0005-0000-0000-0000E50E0000}"/>
    <cellStyle name="표준 68" xfId="3296" xr:uid="{00000000-0005-0000-0000-0000E60E0000}"/>
    <cellStyle name="표준 69" xfId="3295" xr:uid="{00000000-0005-0000-0000-0000E70E0000}"/>
    <cellStyle name="표준 69 2" xfId="3628" xr:uid="{00000000-0005-0000-0000-0000E80E0000}"/>
    <cellStyle name="표준 7" xfId="3092" xr:uid="{00000000-0005-0000-0000-0000E90E0000}"/>
    <cellStyle name="표준 7 2" xfId="3093" xr:uid="{00000000-0005-0000-0000-0000EA0E0000}"/>
    <cellStyle name="표준 7 3" xfId="3094" xr:uid="{00000000-0005-0000-0000-0000EB0E0000}"/>
    <cellStyle name="표준 7 4" xfId="3095" xr:uid="{00000000-0005-0000-0000-0000EC0E0000}"/>
    <cellStyle name="표준 7 5" xfId="3096" xr:uid="{00000000-0005-0000-0000-0000ED0E0000}"/>
    <cellStyle name="표준 7 6" xfId="3097" xr:uid="{00000000-0005-0000-0000-0000EE0E0000}"/>
    <cellStyle name="표준 7 7" xfId="3098" xr:uid="{00000000-0005-0000-0000-0000EF0E0000}"/>
    <cellStyle name="표준 70" xfId="3407" xr:uid="{00000000-0005-0000-0000-0000F00E0000}"/>
    <cellStyle name="표준 70 2" xfId="3736" xr:uid="{00000000-0005-0000-0000-0000F10E0000}"/>
    <cellStyle name="표준 71" xfId="3408" xr:uid="{00000000-0005-0000-0000-0000F20E0000}"/>
    <cellStyle name="표준 71 2" xfId="3737" xr:uid="{00000000-0005-0000-0000-0000F30E0000}"/>
    <cellStyle name="표준 72" xfId="3517" xr:uid="{00000000-0005-0000-0000-0000F40E0000}"/>
    <cellStyle name="표준 73" xfId="3516" xr:uid="{00000000-0005-0000-0000-0000F50E0000}"/>
    <cellStyle name="표준 74" xfId="9" xr:uid="{00000000-0005-0000-0000-0000F60E0000}"/>
    <cellStyle name="표준 8" xfId="3099" xr:uid="{00000000-0005-0000-0000-0000F70E0000}"/>
    <cellStyle name="표준 8 2" xfId="3100" xr:uid="{00000000-0005-0000-0000-0000F80E0000}"/>
    <cellStyle name="표준 8 3" xfId="3101" xr:uid="{00000000-0005-0000-0000-0000F90E0000}"/>
    <cellStyle name="표준 8 4" xfId="3102" xr:uid="{00000000-0005-0000-0000-0000FA0E0000}"/>
    <cellStyle name="표준 9" xfId="3113" xr:uid="{00000000-0005-0000-0000-0000FB0E0000}"/>
    <cellStyle name="표준 9 2" xfId="3103" xr:uid="{00000000-0005-0000-0000-0000FC0E0000}"/>
    <cellStyle name="표준 9 3" xfId="3104" xr:uid="{00000000-0005-0000-0000-0000FD0E0000}"/>
    <cellStyle name="표준 9 4" xfId="3105" xr:uid="{00000000-0005-0000-0000-0000FE0E0000}"/>
    <cellStyle name="표준 9 5" xfId="3106" xr:uid="{00000000-0005-0000-0000-0000FF0E0000}"/>
    <cellStyle name="표준 9 6" xfId="3107" xr:uid="{00000000-0005-0000-0000-0000000F0000}"/>
    <cellStyle name="표준 9 7" xfId="3108" xr:uid="{00000000-0005-0000-0000-0000010F0000}"/>
    <cellStyle name="표준 9 8" xfId="3109" xr:uid="{00000000-0005-0000-0000-0000020F0000}"/>
    <cellStyle name="標準_Sheet1" xfId="3110" xr:uid="{00000000-0005-0000-0000-0000030F0000}"/>
    <cellStyle name="桁区切り 15" xfId="3111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1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1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1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_rels/chart1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7.xml"/></Relationships>
</file>

<file path=xl/charts/_rels/chart1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9.xml"/></Relationships>
</file>

<file path=xl/charts/_rels/chart1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10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320477502295683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482880"/>
        <c:axId val="350701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0-496B-970C-08F0C2E13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82880"/>
        <c:axId val="350701824"/>
      </c:lineChart>
      <c:catAx>
        <c:axId val="199482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1824"/>
        <c:crosses val="autoZero"/>
        <c:auto val="1"/>
        <c:lblAlgn val="ctr"/>
        <c:lblOffset val="100"/>
        <c:noMultiLvlLbl val="0"/>
      </c:catAx>
      <c:valAx>
        <c:axId val="350701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482880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10</a:t>
            </a:r>
            <a:r>
              <a:rPr lang="ko-KR" altLang="en-US"/>
              <a:t>월 호기별 가동율</a:t>
            </a:r>
          </a:p>
        </c:rich>
      </c:tx>
      <c:layout>
        <c:manualLayout>
          <c:xMode val="edge"/>
          <c:yMode val="edge"/>
          <c:x val="0.35088156426374495"/>
          <c:y val="3.9024390243902439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0.75403225806451624</c:v>
                </c:pt>
                <c:pt idx="3">
                  <c:v>0.55449669461957518</c:v>
                </c:pt>
                <c:pt idx="4">
                  <c:v>0.57123655913978488</c:v>
                </c:pt>
                <c:pt idx="5">
                  <c:v>0.32795698924731181</c:v>
                </c:pt>
                <c:pt idx="6">
                  <c:v>0.64919354838709675</c:v>
                </c:pt>
                <c:pt idx="7">
                  <c:v>0.48655913978494619</c:v>
                </c:pt>
                <c:pt idx="8">
                  <c:v>7.5268817204301078E-2</c:v>
                </c:pt>
                <c:pt idx="9">
                  <c:v>0.45854210249920363</c:v>
                </c:pt>
                <c:pt idx="10">
                  <c:v>0.61693548387096775</c:v>
                </c:pt>
                <c:pt idx="11">
                  <c:v>0.28704929652811212</c:v>
                </c:pt>
                <c:pt idx="12">
                  <c:v>0.59946236559139787</c:v>
                </c:pt>
                <c:pt idx="13">
                  <c:v>0.68279569892473124</c:v>
                </c:pt>
                <c:pt idx="14">
                  <c:v>0.39784946236559149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D-4D4E-BB8E-38D090473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531008"/>
        <c:axId val="350704128"/>
      </c:barChart>
      <c:catAx>
        <c:axId val="199531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50704128"/>
        <c:crosses val="autoZero"/>
        <c:auto val="1"/>
        <c:lblAlgn val="ctr"/>
        <c:lblOffset val="100"/>
        <c:noMultiLvlLbl val="0"/>
      </c:catAx>
      <c:valAx>
        <c:axId val="350704128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9531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2">
                  <c:v>6367</c:v>
                </c:pt>
                <c:pt idx="3">
                  <c:v>3718</c:v>
                </c:pt>
                <c:pt idx="4">
                  <c:v>3176</c:v>
                </c:pt>
                <c:pt idx="5">
                  <c:v>1056</c:v>
                </c:pt>
                <c:pt idx="6">
                  <c:v>2140</c:v>
                </c:pt>
                <c:pt idx="7">
                  <c:v>1191</c:v>
                </c:pt>
                <c:pt idx="8">
                  <c:v>4211</c:v>
                </c:pt>
                <c:pt idx="9">
                  <c:v>10148</c:v>
                </c:pt>
                <c:pt idx="11">
                  <c:v>1087</c:v>
                </c:pt>
                <c:pt idx="12">
                  <c:v>5348</c:v>
                </c:pt>
                <c:pt idx="14">
                  <c:v>3016</c:v>
                </c:pt>
                <c:pt idx="15">
                  <c:v>4963</c:v>
                </c:pt>
                <c:pt idx="16">
                  <c:v>49420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6D-4E1A-B683-977861DD4298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6367</c:v>
                </c:pt>
                <c:pt idx="3">
                  <c:v>3718</c:v>
                </c:pt>
                <c:pt idx="4">
                  <c:v>3176</c:v>
                </c:pt>
                <c:pt idx="5">
                  <c:v>1056</c:v>
                </c:pt>
                <c:pt idx="6">
                  <c:v>2140</c:v>
                </c:pt>
                <c:pt idx="7">
                  <c:v>1191</c:v>
                </c:pt>
                <c:pt idx="8">
                  <c:v>4211</c:v>
                </c:pt>
                <c:pt idx="9">
                  <c:v>10148</c:v>
                </c:pt>
                <c:pt idx="10">
                  <c:v>1045</c:v>
                </c:pt>
                <c:pt idx="11">
                  <c:v>1087</c:v>
                </c:pt>
                <c:pt idx="12">
                  <c:v>5348</c:v>
                </c:pt>
                <c:pt idx="13">
                  <c:v>4085</c:v>
                </c:pt>
                <c:pt idx="14">
                  <c:v>3016</c:v>
                </c:pt>
                <c:pt idx="15">
                  <c:v>4963</c:v>
                </c:pt>
                <c:pt idx="16">
                  <c:v>49420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6D-4E1A-B683-977861DD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63%</c:v>
                </c:pt>
                <c:pt idx="5">
                  <c:v>29%</c:v>
                </c:pt>
                <c:pt idx="6">
                  <c:v>29%</c:v>
                </c:pt>
                <c:pt idx="7">
                  <c:v>33%</c:v>
                </c:pt>
                <c:pt idx="8">
                  <c:v>88%</c:v>
                </c:pt>
                <c:pt idx="9">
                  <c:v>88%</c:v>
                </c:pt>
                <c:pt idx="10">
                  <c:v>0%</c:v>
                </c:pt>
                <c:pt idx="11">
                  <c:v>29%</c:v>
                </c:pt>
                <c:pt idx="12">
                  <c:v>100%</c:v>
                </c:pt>
                <c:pt idx="13">
                  <c:v>0%</c:v>
                </c:pt>
                <c:pt idx="14">
                  <c:v>63%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0.625</c:v>
                </c:pt>
                <c:pt idx="5">
                  <c:v>0.29166666666666669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0.875</c:v>
                </c:pt>
                <c:pt idx="9">
                  <c:v>0.875</c:v>
                </c:pt>
                <c:pt idx="10">
                  <c:v>0</c:v>
                </c:pt>
                <c:pt idx="11">
                  <c:v>0.29166666666666669</c:v>
                </c:pt>
                <c:pt idx="12">
                  <c:v>1</c:v>
                </c:pt>
                <c:pt idx="13">
                  <c:v>0</c:v>
                </c:pt>
                <c:pt idx="14">
                  <c:v>0.625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1-4E7B-98A0-1456785FA5C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651-4E7B-98A0-1456785FA5C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0.56111111111111112</c:v>
                </c:pt>
                <c:pt idx="1">
                  <c:v>0.56111111111111112</c:v>
                </c:pt>
                <c:pt idx="2">
                  <c:v>0.56111111111111112</c:v>
                </c:pt>
                <c:pt idx="3">
                  <c:v>0.56111111111111112</c:v>
                </c:pt>
                <c:pt idx="4">
                  <c:v>0.56111111111111112</c:v>
                </c:pt>
                <c:pt idx="5">
                  <c:v>0.56111111111111112</c:v>
                </c:pt>
                <c:pt idx="6">
                  <c:v>0.56111111111111112</c:v>
                </c:pt>
                <c:pt idx="7">
                  <c:v>0.56111111111111112</c:v>
                </c:pt>
                <c:pt idx="8">
                  <c:v>0.56111111111111112</c:v>
                </c:pt>
                <c:pt idx="9">
                  <c:v>0.56111111111111112</c:v>
                </c:pt>
                <c:pt idx="10">
                  <c:v>0.56111111111111112</c:v>
                </c:pt>
                <c:pt idx="11">
                  <c:v>0.56111111111111112</c:v>
                </c:pt>
                <c:pt idx="12">
                  <c:v>0.56111111111111112</c:v>
                </c:pt>
                <c:pt idx="13">
                  <c:v>0.56111111111111112</c:v>
                </c:pt>
                <c:pt idx="14">
                  <c:v>0.56111111111111112</c:v>
                </c:pt>
                <c:pt idx="15">
                  <c:v>0.56111111111111112</c:v>
                </c:pt>
                <c:pt idx="16">
                  <c:v>0.56111111111111112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1-4E7B-98A0-1456785FA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'01'!$L$6:$L$22</c:f>
              <c:numCache>
                <c:formatCode>_(* #,##0_);_(* \(#,##0\);_(* "-"_);_(@_)</c:formatCode>
                <c:ptCount val="17"/>
                <c:pt idx="2">
                  <c:v>6367</c:v>
                </c:pt>
                <c:pt idx="3">
                  <c:v>3718</c:v>
                </c:pt>
                <c:pt idx="4">
                  <c:v>3176</c:v>
                </c:pt>
                <c:pt idx="5">
                  <c:v>1056</c:v>
                </c:pt>
                <c:pt idx="6">
                  <c:v>2140</c:v>
                </c:pt>
                <c:pt idx="7">
                  <c:v>1191</c:v>
                </c:pt>
                <c:pt idx="8">
                  <c:v>4211</c:v>
                </c:pt>
                <c:pt idx="9">
                  <c:v>10148</c:v>
                </c:pt>
                <c:pt idx="11">
                  <c:v>1087</c:v>
                </c:pt>
                <c:pt idx="12">
                  <c:v>5348</c:v>
                </c:pt>
                <c:pt idx="14">
                  <c:v>3016</c:v>
                </c:pt>
                <c:pt idx="15">
                  <c:v>4963</c:v>
                </c:pt>
                <c:pt idx="16">
                  <c:v>49420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41-46EB-8D6D-4542F2C436A1}"/>
            </c:ext>
          </c:extLst>
        </c:ser>
        <c:ser>
          <c:idx val="1"/>
          <c:order val="1"/>
          <c:tx>
            <c:v>계획</c:v>
          </c:tx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6367</c:v>
                </c:pt>
                <c:pt idx="3">
                  <c:v>3718</c:v>
                </c:pt>
                <c:pt idx="4">
                  <c:v>3176</c:v>
                </c:pt>
                <c:pt idx="5">
                  <c:v>1056</c:v>
                </c:pt>
                <c:pt idx="6">
                  <c:v>2140</c:v>
                </c:pt>
                <c:pt idx="7">
                  <c:v>1191</c:v>
                </c:pt>
                <c:pt idx="8">
                  <c:v>4211</c:v>
                </c:pt>
                <c:pt idx="9">
                  <c:v>10148</c:v>
                </c:pt>
                <c:pt idx="10">
                  <c:v>1045</c:v>
                </c:pt>
                <c:pt idx="11">
                  <c:v>1087</c:v>
                </c:pt>
                <c:pt idx="12">
                  <c:v>5348</c:v>
                </c:pt>
                <c:pt idx="13">
                  <c:v>4085</c:v>
                </c:pt>
                <c:pt idx="14">
                  <c:v>3016</c:v>
                </c:pt>
                <c:pt idx="15">
                  <c:v>4963</c:v>
                </c:pt>
                <c:pt idx="16">
                  <c:v>49420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41-46EB-8D6D-4542F2C436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75%</c:v>
                </c:pt>
                <c:pt idx="4">
                  <c:v>63%</c:v>
                </c:pt>
                <c:pt idx="5">
                  <c:v>29%</c:v>
                </c:pt>
                <c:pt idx="6">
                  <c:v>29%</c:v>
                </c:pt>
                <c:pt idx="7">
                  <c:v>33%</c:v>
                </c:pt>
                <c:pt idx="8">
                  <c:v>88%</c:v>
                </c:pt>
                <c:pt idx="9">
                  <c:v>88%</c:v>
                </c:pt>
                <c:pt idx="10">
                  <c:v>0%</c:v>
                </c:pt>
                <c:pt idx="11">
                  <c:v>29%</c:v>
                </c:pt>
                <c:pt idx="12">
                  <c:v>100%</c:v>
                </c:pt>
                <c:pt idx="13">
                  <c:v>0%</c:v>
                </c:pt>
                <c:pt idx="14">
                  <c:v>63%</c:v>
                </c:pt>
                <c:pt idx="15">
                  <c:v>100%</c:v>
                </c:pt>
                <c:pt idx="16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0.75</c:v>
                </c:pt>
                <c:pt idx="4">
                  <c:v>0.625</c:v>
                </c:pt>
                <c:pt idx="5">
                  <c:v>0.29166666666666669</c:v>
                </c:pt>
                <c:pt idx="6">
                  <c:v>0.29166666666666669</c:v>
                </c:pt>
                <c:pt idx="7">
                  <c:v>0.33333333333333331</c:v>
                </c:pt>
                <c:pt idx="8">
                  <c:v>0.875</c:v>
                </c:pt>
                <c:pt idx="9">
                  <c:v>0.875</c:v>
                </c:pt>
                <c:pt idx="10">
                  <c:v>0</c:v>
                </c:pt>
                <c:pt idx="11">
                  <c:v>0.29166666666666669</c:v>
                </c:pt>
                <c:pt idx="12">
                  <c:v>1</c:v>
                </c:pt>
                <c:pt idx="13">
                  <c:v>0</c:v>
                </c:pt>
                <c:pt idx="14">
                  <c:v>0.625</c:v>
                </c:pt>
                <c:pt idx="15">
                  <c:v>1</c:v>
                </c:pt>
                <c:pt idx="16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9-484C-883F-18CF61CDBA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EF9-484C-883F-18CF61CDBA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'01'!$D$6:$D$22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LATCH</c:v>
                </c:pt>
                <c:pt idx="7">
                  <c:v>COVER</c:v>
                </c:pt>
                <c:pt idx="8">
                  <c:v>BASE</c:v>
                </c:pt>
                <c:pt idx="9">
                  <c:v>BASE</c:v>
                </c:pt>
                <c:pt idx="10">
                  <c:v>288BASE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'01'!$AE$6:$AE$22</c:f>
              <c:numCache>
                <c:formatCode>0%</c:formatCode>
                <c:ptCount val="17"/>
                <c:pt idx="0">
                  <c:v>0.56111111111111112</c:v>
                </c:pt>
                <c:pt idx="1">
                  <c:v>0.56111111111111112</c:v>
                </c:pt>
                <c:pt idx="2">
                  <c:v>0.56111111111111112</c:v>
                </c:pt>
                <c:pt idx="3">
                  <c:v>0.56111111111111112</c:v>
                </c:pt>
                <c:pt idx="4">
                  <c:v>0.56111111111111112</c:v>
                </c:pt>
                <c:pt idx="5">
                  <c:v>0.56111111111111112</c:v>
                </c:pt>
                <c:pt idx="6">
                  <c:v>0.56111111111111112</c:v>
                </c:pt>
                <c:pt idx="7">
                  <c:v>0.56111111111111112</c:v>
                </c:pt>
                <c:pt idx="8">
                  <c:v>0.56111111111111112</c:v>
                </c:pt>
                <c:pt idx="9">
                  <c:v>0.56111111111111112</c:v>
                </c:pt>
                <c:pt idx="10">
                  <c:v>0.56111111111111112</c:v>
                </c:pt>
                <c:pt idx="11">
                  <c:v>0.56111111111111112</c:v>
                </c:pt>
                <c:pt idx="12">
                  <c:v>0.56111111111111112</c:v>
                </c:pt>
                <c:pt idx="13">
                  <c:v>0.56111111111111112</c:v>
                </c:pt>
                <c:pt idx="14">
                  <c:v>0.56111111111111112</c:v>
                </c:pt>
                <c:pt idx="15">
                  <c:v>0.56111111111111112</c:v>
                </c:pt>
                <c:pt idx="16">
                  <c:v>0.56111111111111112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F9-484C-883F-18CF61CDB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5FC-4800-BA85-B3C41727D3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FC-4800-BA85-B3C41727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FC-4800-BA85-B3C41727D37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FC-4800-BA85-B3C41727D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'02'!$L$6:$L$23</c:f>
              <c:numCache>
                <c:formatCode>_(* #,##0_);_(* \(#,##0\);_(* "-"_);_(@_)</c:formatCode>
                <c:ptCount val="18"/>
                <c:pt idx="2">
                  <c:v>5785</c:v>
                </c:pt>
                <c:pt idx="3">
                  <c:v>3141</c:v>
                </c:pt>
                <c:pt idx="4">
                  <c:v>3982</c:v>
                </c:pt>
                <c:pt idx="5">
                  <c:v>1110</c:v>
                </c:pt>
                <c:pt idx="6">
                  <c:v>1572</c:v>
                </c:pt>
                <c:pt idx="7">
                  <c:v>4276</c:v>
                </c:pt>
                <c:pt idx="8">
                  <c:v>3404</c:v>
                </c:pt>
                <c:pt idx="9">
                  <c:v>1402</c:v>
                </c:pt>
                <c:pt idx="10">
                  <c:v>336</c:v>
                </c:pt>
                <c:pt idx="12">
                  <c:v>5303</c:v>
                </c:pt>
                <c:pt idx="14">
                  <c:v>2765</c:v>
                </c:pt>
                <c:pt idx="15">
                  <c:v>1221</c:v>
                </c:pt>
                <c:pt idx="16">
                  <c:v>4995</c:v>
                </c:pt>
                <c:pt idx="17">
                  <c:v>43344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60-4731-84DA-675A0D92424E}"/>
            </c:ext>
          </c:extLst>
        </c:ser>
        <c:ser>
          <c:idx val="1"/>
          <c:order val="1"/>
          <c:tx>
            <c:v>계획</c:v>
          </c:tx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5785</c:v>
                </c:pt>
                <c:pt idx="3">
                  <c:v>3141</c:v>
                </c:pt>
                <c:pt idx="4">
                  <c:v>3982</c:v>
                </c:pt>
                <c:pt idx="5">
                  <c:v>1110</c:v>
                </c:pt>
                <c:pt idx="6">
                  <c:v>1572</c:v>
                </c:pt>
                <c:pt idx="7">
                  <c:v>4276</c:v>
                </c:pt>
                <c:pt idx="8">
                  <c:v>3404</c:v>
                </c:pt>
                <c:pt idx="9">
                  <c:v>1402</c:v>
                </c:pt>
                <c:pt idx="10">
                  <c:v>336</c:v>
                </c:pt>
                <c:pt idx="11">
                  <c:v>1087</c:v>
                </c:pt>
                <c:pt idx="12">
                  <c:v>5303</c:v>
                </c:pt>
                <c:pt idx="13">
                  <c:v>4085</c:v>
                </c:pt>
                <c:pt idx="14">
                  <c:v>2765</c:v>
                </c:pt>
                <c:pt idx="15">
                  <c:v>1221</c:v>
                </c:pt>
                <c:pt idx="16">
                  <c:v>4995</c:v>
                </c:pt>
                <c:pt idx="17">
                  <c:v>43344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60-4731-84DA-675A0D92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71%</c:v>
                </c:pt>
                <c:pt idx="4">
                  <c:v>83%</c:v>
                </c:pt>
                <c:pt idx="5">
                  <c:v>29%</c:v>
                </c:pt>
                <c:pt idx="6">
                  <c:v>42%</c:v>
                </c:pt>
                <c:pt idx="7">
                  <c:v>88%</c:v>
                </c:pt>
                <c:pt idx="8">
                  <c:v>38%</c:v>
                </c:pt>
                <c:pt idx="9">
                  <c:v>46%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67%</c:v>
                </c:pt>
                <c:pt idx="15">
                  <c:v>29%</c:v>
                </c:pt>
                <c:pt idx="16">
                  <c:v>100%</c:v>
                </c:pt>
                <c:pt idx="17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0.70833333333333337</c:v>
                </c:pt>
                <c:pt idx="4">
                  <c:v>0.83333333333333337</c:v>
                </c:pt>
                <c:pt idx="5">
                  <c:v>0.29166666666666669</c:v>
                </c:pt>
                <c:pt idx="6">
                  <c:v>0.41666666666666669</c:v>
                </c:pt>
                <c:pt idx="7">
                  <c:v>0.875</c:v>
                </c:pt>
                <c:pt idx="8">
                  <c:v>0.375</c:v>
                </c:pt>
                <c:pt idx="9">
                  <c:v>0.45833333333333331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0.66666666666666663</c:v>
                </c:pt>
                <c:pt idx="15">
                  <c:v>0.29166666666666669</c:v>
                </c:pt>
                <c:pt idx="16">
                  <c:v>1</c:v>
                </c:pt>
                <c:pt idx="17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9-4FF9-AAC2-4A0EE7E6018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799-4FF9-AAC2-4A0EE7E601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'02'!$AE$6:$AE$23</c:f>
              <c:numCache>
                <c:formatCode>0%</c:formatCode>
                <c:ptCount val="18"/>
                <c:pt idx="0">
                  <c:v>0.56944444444444453</c:v>
                </c:pt>
                <c:pt idx="1">
                  <c:v>0.56944444444444453</c:v>
                </c:pt>
                <c:pt idx="2">
                  <c:v>0.56944444444444453</c:v>
                </c:pt>
                <c:pt idx="3">
                  <c:v>0.56944444444444453</c:v>
                </c:pt>
                <c:pt idx="4">
                  <c:v>0.56944444444444453</c:v>
                </c:pt>
                <c:pt idx="5">
                  <c:v>0.56944444444444453</c:v>
                </c:pt>
                <c:pt idx="6">
                  <c:v>0.56944444444444453</c:v>
                </c:pt>
                <c:pt idx="7">
                  <c:v>0.56944444444444453</c:v>
                </c:pt>
                <c:pt idx="8">
                  <c:v>0.56944444444444453</c:v>
                </c:pt>
                <c:pt idx="9">
                  <c:v>0.56944444444444453</c:v>
                </c:pt>
                <c:pt idx="10">
                  <c:v>0.56944444444444453</c:v>
                </c:pt>
                <c:pt idx="11">
                  <c:v>0.56944444444444453</c:v>
                </c:pt>
                <c:pt idx="12">
                  <c:v>0.56944444444444453</c:v>
                </c:pt>
                <c:pt idx="13">
                  <c:v>0.56944444444444453</c:v>
                </c:pt>
                <c:pt idx="14">
                  <c:v>0.56944444444444453</c:v>
                </c:pt>
                <c:pt idx="15">
                  <c:v>0.56944444444444453</c:v>
                </c:pt>
                <c:pt idx="16">
                  <c:v>0.56944444444444453</c:v>
                </c:pt>
                <c:pt idx="17">
                  <c:v>0.56944444444444453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99-4FF9-AAC2-4A0EE7E60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'02'!$L$6:$L$23</c:f>
              <c:numCache>
                <c:formatCode>_(* #,##0_);_(* \(#,##0\);_(* "-"_);_(@_)</c:formatCode>
                <c:ptCount val="18"/>
                <c:pt idx="2">
                  <c:v>5785</c:v>
                </c:pt>
                <c:pt idx="3">
                  <c:v>3141</c:v>
                </c:pt>
                <c:pt idx="4">
                  <c:v>3982</c:v>
                </c:pt>
                <c:pt idx="5">
                  <c:v>1110</c:v>
                </c:pt>
                <c:pt idx="6">
                  <c:v>1572</c:v>
                </c:pt>
                <c:pt idx="7">
                  <c:v>4276</c:v>
                </c:pt>
                <c:pt idx="8">
                  <c:v>3404</c:v>
                </c:pt>
                <c:pt idx="9">
                  <c:v>1402</c:v>
                </c:pt>
                <c:pt idx="10">
                  <c:v>336</c:v>
                </c:pt>
                <c:pt idx="12">
                  <c:v>5303</c:v>
                </c:pt>
                <c:pt idx="14">
                  <c:v>2765</c:v>
                </c:pt>
                <c:pt idx="15">
                  <c:v>1221</c:v>
                </c:pt>
                <c:pt idx="16">
                  <c:v>4995</c:v>
                </c:pt>
                <c:pt idx="17">
                  <c:v>43344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3-452D-A2DF-849B32DAAA78}"/>
            </c:ext>
          </c:extLst>
        </c:ser>
        <c:ser>
          <c:idx val="1"/>
          <c:order val="1"/>
          <c:tx>
            <c:v>계획</c:v>
          </c:tx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5785</c:v>
                </c:pt>
                <c:pt idx="3">
                  <c:v>3141</c:v>
                </c:pt>
                <c:pt idx="4">
                  <c:v>3982</c:v>
                </c:pt>
                <c:pt idx="5">
                  <c:v>1110</c:v>
                </c:pt>
                <c:pt idx="6">
                  <c:v>1572</c:v>
                </c:pt>
                <c:pt idx="7">
                  <c:v>4276</c:v>
                </c:pt>
                <c:pt idx="8">
                  <c:v>3404</c:v>
                </c:pt>
                <c:pt idx="9">
                  <c:v>1402</c:v>
                </c:pt>
                <c:pt idx="10">
                  <c:v>336</c:v>
                </c:pt>
                <c:pt idx="11">
                  <c:v>1087</c:v>
                </c:pt>
                <c:pt idx="12">
                  <c:v>5303</c:v>
                </c:pt>
                <c:pt idx="13">
                  <c:v>4085</c:v>
                </c:pt>
                <c:pt idx="14">
                  <c:v>2765</c:v>
                </c:pt>
                <c:pt idx="15">
                  <c:v>1221</c:v>
                </c:pt>
                <c:pt idx="16">
                  <c:v>4995</c:v>
                </c:pt>
                <c:pt idx="17">
                  <c:v>43344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3-452D-A2DF-849B32DAA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71%</c:v>
                </c:pt>
                <c:pt idx="4">
                  <c:v>83%</c:v>
                </c:pt>
                <c:pt idx="5">
                  <c:v>29%</c:v>
                </c:pt>
                <c:pt idx="6">
                  <c:v>42%</c:v>
                </c:pt>
                <c:pt idx="7">
                  <c:v>88%</c:v>
                </c:pt>
                <c:pt idx="8">
                  <c:v>38%</c:v>
                </c:pt>
                <c:pt idx="9">
                  <c:v>46%</c:v>
                </c:pt>
                <c:pt idx="10">
                  <c:v>17%</c:v>
                </c:pt>
                <c:pt idx="11">
                  <c:v>0%</c:v>
                </c:pt>
                <c:pt idx="12">
                  <c:v>100%</c:v>
                </c:pt>
                <c:pt idx="13">
                  <c:v>0%</c:v>
                </c:pt>
                <c:pt idx="14">
                  <c:v>67%</c:v>
                </c:pt>
                <c:pt idx="15">
                  <c:v>29%</c:v>
                </c:pt>
                <c:pt idx="16">
                  <c:v>100%</c:v>
                </c:pt>
                <c:pt idx="17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0.70833333333333337</c:v>
                </c:pt>
                <c:pt idx="4">
                  <c:v>0.83333333333333337</c:v>
                </c:pt>
                <c:pt idx="5">
                  <c:v>0.29166666666666669</c:v>
                </c:pt>
                <c:pt idx="6">
                  <c:v>0.41666666666666669</c:v>
                </c:pt>
                <c:pt idx="7">
                  <c:v>0.875</c:v>
                </c:pt>
                <c:pt idx="8">
                  <c:v>0.375</c:v>
                </c:pt>
                <c:pt idx="9">
                  <c:v>0.45833333333333331</c:v>
                </c:pt>
                <c:pt idx="10">
                  <c:v>0.16666666666666666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0.66666666666666663</c:v>
                </c:pt>
                <c:pt idx="15">
                  <c:v>0.29166666666666669</c:v>
                </c:pt>
                <c:pt idx="16">
                  <c:v>1</c:v>
                </c:pt>
                <c:pt idx="17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3-4425-A4F8-C44ABE0AB98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743-4425-A4F8-C44ABE0AB98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'02'!$D$6:$D$23</c:f>
              <c:strCache>
                <c:ptCount val="17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COVER</c:v>
                </c:pt>
                <c:pt idx="6">
                  <c:v>BOTTOM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1">
                  <c:v>FLOATING</c:v>
                </c:pt>
                <c:pt idx="12">
                  <c:v>COVER</c:v>
                </c:pt>
                <c:pt idx="13">
                  <c:v>LEAD IN</c:v>
                </c:pt>
                <c:pt idx="14">
                  <c:v>HINGE</c:v>
                </c:pt>
                <c:pt idx="16">
                  <c:v>BASE</c:v>
                </c:pt>
              </c:strCache>
            </c:strRef>
          </c:cat>
          <c:val>
            <c:numRef>
              <c:f>'02'!$AE$6:$AE$23</c:f>
              <c:numCache>
                <c:formatCode>0%</c:formatCode>
                <c:ptCount val="18"/>
                <c:pt idx="0">
                  <c:v>0.56944444444444453</c:v>
                </c:pt>
                <c:pt idx="1">
                  <c:v>0.56944444444444453</c:v>
                </c:pt>
                <c:pt idx="2">
                  <c:v>0.56944444444444453</c:v>
                </c:pt>
                <c:pt idx="3">
                  <c:v>0.56944444444444453</c:v>
                </c:pt>
                <c:pt idx="4">
                  <c:v>0.56944444444444453</c:v>
                </c:pt>
                <c:pt idx="5">
                  <c:v>0.56944444444444453</c:v>
                </c:pt>
                <c:pt idx="6">
                  <c:v>0.56944444444444453</c:v>
                </c:pt>
                <c:pt idx="7">
                  <c:v>0.56944444444444453</c:v>
                </c:pt>
                <c:pt idx="8">
                  <c:v>0.56944444444444453</c:v>
                </c:pt>
                <c:pt idx="9">
                  <c:v>0.56944444444444453</c:v>
                </c:pt>
                <c:pt idx="10">
                  <c:v>0.56944444444444453</c:v>
                </c:pt>
                <c:pt idx="11">
                  <c:v>0.56944444444444453</c:v>
                </c:pt>
                <c:pt idx="12">
                  <c:v>0.56944444444444453</c:v>
                </c:pt>
                <c:pt idx="13">
                  <c:v>0.56944444444444453</c:v>
                </c:pt>
                <c:pt idx="14">
                  <c:v>0.56944444444444453</c:v>
                </c:pt>
                <c:pt idx="15">
                  <c:v>0.56944444444444453</c:v>
                </c:pt>
                <c:pt idx="16">
                  <c:v>0.56944444444444453</c:v>
                </c:pt>
                <c:pt idx="17">
                  <c:v>0.56944444444444453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3-4425-A4F8-C44ABE0AB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441-45BE-8D93-7626C1A163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1-45BE-8D93-7626C1A16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41-45BE-8D93-7626C1A163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41-45BE-8D93-7626C1A16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2">
                  <c:v>6040</c:v>
                </c:pt>
                <c:pt idx="3">
                  <c:v>5112</c:v>
                </c:pt>
                <c:pt idx="4">
                  <c:v>4451</c:v>
                </c:pt>
                <c:pt idx="6">
                  <c:v>4747</c:v>
                </c:pt>
                <c:pt idx="7">
                  <c:v>6238</c:v>
                </c:pt>
                <c:pt idx="9">
                  <c:v>2307</c:v>
                </c:pt>
                <c:pt idx="10">
                  <c:v>5354</c:v>
                </c:pt>
                <c:pt idx="12">
                  <c:v>2121</c:v>
                </c:pt>
                <c:pt idx="13">
                  <c:v>2109</c:v>
                </c:pt>
                <c:pt idx="14">
                  <c:v>2442</c:v>
                </c:pt>
                <c:pt idx="15">
                  <c:v>36856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9-4E52-8782-68DB31EB5EB1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6040</c:v>
                </c:pt>
                <c:pt idx="3">
                  <c:v>5112</c:v>
                </c:pt>
                <c:pt idx="4">
                  <c:v>4451</c:v>
                </c:pt>
                <c:pt idx="5">
                  <c:v>1572</c:v>
                </c:pt>
                <c:pt idx="6">
                  <c:v>4747</c:v>
                </c:pt>
                <c:pt idx="7">
                  <c:v>6238</c:v>
                </c:pt>
                <c:pt idx="8">
                  <c:v>336</c:v>
                </c:pt>
                <c:pt idx="9">
                  <c:v>2307</c:v>
                </c:pt>
                <c:pt idx="10">
                  <c:v>5354</c:v>
                </c:pt>
                <c:pt idx="11">
                  <c:v>4085</c:v>
                </c:pt>
                <c:pt idx="12">
                  <c:v>2121</c:v>
                </c:pt>
                <c:pt idx="13">
                  <c:v>2109</c:v>
                </c:pt>
                <c:pt idx="14">
                  <c:v>2442</c:v>
                </c:pt>
                <c:pt idx="15">
                  <c:v>36856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9-4E52-8782-68DB31EB5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58%</c:v>
                </c:pt>
                <c:pt idx="10">
                  <c:v>100%</c:v>
                </c:pt>
                <c:pt idx="11">
                  <c:v>0%</c:v>
                </c:pt>
                <c:pt idx="12">
                  <c:v>58%</c:v>
                </c:pt>
                <c:pt idx="13">
                  <c:v>38%</c:v>
                </c:pt>
                <c:pt idx="14">
                  <c:v>58%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0.58333333333333337</c:v>
                </c:pt>
                <c:pt idx="10">
                  <c:v>1</c:v>
                </c:pt>
                <c:pt idx="11">
                  <c:v>0</c:v>
                </c:pt>
                <c:pt idx="12">
                  <c:v>0.58333333333333337</c:v>
                </c:pt>
                <c:pt idx="13">
                  <c:v>0.375</c:v>
                </c:pt>
                <c:pt idx="14">
                  <c:v>0.58333333333333337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7-4D43-A4EC-7DE1EC0A585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C7-4D43-A4EC-7DE1EC0A585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C7-4D43-A4EC-7DE1EC0A58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'03'!$L$6:$L$21</c:f>
              <c:numCache>
                <c:formatCode>_(* #,##0_);_(* \(#,##0\);_(* "-"_);_(@_)</c:formatCode>
                <c:ptCount val="16"/>
                <c:pt idx="2">
                  <c:v>6040</c:v>
                </c:pt>
                <c:pt idx="3">
                  <c:v>5112</c:v>
                </c:pt>
                <c:pt idx="4">
                  <c:v>4451</c:v>
                </c:pt>
                <c:pt idx="6">
                  <c:v>4747</c:v>
                </c:pt>
                <c:pt idx="7">
                  <c:v>6238</c:v>
                </c:pt>
                <c:pt idx="9">
                  <c:v>2307</c:v>
                </c:pt>
                <c:pt idx="10">
                  <c:v>5354</c:v>
                </c:pt>
                <c:pt idx="12">
                  <c:v>2121</c:v>
                </c:pt>
                <c:pt idx="13">
                  <c:v>2109</c:v>
                </c:pt>
                <c:pt idx="14">
                  <c:v>2442</c:v>
                </c:pt>
                <c:pt idx="15">
                  <c:v>36856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9-4064-BEDA-A736AB693005}"/>
            </c:ext>
          </c:extLst>
        </c:ser>
        <c:ser>
          <c:idx val="1"/>
          <c:order val="1"/>
          <c:tx>
            <c:v>계획</c:v>
          </c:tx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6040</c:v>
                </c:pt>
                <c:pt idx="3">
                  <c:v>5112</c:v>
                </c:pt>
                <c:pt idx="4">
                  <c:v>4451</c:v>
                </c:pt>
                <c:pt idx="5">
                  <c:v>1572</c:v>
                </c:pt>
                <c:pt idx="6">
                  <c:v>4747</c:v>
                </c:pt>
                <c:pt idx="7">
                  <c:v>6238</c:v>
                </c:pt>
                <c:pt idx="8">
                  <c:v>336</c:v>
                </c:pt>
                <c:pt idx="9">
                  <c:v>2307</c:v>
                </c:pt>
                <c:pt idx="10">
                  <c:v>5354</c:v>
                </c:pt>
                <c:pt idx="11">
                  <c:v>4085</c:v>
                </c:pt>
                <c:pt idx="12">
                  <c:v>2121</c:v>
                </c:pt>
                <c:pt idx="13">
                  <c:v>2109</c:v>
                </c:pt>
                <c:pt idx="14">
                  <c:v>2442</c:v>
                </c:pt>
                <c:pt idx="15">
                  <c:v>36856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9-4064-BEDA-A736AB693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96%</c:v>
                </c:pt>
                <c:pt idx="4">
                  <c:v>83%</c:v>
                </c:pt>
                <c:pt idx="5">
                  <c:v>0%</c:v>
                </c:pt>
                <c:pt idx="6">
                  <c:v>100%</c:v>
                </c:pt>
                <c:pt idx="7">
                  <c:v>75%</c:v>
                </c:pt>
                <c:pt idx="8">
                  <c:v>0%</c:v>
                </c:pt>
                <c:pt idx="9">
                  <c:v>58%</c:v>
                </c:pt>
                <c:pt idx="10">
                  <c:v>100%</c:v>
                </c:pt>
                <c:pt idx="11">
                  <c:v>0%</c:v>
                </c:pt>
                <c:pt idx="12">
                  <c:v>58%</c:v>
                </c:pt>
                <c:pt idx="13">
                  <c:v>38%</c:v>
                </c:pt>
                <c:pt idx="14">
                  <c:v>58%</c:v>
                </c:pt>
                <c:pt idx="15">
                  <c:v>46%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0.95833333333333337</c:v>
                </c:pt>
                <c:pt idx="4">
                  <c:v>0.83333333333333337</c:v>
                </c:pt>
                <c:pt idx="5">
                  <c:v>0</c:v>
                </c:pt>
                <c:pt idx="6">
                  <c:v>1</c:v>
                </c:pt>
                <c:pt idx="7">
                  <c:v>0.75</c:v>
                </c:pt>
                <c:pt idx="8">
                  <c:v>0</c:v>
                </c:pt>
                <c:pt idx="9">
                  <c:v>0.58333333333333337</c:v>
                </c:pt>
                <c:pt idx="10">
                  <c:v>1</c:v>
                </c:pt>
                <c:pt idx="11">
                  <c:v>0</c:v>
                </c:pt>
                <c:pt idx="12">
                  <c:v>0.58333333333333337</c:v>
                </c:pt>
                <c:pt idx="13">
                  <c:v>0.375</c:v>
                </c:pt>
                <c:pt idx="14">
                  <c:v>0.58333333333333337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5C-4446-9906-6471FEF8AB8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B5C-4446-9906-6471FEF8AB8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2">
                  <c:v>HINGE</c:v>
                </c:pt>
                <c:pt idx="14">
                  <c:v>BASE</c:v>
                </c:pt>
              </c:strCache>
            </c:strRef>
          </c:cat>
          <c:val>
            <c:numRef>
              <c:f>'03'!$AE$6:$AE$21</c:f>
              <c:numCache>
                <c:formatCode>0%</c:formatCode>
                <c:ptCount val="16"/>
                <c:pt idx="0">
                  <c:v>0.54166666666666663</c:v>
                </c:pt>
                <c:pt idx="1">
                  <c:v>0.54166666666666663</c:v>
                </c:pt>
                <c:pt idx="2">
                  <c:v>0.54166666666666663</c:v>
                </c:pt>
                <c:pt idx="3">
                  <c:v>0.54166666666666663</c:v>
                </c:pt>
                <c:pt idx="4">
                  <c:v>0.54166666666666663</c:v>
                </c:pt>
                <c:pt idx="5">
                  <c:v>0.54166666666666663</c:v>
                </c:pt>
                <c:pt idx="6">
                  <c:v>0.54166666666666663</c:v>
                </c:pt>
                <c:pt idx="7">
                  <c:v>0.54166666666666663</c:v>
                </c:pt>
                <c:pt idx="8">
                  <c:v>0.54166666666666663</c:v>
                </c:pt>
                <c:pt idx="9">
                  <c:v>0.54166666666666663</c:v>
                </c:pt>
                <c:pt idx="10">
                  <c:v>0.54166666666666663</c:v>
                </c:pt>
                <c:pt idx="11">
                  <c:v>0.54166666666666663</c:v>
                </c:pt>
                <c:pt idx="12">
                  <c:v>0.54166666666666663</c:v>
                </c:pt>
                <c:pt idx="13">
                  <c:v>0.54166666666666663</c:v>
                </c:pt>
                <c:pt idx="14">
                  <c:v>0.54166666666666663</c:v>
                </c:pt>
                <c:pt idx="15">
                  <c:v>0.54166666666666663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C-4446-9906-6471FEF8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D61-4C51-AB02-149F1C0992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61-4C51-AB02-149F1C09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61-4C51-AB02-149F1C09920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61-4C51-AB02-149F1C099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6012</c:v>
                </c:pt>
                <c:pt idx="3">
                  <c:v>5426</c:v>
                </c:pt>
                <c:pt idx="4">
                  <c:v>4869</c:v>
                </c:pt>
                <c:pt idx="6">
                  <c:v>3861</c:v>
                </c:pt>
                <c:pt idx="7">
                  <c:v>1100</c:v>
                </c:pt>
                <c:pt idx="8">
                  <c:v>4310</c:v>
                </c:pt>
                <c:pt idx="9">
                  <c:v>551</c:v>
                </c:pt>
                <c:pt idx="10">
                  <c:v>5346</c:v>
                </c:pt>
                <c:pt idx="11">
                  <c:v>4812</c:v>
                </c:pt>
                <c:pt idx="13">
                  <c:v>3254</c:v>
                </c:pt>
                <c:pt idx="14">
                  <c:v>4770</c:v>
                </c:pt>
                <c:pt idx="15">
                  <c:v>41160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0-48CB-8B6B-BEC45E2ADE90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6012</c:v>
                </c:pt>
                <c:pt idx="3">
                  <c:v>5426</c:v>
                </c:pt>
                <c:pt idx="4">
                  <c:v>4869</c:v>
                </c:pt>
                <c:pt idx="5">
                  <c:v>1572</c:v>
                </c:pt>
                <c:pt idx="6">
                  <c:v>3861</c:v>
                </c:pt>
                <c:pt idx="7">
                  <c:v>1100</c:v>
                </c:pt>
                <c:pt idx="8">
                  <c:v>4310</c:v>
                </c:pt>
                <c:pt idx="9">
                  <c:v>551</c:v>
                </c:pt>
                <c:pt idx="10">
                  <c:v>5346</c:v>
                </c:pt>
                <c:pt idx="11">
                  <c:v>4812</c:v>
                </c:pt>
                <c:pt idx="12">
                  <c:v>4085</c:v>
                </c:pt>
                <c:pt idx="13">
                  <c:v>3254</c:v>
                </c:pt>
                <c:pt idx="14">
                  <c:v>4770</c:v>
                </c:pt>
                <c:pt idx="15">
                  <c:v>41160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90-48CB-8B6B-BEC45E2AD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92%</c:v>
                </c:pt>
                <c:pt idx="5">
                  <c:v>0%</c:v>
                </c:pt>
                <c:pt idx="6">
                  <c:v>83%</c:v>
                </c:pt>
                <c:pt idx="7">
                  <c:v>17%</c:v>
                </c:pt>
                <c:pt idx="8">
                  <c:v>75%</c:v>
                </c:pt>
                <c:pt idx="9">
                  <c:v>33%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0.91666666666666663</c:v>
                </c:pt>
                <c:pt idx="5">
                  <c:v>0</c:v>
                </c:pt>
                <c:pt idx="6">
                  <c:v>0.83333333333333337</c:v>
                </c:pt>
                <c:pt idx="7">
                  <c:v>0.16666666666666666</c:v>
                </c:pt>
                <c:pt idx="8">
                  <c:v>0.75</c:v>
                </c:pt>
                <c:pt idx="9">
                  <c:v>0.33333333333333331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EF-41BA-82E8-D9E8C3CDAB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2EF-41BA-82E8-D9E8C3CDAB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0.60555555555555551</c:v>
                </c:pt>
                <c:pt idx="1">
                  <c:v>0.60555555555555551</c:v>
                </c:pt>
                <c:pt idx="2">
                  <c:v>0.60555555555555551</c:v>
                </c:pt>
                <c:pt idx="3">
                  <c:v>0.60555555555555551</c:v>
                </c:pt>
                <c:pt idx="4">
                  <c:v>0.60555555555555551</c:v>
                </c:pt>
                <c:pt idx="5">
                  <c:v>0.60555555555555551</c:v>
                </c:pt>
                <c:pt idx="6">
                  <c:v>0.60555555555555551</c:v>
                </c:pt>
                <c:pt idx="7">
                  <c:v>0.60555555555555551</c:v>
                </c:pt>
                <c:pt idx="8">
                  <c:v>0.60555555555555551</c:v>
                </c:pt>
                <c:pt idx="9">
                  <c:v>0.60555555555555551</c:v>
                </c:pt>
                <c:pt idx="10">
                  <c:v>0.60555555555555551</c:v>
                </c:pt>
                <c:pt idx="11">
                  <c:v>0.60555555555555551</c:v>
                </c:pt>
                <c:pt idx="12">
                  <c:v>0.60555555555555551</c:v>
                </c:pt>
                <c:pt idx="13">
                  <c:v>0.60555555555555551</c:v>
                </c:pt>
                <c:pt idx="14">
                  <c:v>0.60555555555555551</c:v>
                </c:pt>
                <c:pt idx="15">
                  <c:v>0.60555555555555551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EF-41BA-82E8-D9E8C3CDA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2">
                  <c:v>6012</c:v>
                </c:pt>
                <c:pt idx="3">
                  <c:v>5426</c:v>
                </c:pt>
                <c:pt idx="4">
                  <c:v>4869</c:v>
                </c:pt>
                <c:pt idx="6">
                  <c:v>3861</c:v>
                </c:pt>
                <c:pt idx="7">
                  <c:v>1100</c:v>
                </c:pt>
                <c:pt idx="8">
                  <c:v>4310</c:v>
                </c:pt>
                <c:pt idx="9">
                  <c:v>551</c:v>
                </c:pt>
                <c:pt idx="10">
                  <c:v>5346</c:v>
                </c:pt>
                <c:pt idx="11">
                  <c:v>4812</c:v>
                </c:pt>
                <c:pt idx="13">
                  <c:v>3254</c:v>
                </c:pt>
                <c:pt idx="14">
                  <c:v>4770</c:v>
                </c:pt>
                <c:pt idx="15">
                  <c:v>41160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D1-4C95-B6FC-72E25EC9A589}"/>
            </c:ext>
          </c:extLst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6012</c:v>
                </c:pt>
                <c:pt idx="3">
                  <c:v>5426</c:v>
                </c:pt>
                <c:pt idx="4">
                  <c:v>4869</c:v>
                </c:pt>
                <c:pt idx="5">
                  <c:v>1572</c:v>
                </c:pt>
                <c:pt idx="6">
                  <c:v>3861</c:v>
                </c:pt>
                <c:pt idx="7">
                  <c:v>1100</c:v>
                </c:pt>
                <c:pt idx="8">
                  <c:v>4310</c:v>
                </c:pt>
                <c:pt idx="9">
                  <c:v>551</c:v>
                </c:pt>
                <c:pt idx="10">
                  <c:v>5346</c:v>
                </c:pt>
                <c:pt idx="11">
                  <c:v>4812</c:v>
                </c:pt>
                <c:pt idx="12">
                  <c:v>4085</c:v>
                </c:pt>
                <c:pt idx="13">
                  <c:v>3254</c:v>
                </c:pt>
                <c:pt idx="14">
                  <c:v>4770</c:v>
                </c:pt>
                <c:pt idx="15">
                  <c:v>41160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D1-4C95-B6FC-72E25EC9A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92%</c:v>
                </c:pt>
                <c:pt idx="5">
                  <c:v>0%</c:v>
                </c:pt>
                <c:pt idx="6">
                  <c:v>83%</c:v>
                </c:pt>
                <c:pt idx="7">
                  <c:v>17%</c:v>
                </c:pt>
                <c:pt idx="8">
                  <c:v>75%</c:v>
                </c:pt>
                <c:pt idx="9">
                  <c:v>33%</c:v>
                </c:pt>
                <c:pt idx="10">
                  <c:v>100%</c:v>
                </c:pt>
                <c:pt idx="11">
                  <c:v>100%</c:v>
                </c:pt>
                <c:pt idx="12">
                  <c:v>0%</c:v>
                </c:pt>
                <c:pt idx="13">
                  <c:v>58%</c:v>
                </c:pt>
                <c:pt idx="14">
                  <c:v>100%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0.91666666666666663</c:v>
                </c:pt>
                <c:pt idx="5">
                  <c:v>0</c:v>
                </c:pt>
                <c:pt idx="6">
                  <c:v>0.83333333333333337</c:v>
                </c:pt>
                <c:pt idx="7">
                  <c:v>0.16666666666666666</c:v>
                </c:pt>
                <c:pt idx="8">
                  <c:v>0.75</c:v>
                </c:pt>
                <c:pt idx="9">
                  <c:v>0.33333333333333331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0.58333333333333337</c:v>
                </c:pt>
                <c:pt idx="14">
                  <c:v>1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7D-4740-AE2B-5CFD3672A19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7D-4740-AE2B-5CFD3672A19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'04'!$D$6:$D$21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BOTTOM</c:v>
                </c:pt>
                <c:pt idx="6">
                  <c:v>BASE</c:v>
                </c:pt>
                <c:pt idx="7">
                  <c:v>BASE</c:v>
                </c:pt>
                <c:pt idx="8">
                  <c:v>SP</c:v>
                </c:pt>
                <c:pt idx="9">
                  <c:v>BASE</c:v>
                </c:pt>
                <c:pt idx="11">
                  <c:v>COVER</c:v>
                </c:pt>
                <c:pt idx="12">
                  <c:v>LEAD IN</c:v>
                </c:pt>
                <c:pt idx="14">
                  <c:v>BASE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0.60555555555555551</c:v>
                </c:pt>
                <c:pt idx="1">
                  <c:v>0.60555555555555551</c:v>
                </c:pt>
                <c:pt idx="2">
                  <c:v>0.60555555555555551</c:v>
                </c:pt>
                <c:pt idx="3">
                  <c:v>0.60555555555555551</c:v>
                </c:pt>
                <c:pt idx="4">
                  <c:v>0.60555555555555551</c:v>
                </c:pt>
                <c:pt idx="5">
                  <c:v>0.60555555555555551</c:v>
                </c:pt>
                <c:pt idx="6">
                  <c:v>0.60555555555555551</c:v>
                </c:pt>
                <c:pt idx="7">
                  <c:v>0.60555555555555551</c:v>
                </c:pt>
                <c:pt idx="8">
                  <c:v>0.60555555555555551</c:v>
                </c:pt>
                <c:pt idx="9">
                  <c:v>0.60555555555555551</c:v>
                </c:pt>
                <c:pt idx="10">
                  <c:v>0.60555555555555551</c:v>
                </c:pt>
                <c:pt idx="11">
                  <c:v>0.60555555555555551</c:v>
                </c:pt>
                <c:pt idx="12">
                  <c:v>0.60555555555555551</c:v>
                </c:pt>
                <c:pt idx="13">
                  <c:v>0.60555555555555551</c:v>
                </c:pt>
                <c:pt idx="14">
                  <c:v>0.60555555555555551</c:v>
                </c:pt>
                <c:pt idx="15">
                  <c:v>0.60555555555555551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7D-4740-AE2B-5CFD3672A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503-4186-86BA-7F267B9EE3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03-4186-86BA-7F267B9EE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503-4186-86BA-7F267B9EE39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03-4186-86BA-7F267B9EE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6327</c:v>
                </c:pt>
                <c:pt idx="3">
                  <c:v>4833</c:v>
                </c:pt>
                <c:pt idx="4">
                  <c:v>5808</c:v>
                </c:pt>
                <c:pt idx="5">
                  <c:v>4623</c:v>
                </c:pt>
                <c:pt idx="6">
                  <c:v>4874</c:v>
                </c:pt>
                <c:pt idx="8">
                  <c:v>341</c:v>
                </c:pt>
                <c:pt idx="9">
                  <c:v>1794</c:v>
                </c:pt>
                <c:pt idx="10">
                  <c:v>5533</c:v>
                </c:pt>
                <c:pt idx="13">
                  <c:v>5020</c:v>
                </c:pt>
                <c:pt idx="14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D-4E26-BD29-11A06FE5CA65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6327</c:v>
                </c:pt>
                <c:pt idx="3">
                  <c:v>4833</c:v>
                </c:pt>
                <c:pt idx="4">
                  <c:v>5808</c:v>
                </c:pt>
                <c:pt idx="5">
                  <c:v>4623</c:v>
                </c:pt>
                <c:pt idx="6">
                  <c:v>4874</c:v>
                </c:pt>
                <c:pt idx="7">
                  <c:v>1100</c:v>
                </c:pt>
                <c:pt idx="8">
                  <c:v>341</c:v>
                </c:pt>
                <c:pt idx="9">
                  <c:v>1794</c:v>
                </c:pt>
                <c:pt idx="10">
                  <c:v>5533</c:v>
                </c:pt>
                <c:pt idx="11">
                  <c:v>4085</c:v>
                </c:pt>
                <c:pt idx="12">
                  <c:v>3254</c:v>
                </c:pt>
                <c:pt idx="13">
                  <c:v>5020</c:v>
                </c:pt>
                <c:pt idx="14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AD-4E26-BD29-11A06FE5C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0%</c:v>
                </c:pt>
                <c:pt idx="8">
                  <c:v>25%</c:v>
                </c:pt>
                <c:pt idx="9">
                  <c:v>42%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</c:v>
                </c:pt>
                <c:pt idx="8">
                  <c:v>0.25</c:v>
                </c:pt>
                <c:pt idx="9">
                  <c:v>0.41666666666666669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E-42C9-9991-A871E20607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9E-42C9-9991-A871E20607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0.53055555555555556</c:v>
                </c:pt>
                <c:pt idx="1">
                  <c:v>0.53055555555555556</c:v>
                </c:pt>
                <c:pt idx="2">
                  <c:v>0.53055555555555556</c:v>
                </c:pt>
                <c:pt idx="3">
                  <c:v>0.53055555555555556</c:v>
                </c:pt>
                <c:pt idx="4">
                  <c:v>0.53055555555555556</c:v>
                </c:pt>
                <c:pt idx="5">
                  <c:v>0.53055555555555556</c:v>
                </c:pt>
                <c:pt idx="6">
                  <c:v>0.53055555555555556</c:v>
                </c:pt>
                <c:pt idx="7">
                  <c:v>0.53055555555555556</c:v>
                </c:pt>
                <c:pt idx="8">
                  <c:v>0.53055555555555556</c:v>
                </c:pt>
                <c:pt idx="9">
                  <c:v>0.53055555555555556</c:v>
                </c:pt>
                <c:pt idx="10">
                  <c:v>0.53055555555555556</c:v>
                </c:pt>
                <c:pt idx="11">
                  <c:v>0.53055555555555556</c:v>
                </c:pt>
                <c:pt idx="12">
                  <c:v>0.53055555555555556</c:v>
                </c:pt>
                <c:pt idx="13">
                  <c:v>0.53055555555555556</c:v>
                </c:pt>
                <c:pt idx="14">
                  <c:v>0.53055555555555556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E-42C9-9991-A871E2060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2">
                  <c:v>6327</c:v>
                </c:pt>
                <c:pt idx="3">
                  <c:v>4833</c:v>
                </c:pt>
                <c:pt idx="4">
                  <c:v>5808</c:v>
                </c:pt>
                <c:pt idx="5">
                  <c:v>4623</c:v>
                </c:pt>
                <c:pt idx="6">
                  <c:v>4874</c:v>
                </c:pt>
                <c:pt idx="8">
                  <c:v>341</c:v>
                </c:pt>
                <c:pt idx="9">
                  <c:v>1794</c:v>
                </c:pt>
                <c:pt idx="10">
                  <c:v>5533</c:v>
                </c:pt>
                <c:pt idx="13">
                  <c:v>5020</c:v>
                </c:pt>
                <c:pt idx="14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60-4155-80EE-BDD4A07A590A}"/>
            </c:ext>
          </c:extLst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6327</c:v>
                </c:pt>
                <c:pt idx="3">
                  <c:v>4833</c:v>
                </c:pt>
                <c:pt idx="4">
                  <c:v>5808</c:v>
                </c:pt>
                <c:pt idx="5">
                  <c:v>4623</c:v>
                </c:pt>
                <c:pt idx="6">
                  <c:v>4874</c:v>
                </c:pt>
                <c:pt idx="7">
                  <c:v>1100</c:v>
                </c:pt>
                <c:pt idx="8">
                  <c:v>341</c:v>
                </c:pt>
                <c:pt idx="9">
                  <c:v>1794</c:v>
                </c:pt>
                <c:pt idx="10">
                  <c:v>5533</c:v>
                </c:pt>
                <c:pt idx="11">
                  <c:v>4085</c:v>
                </c:pt>
                <c:pt idx="12">
                  <c:v>3254</c:v>
                </c:pt>
                <c:pt idx="13">
                  <c:v>5020</c:v>
                </c:pt>
                <c:pt idx="14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60-4155-80EE-BDD4A07A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100%</c:v>
                </c:pt>
                <c:pt idx="5">
                  <c:v>88%</c:v>
                </c:pt>
                <c:pt idx="6">
                  <c:v>100%</c:v>
                </c:pt>
                <c:pt idx="7">
                  <c:v>0%</c:v>
                </c:pt>
                <c:pt idx="8">
                  <c:v>25%</c:v>
                </c:pt>
                <c:pt idx="9">
                  <c:v>42%</c:v>
                </c:pt>
                <c:pt idx="10">
                  <c:v>100%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1</c:v>
                </c:pt>
                <c:pt idx="5">
                  <c:v>0.875</c:v>
                </c:pt>
                <c:pt idx="6">
                  <c:v>1</c:v>
                </c:pt>
                <c:pt idx="7">
                  <c:v>0</c:v>
                </c:pt>
                <c:pt idx="8">
                  <c:v>0.25</c:v>
                </c:pt>
                <c:pt idx="9">
                  <c:v>0.41666666666666669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22-489D-B8AF-B4CF9C560D0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B22-489D-B8AF-B4CF9C560D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BASE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LEAD IN</c:v>
                </c:pt>
                <c:pt idx="13">
                  <c:v>BASE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0.53055555555555556</c:v>
                </c:pt>
                <c:pt idx="1">
                  <c:v>0.53055555555555556</c:v>
                </c:pt>
                <c:pt idx="2">
                  <c:v>0.53055555555555556</c:v>
                </c:pt>
                <c:pt idx="3">
                  <c:v>0.53055555555555556</c:v>
                </c:pt>
                <c:pt idx="4">
                  <c:v>0.53055555555555556</c:v>
                </c:pt>
                <c:pt idx="5">
                  <c:v>0.53055555555555556</c:v>
                </c:pt>
                <c:pt idx="6">
                  <c:v>0.53055555555555556</c:v>
                </c:pt>
                <c:pt idx="7">
                  <c:v>0.53055555555555556</c:v>
                </c:pt>
                <c:pt idx="8">
                  <c:v>0.53055555555555556</c:v>
                </c:pt>
                <c:pt idx="9">
                  <c:v>0.53055555555555556</c:v>
                </c:pt>
                <c:pt idx="10">
                  <c:v>0.53055555555555556</c:v>
                </c:pt>
                <c:pt idx="11">
                  <c:v>0.53055555555555556</c:v>
                </c:pt>
                <c:pt idx="12">
                  <c:v>0.53055555555555556</c:v>
                </c:pt>
                <c:pt idx="13">
                  <c:v>0.53055555555555556</c:v>
                </c:pt>
                <c:pt idx="14">
                  <c:v>0.53055555555555556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22-489D-B8AF-B4CF9C560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4B-40EB-8FFD-C6B0B551A1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B-40EB-8FFD-C6B0B551A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4B-40EB-8FFD-C6B0B551A19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4B-40EB-8FFD-C6B0B551A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2">
                  <c:v>5138</c:v>
                </c:pt>
                <c:pt idx="3">
                  <c:v>1883</c:v>
                </c:pt>
                <c:pt idx="4">
                  <c:v>96850</c:v>
                </c:pt>
                <c:pt idx="5">
                  <c:v>4705</c:v>
                </c:pt>
                <c:pt idx="6">
                  <c:v>4513</c:v>
                </c:pt>
                <c:pt idx="7">
                  <c:v>6960</c:v>
                </c:pt>
                <c:pt idx="10">
                  <c:v>3757</c:v>
                </c:pt>
                <c:pt idx="11">
                  <c:v>742</c:v>
                </c:pt>
                <c:pt idx="12">
                  <c:v>3216</c:v>
                </c:pt>
                <c:pt idx="14">
                  <c:v>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B0-42D5-9D44-0169BE378629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5138</c:v>
                </c:pt>
                <c:pt idx="3">
                  <c:v>1883</c:v>
                </c:pt>
                <c:pt idx="4">
                  <c:v>96850</c:v>
                </c:pt>
                <c:pt idx="5">
                  <c:v>4705</c:v>
                </c:pt>
                <c:pt idx="6">
                  <c:v>4513</c:v>
                </c:pt>
                <c:pt idx="7">
                  <c:v>6960</c:v>
                </c:pt>
                <c:pt idx="8">
                  <c:v>341</c:v>
                </c:pt>
                <c:pt idx="9">
                  <c:v>1794</c:v>
                </c:pt>
                <c:pt idx="10">
                  <c:v>3757</c:v>
                </c:pt>
                <c:pt idx="11">
                  <c:v>742</c:v>
                </c:pt>
                <c:pt idx="12">
                  <c:v>3216</c:v>
                </c:pt>
                <c:pt idx="13">
                  <c:v>3254</c:v>
                </c:pt>
                <c:pt idx="14">
                  <c:v>4651</c:v>
                </c:pt>
                <c:pt idx="15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B0-42D5-9D44-0169BE3786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67%</c:v>
                </c:pt>
                <c:pt idx="5">
                  <c:v>100%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17%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0.66666666666666663</c:v>
                </c:pt>
                <c:pt idx="5">
                  <c:v>1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0.16666666666666666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06-4CB2-83CB-37E1EF9EF88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06-4CB2-83CB-37E1EF9EF8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0.46666666666666673</c:v>
                </c:pt>
                <c:pt idx="1">
                  <c:v>0.46666666666666673</c:v>
                </c:pt>
                <c:pt idx="2">
                  <c:v>0.46666666666666673</c:v>
                </c:pt>
                <c:pt idx="3">
                  <c:v>0.46666666666666673</c:v>
                </c:pt>
                <c:pt idx="4">
                  <c:v>0.46666666666666673</c:v>
                </c:pt>
                <c:pt idx="5">
                  <c:v>0.46666666666666673</c:v>
                </c:pt>
                <c:pt idx="6">
                  <c:v>0.46666666666666673</c:v>
                </c:pt>
                <c:pt idx="7">
                  <c:v>0.46666666666666673</c:v>
                </c:pt>
                <c:pt idx="8">
                  <c:v>0.46666666666666673</c:v>
                </c:pt>
                <c:pt idx="9">
                  <c:v>0.46666666666666673</c:v>
                </c:pt>
                <c:pt idx="10">
                  <c:v>0.46666666666666673</c:v>
                </c:pt>
                <c:pt idx="11">
                  <c:v>0.46666666666666673</c:v>
                </c:pt>
                <c:pt idx="12">
                  <c:v>0.46666666666666673</c:v>
                </c:pt>
                <c:pt idx="13">
                  <c:v>0.46666666666666673</c:v>
                </c:pt>
                <c:pt idx="14">
                  <c:v>0.46666666666666673</c:v>
                </c:pt>
                <c:pt idx="15">
                  <c:v>0.46666666666666673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06-4CB2-83CB-37E1EF9EF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2">
                  <c:v>5138</c:v>
                </c:pt>
                <c:pt idx="3">
                  <c:v>1883</c:v>
                </c:pt>
                <c:pt idx="4">
                  <c:v>96850</c:v>
                </c:pt>
                <c:pt idx="5">
                  <c:v>4705</c:v>
                </c:pt>
                <c:pt idx="6">
                  <c:v>4513</c:v>
                </c:pt>
                <c:pt idx="7">
                  <c:v>6960</c:v>
                </c:pt>
                <c:pt idx="10">
                  <c:v>3757</c:v>
                </c:pt>
                <c:pt idx="11">
                  <c:v>742</c:v>
                </c:pt>
                <c:pt idx="12">
                  <c:v>3216</c:v>
                </c:pt>
                <c:pt idx="14">
                  <c:v>4651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8-4E79-BF19-C9769A8AD0EA}"/>
            </c:ext>
          </c:extLst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5138</c:v>
                </c:pt>
                <c:pt idx="3">
                  <c:v>1883</c:v>
                </c:pt>
                <c:pt idx="4">
                  <c:v>96850</c:v>
                </c:pt>
                <c:pt idx="5">
                  <c:v>4705</c:v>
                </c:pt>
                <c:pt idx="6">
                  <c:v>4513</c:v>
                </c:pt>
                <c:pt idx="7">
                  <c:v>6960</c:v>
                </c:pt>
                <c:pt idx="8">
                  <c:v>341</c:v>
                </c:pt>
                <c:pt idx="9">
                  <c:v>1794</c:v>
                </c:pt>
                <c:pt idx="10">
                  <c:v>3757</c:v>
                </c:pt>
                <c:pt idx="11">
                  <c:v>742</c:v>
                </c:pt>
                <c:pt idx="12">
                  <c:v>3216</c:v>
                </c:pt>
                <c:pt idx="13">
                  <c:v>3254</c:v>
                </c:pt>
                <c:pt idx="14">
                  <c:v>4651</c:v>
                </c:pt>
                <c:pt idx="15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E8-4E79-BF19-C9769A8AD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67%</c:v>
                </c:pt>
                <c:pt idx="5">
                  <c:v>100%</c:v>
                </c:pt>
                <c:pt idx="6">
                  <c:v>100%</c:v>
                </c:pt>
                <c:pt idx="7">
                  <c:v>58%</c:v>
                </c:pt>
                <c:pt idx="8">
                  <c:v>0%</c:v>
                </c:pt>
                <c:pt idx="9">
                  <c:v>0%</c:v>
                </c:pt>
                <c:pt idx="10">
                  <c:v>75%</c:v>
                </c:pt>
                <c:pt idx="11">
                  <c:v>17%</c:v>
                </c:pt>
                <c:pt idx="12">
                  <c:v>42%</c:v>
                </c:pt>
                <c:pt idx="13">
                  <c:v>0%</c:v>
                </c:pt>
                <c:pt idx="14">
                  <c:v>100%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0.66666666666666663</c:v>
                </c:pt>
                <c:pt idx="5">
                  <c:v>1</c:v>
                </c:pt>
                <c:pt idx="6">
                  <c:v>1</c:v>
                </c:pt>
                <c:pt idx="7">
                  <c:v>0.58333333333333337</c:v>
                </c:pt>
                <c:pt idx="8">
                  <c:v>0</c:v>
                </c:pt>
                <c:pt idx="9">
                  <c:v>0</c:v>
                </c:pt>
                <c:pt idx="10">
                  <c:v>0.75</c:v>
                </c:pt>
                <c:pt idx="11">
                  <c:v>0.16666666666666666</c:v>
                </c:pt>
                <c:pt idx="12">
                  <c:v>0.41666666666666669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BF-43DD-9C23-347F47BCD6F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BF-43DD-9C23-347F47BCD6F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COVER</c:v>
                </c:pt>
                <c:pt idx="12">
                  <c:v>LATCH PLATE</c:v>
                </c:pt>
                <c:pt idx="14">
                  <c:v>BASE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0.46666666666666673</c:v>
                </c:pt>
                <c:pt idx="1">
                  <c:v>0.46666666666666673</c:v>
                </c:pt>
                <c:pt idx="2">
                  <c:v>0.46666666666666673</c:v>
                </c:pt>
                <c:pt idx="3">
                  <c:v>0.46666666666666673</c:v>
                </c:pt>
                <c:pt idx="4">
                  <c:v>0.46666666666666673</c:v>
                </c:pt>
                <c:pt idx="5">
                  <c:v>0.46666666666666673</c:v>
                </c:pt>
                <c:pt idx="6">
                  <c:v>0.46666666666666673</c:v>
                </c:pt>
                <c:pt idx="7">
                  <c:v>0.46666666666666673</c:v>
                </c:pt>
                <c:pt idx="8">
                  <c:v>0.46666666666666673</c:v>
                </c:pt>
                <c:pt idx="9">
                  <c:v>0.46666666666666673</c:v>
                </c:pt>
                <c:pt idx="10">
                  <c:v>0.46666666666666673</c:v>
                </c:pt>
                <c:pt idx="11">
                  <c:v>0.46666666666666673</c:v>
                </c:pt>
                <c:pt idx="12">
                  <c:v>0.46666666666666673</c:v>
                </c:pt>
                <c:pt idx="13">
                  <c:v>0.46666666666666673</c:v>
                </c:pt>
                <c:pt idx="14">
                  <c:v>0.46666666666666673</c:v>
                </c:pt>
                <c:pt idx="15">
                  <c:v>0.46666666666666673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BF-43DD-9C23-347F47BCD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A17-4A2C-A45E-D990CD13BF5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17-4A2C-A45E-D990CD13B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17-4A2C-A45E-D990CD13BF5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17-4A2C-A45E-D990CD13B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2">
                  <c:v>6028</c:v>
                </c:pt>
                <c:pt idx="3">
                  <c:v>2918</c:v>
                </c:pt>
                <c:pt idx="4">
                  <c:v>152840</c:v>
                </c:pt>
                <c:pt idx="5">
                  <c:v>5405</c:v>
                </c:pt>
                <c:pt idx="6">
                  <c:v>4723</c:v>
                </c:pt>
                <c:pt idx="10">
                  <c:v>2870</c:v>
                </c:pt>
                <c:pt idx="11">
                  <c:v>2078</c:v>
                </c:pt>
                <c:pt idx="12">
                  <c:v>1258</c:v>
                </c:pt>
                <c:pt idx="13">
                  <c:v>1517</c:v>
                </c:pt>
                <c:pt idx="15">
                  <c:v>4826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A9-437A-95B5-21E3EE86B568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6028</c:v>
                </c:pt>
                <c:pt idx="3">
                  <c:v>2918</c:v>
                </c:pt>
                <c:pt idx="4">
                  <c:v>152840</c:v>
                </c:pt>
                <c:pt idx="5">
                  <c:v>5405</c:v>
                </c:pt>
                <c:pt idx="6">
                  <c:v>4723</c:v>
                </c:pt>
                <c:pt idx="7">
                  <c:v>6960</c:v>
                </c:pt>
                <c:pt idx="8">
                  <c:v>341</c:v>
                </c:pt>
                <c:pt idx="9">
                  <c:v>1794</c:v>
                </c:pt>
                <c:pt idx="10">
                  <c:v>2870</c:v>
                </c:pt>
                <c:pt idx="11">
                  <c:v>2078</c:v>
                </c:pt>
                <c:pt idx="12">
                  <c:v>3216</c:v>
                </c:pt>
                <c:pt idx="13">
                  <c:v>1517</c:v>
                </c:pt>
                <c:pt idx="14">
                  <c:v>3254</c:v>
                </c:pt>
                <c:pt idx="15">
                  <c:v>4826</c:v>
                </c:pt>
                <c:pt idx="16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A9-437A-95B5-21E3EE86B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42%</c:v>
                </c:pt>
                <c:pt idx="12">
                  <c:v>7%</c:v>
                </c:pt>
                <c:pt idx="13">
                  <c:v>42%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0.41666666666666669</c:v>
                </c:pt>
                <c:pt idx="12">
                  <c:v>6.5194859038142622E-2</c:v>
                </c:pt>
                <c:pt idx="13">
                  <c:v>0.41666666666666669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B-4FEC-B5D1-5A0F4D2F551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9BB-4FEC-B5D1-5A0F4D2F551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0.47101299060254292</c:v>
                </c:pt>
                <c:pt idx="1">
                  <c:v>0.47101299060254292</c:v>
                </c:pt>
                <c:pt idx="2">
                  <c:v>0.47101299060254292</c:v>
                </c:pt>
                <c:pt idx="3">
                  <c:v>0.47101299060254292</c:v>
                </c:pt>
                <c:pt idx="4">
                  <c:v>0.47101299060254292</c:v>
                </c:pt>
                <c:pt idx="5">
                  <c:v>0.47101299060254292</c:v>
                </c:pt>
                <c:pt idx="6">
                  <c:v>0.47101299060254292</c:v>
                </c:pt>
                <c:pt idx="7">
                  <c:v>0.47101299060254292</c:v>
                </c:pt>
                <c:pt idx="8">
                  <c:v>0.47101299060254292</c:v>
                </c:pt>
                <c:pt idx="9">
                  <c:v>0.47101299060254292</c:v>
                </c:pt>
                <c:pt idx="10">
                  <c:v>0.47101299060254292</c:v>
                </c:pt>
                <c:pt idx="11">
                  <c:v>0.47101299060254292</c:v>
                </c:pt>
                <c:pt idx="12">
                  <c:v>0.47101299060254292</c:v>
                </c:pt>
                <c:pt idx="13">
                  <c:v>0.47101299060254292</c:v>
                </c:pt>
                <c:pt idx="14">
                  <c:v>0.47101299060254292</c:v>
                </c:pt>
                <c:pt idx="15">
                  <c:v>0.47101299060254292</c:v>
                </c:pt>
                <c:pt idx="16">
                  <c:v>0.47101299060254292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BB-4FEC-B5D1-5A0F4D2F5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'08'!$L$6:$L$22</c:f>
              <c:numCache>
                <c:formatCode>_(* #,##0_);_(* \(#,##0\);_(* "-"_);_(@_)</c:formatCode>
                <c:ptCount val="17"/>
                <c:pt idx="2">
                  <c:v>6028</c:v>
                </c:pt>
                <c:pt idx="3">
                  <c:v>2918</c:v>
                </c:pt>
                <c:pt idx="4">
                  <c:v>152840</c:v>
                </c:pt>
                <c:pt idx="5">
                  <c:v>5405</c:v>
                </c:pt>
                <c:pt idx="6">
                  <c:v>4723</c:v>
                </c:pt>
                <c:pt idx="10">
                  <c:v>2870</c:v>
                </c:pt>
                <c:pt idx="11">
                  <c:v>2078</c:v>
                </c:pt>
                <c:pt idx="12">
                  <c:v>1258</c:v>
                </c:pt>
                <c:pt idx="13">
                  <c:v>1517</c:v>
                </c:pt>
                <c:pt idx="15">
                  <c:v>4826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96-415B-9D7D-6E1543F4E362}"/>
            </c:ext>
          </c:extLst>
        </c:ser>
        <c:ser>
          <c:idx val="1"/>
          <c:order val="1"/>
          <c:tx>
            <c:v>계획</c:v>
          </c:tx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6028</c:v>
                </c:pt>
                <c:pt idx="3">
                  <c:v>2918</c:v>
                </c:pt>
                <c:pt idx="4">
                  <c:v>152840</c:v>
                </c:pt>
                <c:pt idx="5">
                  <c:v>5405</c:v>
                </c:pt>
                <c:pt idx="6">
                  <c:v>4723</c:v>
                </c:pt>
                <c:pt idx="7">
                  <c:v>6960</c:v>
                </c:pt>
                <c:pt idx="8">
                  <c:v>341</c:v>
                </c:pt>
                <c:pt idx="9">
                  <c:v>1794</c:v>
                </c:pt>
                <c:pt idx="10">
                  <c:v>2870</c:v>
                </c:pt>
                <c:pt idx="11">
                  <c:v>2078</c:v>
                </c:pt>
                <c:pt idx="12">
                  <c:v>3216</c:v>
                </c:pt>
                <c:pt idx="13">
                  <c:v>1517</c:v>
                </c:pt>
                <c:pt idx="14">
                  <c:v>3254</c:v>
                </c:pt>
                <c:pt idx="15">
                  <c:v>4826</c:v>
                </c:pt>
                <c:pt idx="16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96-415B-9D7D-6E1543F4E3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63%</c:v>
                </c:pt>
                <c:pt idx="4">
                  <c:v>100%</c:v>
                </c:pt>
                <c:pt idx="5">
                  <c:v>100%</c:v>
                </c:pt>
                <c:pt idx="6">
                  <c:v>100%</c:v>
                </c:pt>
                <c:pt idx="7">
                  <c:v>0%</c:v>
                </c:pt>
                <c:pt idx="8">
                  <c:v>0%</c:v>
                </c:pt>
                <c:pt idx="9">
                  <c:v>0%</c:v>
                </c:pt>
                <c:pt idx="10">
                  <c:v>54%</c:v>
                </c:pt>
                <c:pt idx="11">
                  <c:v>42%</c:v>
                </c:pt>
                <c:pt idx="12">
                  <c:v>7%</c:v>
                </c:pt>
                <c:pt idx="13">
                  <c:v>42%</c:v>
                </c:pt>
                <c:pt idx="14">
                  <c:v>0%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0.625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0.54166666666666663</c:v>
                </c:pt>
                <c:pt idx="11">
                  <c:v>0.41666666666666669</c:v>
                </c:pt>
                <c:pt idx="12">
                  <c:v>6.5194859038142622E-2</c:v>
                </c:pt>
                <c:pt idx="13">
                  <c:v>0.41666666666666669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D7-444D-BBD1-D009B426EE5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D7-444D-BBD1-D009B426EE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'08'!$D$6:$D$22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BASE</c:v>
                </c:pt>
                <c:pt idx="6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LATCH PLATE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'08'!$AE$6:$AE$22</c:f>
              <c:numCache>
                <c:formatCode>0%</c:formatCode>
                <c:ptCount val="17"/>
                <c:pt idx="0">
                  <c:v>0.47101299060254292</c:v>
                </c:pt>
                <c:pt idx="1">
                  <c:v>0.47101299060254292</c:v>
                </c:pt>
                <c:pt idx="2">
                  <c:v>0.47101299060254292</c:v>
                </c:pt>
                <c:pt idx="3">
                  <c:v>0.47101299060254292</c:v>
                </c:pt>
                <c:pt idx="4">
                  <c:v>0.47101299060254292</c:v>
                </c:pt>
                <c:pt idx="5">
                  <c:v>0.47101299060254292</c:v>
                </c:pt>
                <c:pt idx="6">
                  <c:v>0.47101299060254292</c:v>
                </c:pt>
                <c:pt idx="7">
                  <c:v>0.47101299060254292</c:v>
                </c:pt>
                <c:pt idx="8">
                  <c:v>0.47101299060254292</c:v>
                </c:pt>
                <c:pt idx="9">
                  <c:v>0.47101299060254292</c:v>
                </c:pt>
                <c:pt idx="10">
                  <c:v>0.47101299060254292</c:v>
                </c:pt>
                <c:pt idx="11">
                  <c:v>0.47101299060254292</c:v>
                </c:pt>
                <c:pt idx="12">
                  <c:v>0.47101299060254292</c:v>
                </c:pt>
                <c:pt idx="13">
                  <c:v>0.47101299060254292</c:v>
                </c:pt>
                <c:pt idx="14">
                  <c:v>0.47101299060254292</c:v>
                </c:pt>
                <c:pt idx="15">
                  <c:v>0.47101299060254292</c:v>
                </c:pt>
                <c:pt idx="16">
                  <c:v>0.47101299060254292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D7-444D-BBD1-D009B426E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CC9-4894-A59E-4168D819FF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C9-4894-A59E-4168D819F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CC9-4894-A59E-4168D819FF4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C9-4894-A59E-4168D819F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2">
                  <c:v>6101</c:v>
                </c:pt>
                <c:pt idx="3">
                  <c:v>5569</c:v>
                </c:pt>
                <c:pt idx="4">
                  <c:v>19800</c:v>
                </c:pt>
                <c:pt idx="5">
                  <c:v>150</c:v>
                </c:pt>
                <c:pt idx="6">
                  <c:v>1826</c:v>
                </c:pt>
                <c:pt idx="7">
                  <c:v>4859</c:v>
                </c:pt>
                <c:pt idx="8">
                  <c:v>734</c:v>
                </c:pt>
                <c:pt idx="11">
                  <c:v>815</c:v>
                </c:pt>
                <c:pt idx="12">
                  <c:v>1399</c:v>
                </c:pt>
                <c:pt idx="15">
                  <c:v>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5-4FFB-9EB0-3665A2045295}"/>
            </c:ext>
          </c:extLst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6101</c:v>
                </c:pt>
                <c:pt idx="3">
                  <c:v>5569</c:v>
                </c:pt>
                <c:pt idx="4">
                  <c:v>19800</c:v>
                </c:pt>
                <c:pt idx="5">
                  <c:v>150</c:v>
                </c:pt>
                <c:pt idx="6">
                  <c:v>1826</c:v>
                </c:pt>
                <c:pt idx="7">
                  <c:v>4859</c:v>
                </c:pt>
                <c:pt idx="8">
                  <c:v>734</c:v>
                </c:pt>
                <c:pt idx="9">
                  <c:v>341</c:v>
                </c:pt>
                <c:pt idx="10">
                  <c:v>1794</c:v>
                </c:pt>
                <c:pt idx="11">
                  <c:v>815</c:v>
                </c:pt>
                <c:pt idx="12">
                  <c:v>1399</c:v>
                </c:pt>
                <c:pt idx="13">
                  <c:v>1517</c:v>
                </c:pt>
                <c:pt idx="14">
                  <c:v>3254</c:v>
                </c:pt>
                <c:pt idx="15">
                  <c:v>4692</c:v>
                </c:pt>
                <c:pt idx="16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55-4FFB-9EB0-3665A2045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17%</c:v>
                </c:pt>
                <c:pt idx="5">
                  <c:v>8%</c:v>
                </c:pt>
                <c:pt idx="6">
                  <c:v>38%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  <c:pt idx="15">
                  <c:v>96%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0.16666666666666666</c:v>
                </c:pt>
                <c:pt idx="5">
                  <c:v>8.3333333333333329E-2</c:v>
                </c:pt>
                <c:pt idx="6">
                  <c:v>0.375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  <c:pt idx="15">
                  <c:v>0.95833333333333337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F-41F1-ABAF-1EE8347A666B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BBF-41F1-ABAF-1EE8347A666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0.36111111111111105</c:v>
                </c:pt>
                <c:pt idx="1">
                  <c:v>0.36111111111111105</c:v>
                </c:pt>
                <c:pt idx="2">
                  <c:v>0.36111111111111105</c:v>
                </c:pt>
                <c:pt idx="3">
                  <c:v>0.36111111111111105</c:v>
                </c:pt>
                <c:pt idx="4">
                  <c:v>0.36111111111111105</c:v>
                </c:pt>
                <c:pt idx="5">
                  <c:v>0.36111111111111105</c:v>
                </c:pt>
                <c:pt idx="6">
                  <c:v>0.36111111111111105</c:v>
                </c:pt>
                <c:pt idx="7">
                  <c:v>0.36111111111111105</c:v>
                </c:pt>
                <c:pt idx="8">
                  <c:v>0.36111111111111105</c:v>
                </c:pt>
                <c:pt idx="9">
                  <c:v>0.36111111111111105</c:v>
                </c:pt>
                <c:pt idx="10">
                  <c:v>0.36111111111111105</c:v>
                </c:pt>
                <c:pt idx="11">
                  <c:v>0.36111111111111105</c:v>
                </c:pt>
                <c:pt idx="12">
                  <c:v>0.36111111111111105</c:v>
                </c:pt>
                <c:pt idx="13">
                  <c:v>0.36111111111111105</c:v>
                </c:pt>
                <c:pt idx="14">
                  <c:v>0.36111111111111105</c:v>
                </c:pt>
                <c:pt idx="15">
                  <c:v>0.36111111111111105</c:v>
                </c:pt>
                <c:pt idx="16">
                  <c:v>0.36111111111111105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BF-41F1-ABAF-1EE8347A6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'09'!$L$6:$L$22</c:f>
              <c:numCache>
                <c:formatCode>_(* #,##0_);_(* \(#,##0\);_(* "-"_);_(@_)</c:formatCode>
                <c:ptCount val="17"/>
                <c:pt idx="2">
                  <c:v>6101</c:v>
                </c:pt>
                <c:pt idx="3">
                  <c:v>5569</c:v>
                </c:pt>
                <c:pt idx="4">
                  <c:v>19800</c:v>
                </c:pt>
                <c:pt idx="5">
                  <c:v>150</c:v>
                </c:pt>
                <c:pt idx="6">
                  <c:v>1826</c:v>
                </c:pt>
                <c:pt idx="7">
                  <c:v>4859</c:v>
                </c:pt>
                <c:pt idx="8">
                  <c:v>734</c:v>
                </c:pt>
                <c:pt idx="11">
                  <c:v>815</c:v>
                </c:pt>
                <c:pt idx="12">
                  <c:v>1399</c:v>
                </c:pt>
                <c:pt idx="15">
                  <c:v>4692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B7-413B-9829-6BB1B19F2691}"/>
            </c:ext>
          </c:extLst>
        </c:ser>
        <c:ser>
          <c:idx val="1"/>
          <c:order val="1"/>
          <c:tx>
            <c:v>계획</c:v>
          </c:tx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6101</c:v>
                </c:pt>
                <c:pt idx="3">
                  <c:v>5569</c:v>
                </c:pt>
                <c:pt idx="4">
                  <c:v>19800</c:v>
                </c:pt>
                <c:pt idx="5">
                  <c:v>150</c:v>
                </c:pt>
                <c:pt idx="6">
                  <c:v>1826</c:v>
                </c:pt>
                <c:pt idx="7">
                  <c:v>4859</c:v>
                </c:pt>
                <c:pt idx="8">
                  <c:v>734</c:v>
                </c:pt>
                <c:pt idx="9">
                  <c:v>341</c:v>
                </c:pt>
                <c:pt idx="10">
                  <c:v>1794</c:v>
                </c:pt>
                <c:pt idx="11">
                  <c:v>815</c:v>
                </c:pt>
                <c:pt idx="12">
                  <c:v>1399</c:v>
                </c:pt>
                <c:pt idx="13">
                  <c:v>1517</c:v>
                </c:pt>
                <c:pt idx="14">
                  <c:v>3254</c:v>
                </c:pt>
                <c:pt idx="15">
                  <c:v>4692</c:v>
                </c:pt>
                <c:pt idx="16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B7-413B-9829-6BB1B19F2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100%</c:v>
                </c:pt>
                <c:pt idx="4">
                  <c:v>17%</c:v>
                </c:pt>
                <c:pt idx="5">
                  <c:v>8%</c:v>
                </c:pt>
                <c:pt idx="6">
                  <c:v>38%</c:v>
                </c:pt>
                <c:pt idx="7">
                  <c:v>100%</c:v>
                </c:pt>
                <c:pt idx="8">
                  <c:v>17%</c:v>
                </c:pt>
                <c:pt idx="9">
                  <c:v>0%</c:v>
                </c:pt>
                <c:pt idx="10">
                  <c:v>0%</c:v>
                </c:pt>
                <c:pt idx="11">
                  <c:v>25%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  <c:pt idx="15">
                  <c:v>96%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0.16666666666666666</c:v>
                </c:pt>
                <c:pt idx="5">
                  <c:v>8.3333333333333329E-2</c:v>
                </c:pt>
                <c:pt idx="6">
                  <c:v>0.375</c:v>
                </c:pt>
                <c:pt idx="7">
                  <c:v>1</c:v>
                </c:pt>
                <c:pt idx="8">
                  <c:v>0.16666666666666666</c:v>
                </c:pt>
                <c:pt idx="9">
                  <c:v>0</c:v>
                </c:pt>
                <c:pt idx="10">
                  <c:v>0</c:v>
                </c:pt>
                <c:pt idx="11">
                  <c:v>0.25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  <c:pt idx="15">
                  <c:v>0.95833333333333337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2-4C4A-B58E-207EC6B5949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852-4C4A-B58E-207EC6B594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'09'!$D$6:$D$22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SHAFT</c:v>
                </c:pt>
                <c:pt idx="5">
                  <c:v>SLIDER</c:v>
                </c:pt>
                <c:pt idx="6">
                  <c:v>BASE</c:v>
                </c:pt>
                <c:pt idx="7">
                  <c:v>BASE</c:v>
                </c:pt>
                <c:pt idx="8">
                  <c:v>LATCH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F/A</c:v>
                </c:pt>
                <c:pt idx="15">
                  <c:v>BASE</c:v>
                </c:pt>
              </c:strCache>
            </c:strRef>
          </c:cat>
          <c:val>
            <c:numRef>
              <c:f>'09'!$AE$6:$AE$22</c:f>
              <c:numCache>
                <c:formatCode>0%</c:formatCode>
                <c:ptCount val="17"/>
                <c:pt idx="0">
                  <c:v>0.36111111111111105</c:v>
                </c:pt>
                <c:pt idx="1">
                  <c:v>0.36111111111111105</c:v>
                </c:pt>
                <c:pt idx="2">
                  <c:v>0.36111111111111105</c:v>
                </c:pt>
                <c:pt idx="3">
                  <c:v>0.36111111111111105</c:v>
                </c:pt>
                <c:pt idx="4">
                  <c:v>0.36111111111111105</c:v>
                </c:pt>
                <c:pt idx="5">
                  <c:v>0.36111111111111105</c:v>
                </c:pt>
                <c:pt idx="6">
                  <c:v>0.36111111111111105</c:v>
                </c:pt>
                <c:pt idx="7">
                  <c:v>0.36111111111111105</c:v>
                </c:pt>
                <c:pt idx="8">
                  <c:v>0.36111111111111105</c:v>
                </c:pt>
                <c:pt idx="9">
                  <c:v>0.36111111111111105</c:v>
                </c:pt>
                <c:pt idx="10">
                  <c:v>0.36111111111111105</c:v>
                </c:pt>
                <c:pt idx="11">
                  <c:v>0.36111111111111105</c:v>
                </c:pt>
                <c:pt idx="12">
                  <c:v>0.36111111111111105</c:v>
                </c:pt>
                <c:pt idx="13">
                  <c:v>0.36111111111111105</c:v>
                </c:pt>
                <c:pt idx="14">
                  <c:v>0.36111111111111105</c:v>
                </c:pt>
                <c:pt idx="15">
                  <c:v>0.36111111111111105</c:v>
                </c:pt>
                <c:pt idx="16">
                  <c:v>0.36111111111111105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52-4C4A-B58E-207EC6B59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20F-4084-9BAA-2C9C985080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F-4084-9BAA-2C9C98508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0F-4084-9BAA-2C9C9850806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0F-4084-9BAA-2C9C98508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2">
                  <c:v>5921</c:v>
                </c:pt>
                <c:pt idx="3">
                  <c:v>5002</c:v>
                </c:pt>
                <c:pt idx="4">
                  <c:v>1533</c:v>
                </c:pt>
                <c:pt idx="5">
                  <c:v>2220</c:v>
                </c:pt>
                <c:pt idx="6">
                  <c:v>4599</c:v>
                </c:pt>
                <c:pt idx="7">
                  <c:v>2132</c:v>
                </c:pt>
                <c:pt idx="8">
                  <c:v>857</c:v>
                </c:pt>
                <c:pt idx="10">
                  <c:v>3216</c:v>
                </c:pt>
                <c:pt idx="11">
                  <c:v>1919</c:v>
                </c:pt>
                <c:pt idx="12">
                  <c:v>19668</c:v>
                </c:pt>
                <c:pt idx="13">
                  <c:v>120</c:v>
                </c:pt>
                <c:pt idx="14">
                  <c:v>13264</c:v>
                </c:pt>
                <c:pt idx="15">
                  <c:v>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E-4C34-81B0-7EE0C709C45D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5921</c:v>
                </c:pt>
                <c:pt idx="3">
                  <c:v>5002</c:v>
                </c:pt>
                <c:pt idx="4">
                  <c:v>1533</c:v>
                </c:pt>
                <c:pt idx="5">
                  <c:v>2220</c:v>
                </c:pt>
                <c:pt idx="6">
                  <c:v>4599</c:v>
                </c:pt>
                <c:pt idx="7">
                  <c:v>2132</c:v>
                </c:pt>
                <c:pt idx="8">
                  <c:v>857</c:v>
                </c:pt>
                <c:pt idx="9">
                  <c:v>341</c:v>
                </c:pt>
                <c:pt idx="10">
                  <c:v>3216</c:v>
                </c:pt>
                <c:pt idx="11">
                  <c:v>1919</c:v>
                </c:pt>
                <c:pt idx="12">
                  <c:v>19668</c:v>
                </c:pt>
                <c:pt idx="13">
                  <c:v>120</c:v>
                </c:pt>
                <c:pt idx="14">
                  <c:v>13264</c:v>
                </c:pt>
                <c:pt idx="15">
                  <c:v>4864</c:v>
                </c:pt>
                <c:pt idx="16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E-4C34-81B0-7EE0C709C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25%</c:v>
                </c:pt>
                <c:pt idx="5">
                  <c:v>50%</c:v>
                </c:pt>
                <c:pt idx="6">
                  <c:v>100%</c:v>
                </c:pt>
                <c:pt idx="7">
                  <c:v>21%</c:v>
                </c:pt>
                <c:pt idx="8">
                  <c:v>17%</c:v>
                </c:pt>
                <c:pt idx="9">
                  <c:v>0%</c:v>
                </c:pt>
                <c:pt idx="10">
                  <c:v>58%</c:v>
                </c:pt>
                <c:pt idx="11">
                  <c:v>46%</c:v>
                </c:pt>
                <c:pt idx="12">
                  <c:v>92%</c:v>
                </c:pt>
                <c:pt idx="13">
                  <c:v>8%</c:v>
                </c:pt>
                <c:pt idx="14">
                  <c:v>75%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0.25</c:v>
                </c:pt>
                <c:pt idx="5">
                  <c:v>0.5</c:v>
                </c:pt>
                <c:pt idx="6">
                  <c:v>1</c:v>
                </c:pt>
                <c:pt idx="7">
                  <c:v>0.20833333333333334</c:v>
                </c:pt>
                <c:pt idx="8">
                  <c:v>0.16666666666666666</c:v>
                </c:pt>
                <c:pt idx="9">
                  <c:v>0</c:v>
                </c:pt>
                <c:pt idx="10">
                  <c:v>0.58333333333333337</c:v>
                </c:pt>
                <c:pt idx="11">
                  <c:v>0.45833333333333331</c:v>
                </c:pt>
                <c:pt idx="12">
                  <c:v>0.91666666666666663</c:v>
                </c:pt>
                <c:pt idx="13">
                  <c:v>8.3333333333333329E-2</c:v>
                </c:pt>
                <c:pt idx="14">
                  <c:v>0.75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D5-4612-B87F-25FBE029D9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D5-4612-B87F-25FBE029D9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0.52222222222222225</c:v>
                </c:pt>
                <c:pt idx="1">
                  <c:v>0.52222222222222225</c:v>
                </c:pt>
                <c:pt idx="2">
                  <c:v>0.52222222222222225</c:v>
                </c:pt>
                <c:pt idx="3">
                  <c:v>0.52222222222222225</c:v>
                </c:pt>
                <c:pt idx="4">
                  <c:v>0.52222222222222225</c:v>
                </c:pt>
                <c:pt idx="5">
                  <c:v>0.52222222222222225</c:v>
                </c:pt>
                <c:pt idx="6">
                  <c:v>0.52222222222222225</c:v>
                </c:pt>
                <c:pt idx="7">
                  <c:v>0.52222222222222225</c:v>
                </c:pt>
                <c:pt idx="8">
                  <c:v>0.52222222222222225</c:v>
                </c:pt>
                <c:pt idx="9">
                  <c:v>0.52222222222222225</c:v>
                </c:pt>
                <c:pt idx="10">
                  <c:v>0.52222222222222225</c:v>
                </c:pt>
                <c:pt idx="11">
                  <c:v>0.52222222222222225</c:v>
                </c:pt>
                <c:pt idx="12">
                  <c:v>0.52222222222222225</c:v>
                </c:pt>
                <c:pt idx="13">
                  <c:v>0.52222222222222225</c:v>
                </c:pt>
                <c:pt idx="14">
                  <c:v>0.52222222222222225</c:v>
                </c:pt>
                <c:pt idx="15">
                  <c:v>0.52222222222222225</c:v>
                </c:pt>
                <c:pt idx="16">
                  <c:v>0.52222222222222225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D5-4612-B87F-25FBE029D9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'10'!$L$6:$L$22</c:f>
              <c:numCache>
                <c:formatCode>_(* #,##0_);_(* \(#,##0\);_(* "-"_);_(@_)</c:formatCode>
                <c:ptCount val="17"/>
                <c:pt idx="2">
                  <c:v>5921</c:v>
                </c:pt>
                <c:pt idx="3">
                  <c:v>5002</c:v>
                </c:pt>
                <c:pt idx="4">
                  <c:v>1533</c:v>
                </c:pt>
                <c:pt idx="5">
                  <c:v>2220</c:v>
                </c:pt>
                <c:pt idx="6">
                  <c:v>4599</c:v>
                </c:pt>
                <c:pt idx="7">
                  <c:v>2132</c:v>
                </c:pt>
                <c:pt idx="8">
                  <c:v>857</c:v>
                </c:pt>
                <c:pt idx="10">
                  <c:v>3216</c:v>
                </c:pt>
                <c:pt idx="11">
                  <c:v>1919</c:v>
                </c:pt>
                <c:pt idx="12">
                  <c:v>19668</c:v>
                </c:pt>
                <c:pt idx="13">
                  <c:v>120</c:v>
                </c:pt>
                <c:pt idx="14">
                  <c:v>13264</c:v>
                </c:pt>
                <c:pt idx="15">
                  <c:v>4864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2D-48D7-BA94-F67E4840A4CB}"/>
            </c:ext>
          </c:extLst>
        </c:ser>
        <c:ser>
          <c:idx val="1"/>
          <c:order val="1"/>
          <c:tx>
            <c:v>계획</c:v>
          </c:tx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5921</c:v>
                </c:pt>
                <c:pt idx="3">
                  <c:v>5002</c:v>
                </c:pt>
                <c:pt idx="4">
                  <c:v>1533</c:v>
                </c:pt>
                <c:pt idx="5">
                  <c:v>2220</c:v>
                </c:pt>
                <c:pt idx="6">
                  <c:v>4599</c:v>
                </c:pt>
                <c:pt idx="7">
                  <c:v>2132</c:v>
                </c:pt>
                <c:pt idx="8">
                  <c:v>857</c:v>
                </c:pt>
                <c:pt idx="9">
                  <c:v>341</c:v>
                </c:pt>
                <c:pt idx="10">
                  <c:v>3216</c:v>
                </c:pt>
                <c:pt idx="11">
                  <c:v>1919</c:v>
                </c:pt>
                <c:pt idx="12">
                  <c:v>19668</c:v>
                </c:pt>
                <c:pt idx="13">
                  <c:v>120</c:v>
                </c:pt>
                <c:pt idx="14">
                  <c:v>13264</c:v>
                </c:pt>
                <c:pt idx="15">
                  <c:v>4864</c:v>
                </c:pt>
                <c:pt idx="16">
                  <c:v>42868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2D-48D7-BA94-F67E4840A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25%</c:v>
                </c:pt>
                <c:pt idx="5">
                  <c:v>50%</c:v>
                </c:pt>
                <c:pt idx="6">
                  <c:v>100%</c:v>
                </c:pt>
                <c:pt idx="7">
                  <c:v>21%</c:v>
                </c:pt>
                <c:pt idx="8">
                  <c:v>17%</c:v>
                </c:pt>
                <c:pt idx="9">
                  <c:v>0%</c:v>
                </c:pt>
                <c:pt idx="10">
                  <c:v>58%</c:v>
                </c:pt>
                <c:pt idx="11">
                  <c:v>46%</c:v>
                </c:pt>
                <c:pt idx="12">
                  <c:v>92%</c:v>
                </c:pt>
                <c:pt idx="13">
                  <c:v>8%</c:v>
                </c:pt>
                <c:pt idx="14">
                  <c:v>75%</c:v>
                </c:pt>
                <c:pt idx="15">
                  <c:v>100%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0.25</c:v>
                </c:pt>
                <c:pt idx="5">
                  <c:v>0.5</c:v>
                </c:pt>
                <c:pt idx="6">
                  <c:v>1</c:v>
                </c:pt>
                <c:pt idx="7">
                  <c:v>0.20833333333333334</c:v>
                </c:pt>
                <c:pt idx="8">
                  <c:v>0.16666666666666666</c:v>
                </c:pt>
                <c:pt idx="9">
                  <c:v>0</c:v>
                </c:pt>
                <c:pt idx="10">
                  <c:v>0.58333333333333337</c:v>
                </c:pt>
                <c:pt idx="11">
                  <c:v>0.45833333333333331</c:v>
                </c:pt>
                <c:pt idx="12">
                  <c:v>0.91666666666666663</c:v>
                </c:pt>
                <c:pt idx="13">
                  <c:v>8.3333333333333329E-2</c:v>
                </c:pt>
                <c:pt idx="14">
                  <c:v>0.75</c:v>
                </c:pt>
                <c:pt idx="15">
                  <c:v>1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84-4B8C-B290-1EA8815F33A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384-4B8C-B290-1EA8815F33A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'10'!$D$6:$D$22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SLIDER</c:v>
                </c:pt>
                <c:pt idx="5">
                  <c:v>BASE</c:v>
                </c:pt>
                <c:pt idx="6">
                  <c:v>BASE</c:v>
                </c:pt>
                <c:pt idx="7">
                  <c:v>LATCH</c:v>
                </c:pt>
                <c:pt idx="8">
                  <c:v>LEAD GUIDE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LEAD GUIDE</c:v>
                </c:pt>
                <c:pt idx="14">
                  <c:v>STOPPER</c:v>
                </c:pt>
                <c:pt idx="15">
                  <c:v>BASE</c:v>
                </c:pt>
              </c:strCache>
            </c:strRef>
          </c:cat>
          <c:val>
            <c:numRef>
              <c:f>'10'!$AE$6:$AE$22</c:f>
              <c:numCache>
                <c:formatCode>0%</c:formatCode>
                <c:ptCount val="17"/>
                <c:pt idx="0">
                  <c:v>0.52222222222222225</c:v>
                </c:pt>
                <c:pt idx="1">
                  <c:v>0.52222222222222225</c:v>
                </c:pt>
                <c:pt idx="2">
                  <c:v>0.52222222222222225</c:v>
                </c:pt>
                <c:pt idx="3">
                  <c:v>0.52222222222222225</c:v>
                </c:pt>
                <c:pt idx="4">
                  <c:v>0.52222222222222225</c:v>
                </c:pt>
                <c:pt idx="5">
                  <c:v>0.52222222222222225</c:v>
                </c:pt>
                <c:pt idx="6">
                  <c:v>0.52222222222222225</c:v>
                </c:pt>
                <c:pt idx="7">
                  <c:v>0.52222222222222225</c:v>
                </c:pt>
                <c:pt idx="8">
                  <c:v>0.52222222222222225</c:v>
                </c:pt>
                <c:pt idx="9">
                  <c:v>0.52222222222222225</c:v>
                </c:pt>
                <c:pt idx="10">
                  <c:v>0.52222222222222225</c:v>
                </c:pt>
                <c:pt idx="11">
                  <c:v>0.52222222222222225</c:v>
                </c:pt>
                <c:pt idx="12">
                  <c:v>0.52222222222222225</c:v>
                </c:pt>
                <c:pt idx="13">
                  <c:v>0.52222222222222225</c:v>
                </c:pt>
                <c:pt idx="14">
                  <c:v>0.52222222222222225</c:v>
                </c:pt>
                <c:pt idx="15">
                  <c:v>0.52222222222222225</c:v>
                </c:pt>
                <c:pt idx="16">
                  <c:v>0.52222222222222225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84-4B8C-B290-1EA8815F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983-4446-897B-9279F7CC38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83-4446-897B-9279F7CC3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983-4446-897B-9279F7CC386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83-4446-897B-9279F7CC3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6078</c:v>
                </c:pt>
                <c:pt idx="3">
                  <c:v>4681</c:v>
                </c:pt>
                <c:pt idx="4">
                  <c:v>2135</c:v>
                </c:pt>
                <c:pt idx="5">
                  <c:v>1067</c:v>
                </c:pt>
                <c:pt idx="6">
                  <c:v>3415</c:v>
                </c:pt>
                <c:pt idx="7">
                  <c:v>1073</c:v>
                </c:pt>
                <c:pt idx="9">
                  <c:v>6251</c:v>
                </c:pt>
                <c:pt idx="11">
                  <c:v>11296</c:v>
                </c:pt>
                <c:pt idx="12">
                  <c:v>11064</c:v>
                </c:pt>
                <c:pt idx="13">
                  <c:v>4990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3-451A-9CCB-733951986F97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6078</c:v>
                </c:pt>
                <c:pt idx="3">
                  <c:v>4681</c:v>
                </c:pt>
                <c:pt idx="4">
                  <c:v>2135</c:v>
                </c:pt>
                <c:pt idx="5">
                  <c:v>1067</c:v>
                </c:pt>
                <c:pt idx="6">
                  <c:v>3415</c:v>
                </c:pt>
                <c:pt idx="7">
                  <c:v>1073</c:v>
                </c:pt>
                <c:pt idx="8">
                  <c:v>341</c:v>
                </c:pt>
                <c:pt idx="9">
                  <c:v>6251</c:v>
                </c:pt>
                <c:pt idx="10">
                  <c:v>1919</c:v>
                </c:pt>
                <c:pt idx="11">
                  <c:v>11296</c:v>
                </c:pt>
                <c:pt idx="12">
                  <c:v>11064</c:v>
                </c:pt>
                <c:pt idx="13">
                  <c:v>4990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83-451A-9CCB-733951986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46%</c:v>
                </c:pt>
                <c:pt idx="5">
                  <c:v>21%</c:v>
                </c:pt>
                <c:pt idx="6">
                  <c:v>75%</c:v>
                </c:pt>
                <c:pt idx="7">
                  <c:v>29%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58%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0.45833333333333331</c:v>
                </c:pt>
                <c:pt idx="5">
                  <c:v>0.20833333333333334</c:v>
                </c:pt>
                <c:pt idx="6">
                  <c:v>0.75</c:v>
                </c:pt>
                <c:pt idx="7">
                  <c:v>0.29166666666666669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0.58333333333333337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B-4BE3-8DA2-D4A137182F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22B-4BE3-8DA2-D4A137182F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0.51944444444444438</c:v>
                </c:pt>
                <c:pt idx="1">
                  <c:v>0.51944444444444438</c:v>
                </c:pt>
                <c:pt idx="2">
                  <c:v>0.51944444444444438</c:v>
                </c:pt>
                <c:pt idx="3">
                  <c:v>0.51944444444444438</c:v>
                </c:pt>
                <c:pt idx="4">
                  <c:v>0.51944444444444438</c:v>
                </c:pt>
                <c:pt idx="5">
                  <c:v>0.51944444444444438</c:v>
                </c:pt>
                <c:pt idx="6">
                  <c:v>0.51944444444444438</c:v>
                </c:pt>
                <c:pt idx="7">
                  <c:v>0.51944444444444438</c:v>
                </c:pt>
                <c:pt idx="8">
                  <c:v>0.51944444444444438</c:v>
                </c:pt>
                <c:pt idx="9">
                  <c:v>0.51944444444444438</c:v>
                </c:pt>
                <c:pt idx="10">
                  <c:v>0.51944444444444438</c:v>
                </c:pt>
                <c:pt idx="11">
                  <c:v>0.51944444444444438</c:v>
                </c:pt>
                <c:pt idx="12">
                  <c:v>0.51944444444444438</c:v>
                </c:pt>
                <c:pt idx="13">
                  <c:v>0.51944444444444438</c:v>
                </c:pt>
                <c:pt idx="14">
                  <c:v>0.51944444444444438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2B-4BE3-8DA2-D4A137182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2">
                  <c:v>6078</c:v>
                </c:pt>
                <c:pt idx="3">
                  <c:v>4681</c:v>
                </c:pt>
                <c:pt idx="4">
                  <c:v>2135</c:v>
                </c:pt>
                <c:pt idx="5">
                  <c:v>1067</c:v>
                </c:pt>
                <c:pt idx="6">
                  <c:v>3415</c:v>
                </c:pt>
                <c:pt idx="7">
                  <c:v>1073</c:v>
                </c:pt>
                <c:pt idx="9">
                  <c:v>6251</c:v>
                </c:pt>
                <c:pt idx="11">
                  <c:v>11296</c:v>
                </c:pt>
                <c:pt idx="12">
                  <c:v>11064</c:v>
                </c:pt>
                <c:pt idx="13">
                  <c:v>4990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65-4A7A-821B-949BFFC4EF21}"/>
            </c:ext>
          </c:extLst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6078</c:v>
                </c:pt>
                <c:pt idx="3">
                  <c:v>4681</c:v>
                </c:pt>
                <c:pt idx="4">
                  <c:v>2135</c:v>
                </c:pt>
                <c:pt idx="5">
                  <c:v>1067</c:v>
                </c:pt>
                <c:pt idx="6">
                  <c:v>3415</c:v>
                </c:pt>
                <c:pt idx="7">
                  <c:v>1073</c:v>
                </c:pt>
                <c:pt idx="8">
                  <c:v>341</c:v>
                </c:pt>
                <c:pt idx="9">
                  <c:v>6251</c:v>
                </c:pt>
                <c:pt idx="10">
                  <c:v>1919</c:v>
                </c:pt>
                <c:pt idx="11">
                  <c:v>11296</c:v>
                </c:pt>
                <c:pt idx="12">
                  <c:v>11064</c:v>
                </c:pt>
                <c:pt idx="13">
                  <c:v>4990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65-4A7A-821B-949BFFC4E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92%</c:v>
                </c:pt>
                <c:pt idx="4">
                  <c:v>46%</c:v>
                </c:pt>
                <c:pt idx="5">
                  <c:v>21%</c:v>
                </c:pt>
                <c:pt idx="6">
                  <c:v>75%</c:v>
                </c:pt>
                <c:pt idx="7">
                  <c:v>29%</c:v>
                </c:pt>
                <c:pt idx="8">
                  <c:v>0%</c:v>
                </c:pt>
                <c:pt idx="9">
                  <c:v>100%</c:v>
                </c:pt>
                <c:pt idx="10">
                  <c:v>0%</c:v>
                </c:pt>
                <c:pt idx="11">
                  <c:v>58%</c:v>
                </c:pt>
                <c:pt idx="12">
                  <c:v>100%</c:v>
                </c:pt>
                <c:pt idx="13">
                  <c:v>100%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0.91666666666666663</c:v>
                </c:pt>
                <c:pt idx="4">
                  <c:v>0.45833333333333331</c:v>
                </c:pt>
                <c:pt idx="5">
                  <c:v>0.20833333333333334</c:v>
                </c:pt>
                <c:pt idx="6">
                  <c:v>0.75</c:v>
                </c:pt>
                <c:pt idx="7">
                  <c:v>0.29166666666666669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0.58333333333333337</c:v>
                </c:pt>
                <c:pt idx="12">
                  <c:v>1</c:v>
                </c:pt>
                <c:pt idx="13">
                  <c:v>1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76-4C79-81EC-D25C6551DD0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76-4C79-81EC-D25C6551DD0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'11'!$D$6:$D$20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SLIDER</c:v>
                </c:pt>
                <c:pt idx="6">
                  <c:v>BASE</c:v>
                </c:pt>
                <c:pt idx="7">
                  <c:v>38P</c:v>
                </c:pt>
                <c:pt idx="8">
                  <c:v>BASE</c:v>
                </c:pt>
                <c:pt idx="10">
                  <c:v>BASE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0.51944444444444438</c:v>
                </c:pt>
                <c:pt idx="1">
                  <c:v>0.51944444444444438</c:v>
                </c:pt>
                <c:pt idx="2">
                  <c:v>0.51944444444444438</c:v>
                </c:pt>
                <c:pt idx="3">
                  <c:v>0.51944444444444438</c:v>
                </c:pt>
                <c:pt idx="4">
                  <c:v>0.51944444444444438</c:v>
                </c:pt>
                <c:pt idx="5">
                  <c:v>0.51944444444444438</c:v>
                </c:pt>
                <c:pt idx="6">
                  <c:v>0.51944444444444438</c:v>
                </c:pt>
                <c:pt idx="7">
                  <c:v>0.51944444444444438</c:v>
                </c:pt>
                <c:pt idx="8">
                  <c:v>0.51944444444444438</c:v>
                </c:pt>
                <c:pt idx="9">
                  <c:v>0.51944444444444438</c:v>
                </c:pt>
                <c:pt idx="10">
                  <c:v>0.51944444444444438</c:v>
                </c:pt>
                <c:pt idx="11">
                  <c:v>0.51944444444444438</c:v>
                </c:pt>
                <c:pt idx="12">
                  <c:v>0.51944444444444438</c:v>
                </c:pt>
                <c:pt idx="13">
                  <c:v>0.51944444444444438</c:v>
                </c:pt>
                <c:pt idx="14">
                  <c:v>0.51944444444444438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76-4C79-81EC-D25C6551D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B50-4BE5-A2B1-B80FB85224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50-4BE5-A2B1-B80FB852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B50-4BE5-A2B1-B80FB85224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B50-4BE5-A2B1-B80FB8522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2856</c:v>
                </c:pt>
                <c:pt idx="3">
                  <c:v>4452</c:v>
                </c:pt>
                <c:pt idx="4">
                  <c:v>300</c:v>
                </c:pt>
                <c:pt idx="5">
                  <c:v>1244</c:v>
                </c:pt>
                <c:pt idx="6">
                  <c:v>915</c:v>
                </c:pt>
                <c:pt idx="7">
                  <c:v>4921</c:v>
                </c:pt>
                <c:pt idx="8">
                  <c:v>4155</c:v>
                </c:pt>
                <c:pt idx="10">
                  <c:v>3050</c:v>
                </c:pt>
                <c:pt idx="13">
                  <c:v>10994</c:v>
                </c:pt>
                <c:pt idx="14">
                  <c:v>3865</c:v>
                </c:pt>
                <c:pt idx="15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B9-4E2E-A66F-81D7BBA62AB9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2856</c:v>
                </c:pt>
                <c:pt idx="3">
                  <c:v>4452</c:v>
                </c:pt>
                <c:pt idx="4">
                  <c:v>300</c:v>
                </c:pt>
                <c:pt idx="5">
                  <c:v>1244</c:v>
                </c:pt>
                <c:pt idx="6">
                  <c:v>915</c:v>
                </c:pt>
                <c:pt idx="7">
                  <c:v>4921</c:v>
                </c:pt>
                <c:pt idx="8">
                  <c:v>4155</c:v>
                </c:pt>
                <c:pt idx="9">
                  <c:v>341</c:v>
                </c:pt>
                <c:pt idx="10">
                  <c:v>3050</c:v>
                </c:pt>
                <c:pt idx="11">
                  <c:v>1919</c:v>
                </c:pt>
                <c:pt idx="12">
                  <c:v>11296</c:v>
                </c:pt>
                <c:pt idx="13">
                  <c:v>10994</c:v>
                </c:pt>
                <c:pt idx="14">
                  <c:v>3865</c:v>
                </c:pt>
                <c:pt idx="15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B9-4E2E-A66F-81D7BBA62A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92%</c:v>
                </c:pt>
                <c:pt idx="4">
                  <c:v>17%</c:v>
                </c:pt>
                <c:pt idx="5">
                  <c:v>33%</c:v>
                </c:pt>
                <c:pt idx="6">
                  <c:v>17%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83%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0.91666666666666663</c:v>
                </c:pt>
                <c:pt idx="4">
                  <c:v>0.16666666666666666</c:v>
                </c:pt>
                <c:pt idx="5">
                  <c:v>0.33333333333333331</c:v>
                </c:pt>
                <c:pt idx="6">
                  <c:v>0.16666666666666666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A-4107-B136-96448C9F08E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7A-4107-B136-96448C9F08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0.46666666666666662</c:v>
                </c:pt>
                <c:pt idx="1">
                  <c:v>0.46666666666666662</c:v>
                </c:pt>
                <c:pt idx="2">
                  <c:v>0.46666666666666662</c:v>
                </c:pt>
                <c:pt idx="3">
                  <c:v>0.46666666666666662</c:v>
                </c:pt>
                <c:pt idx="4">
                  <c:v>0.46666666666666662</c:v>
                </c:pt>
                <c:pt idx="5">
                  <c:v>0.46666666666666662</c:v>
                </c:pt>
                <c:pt idx="6">
                  <c:v>0.46666666666666662</c:v>
                </c:pt>
                <c:pt idx="7">
                  <c:v>0.46666666666666662</c:v>
                </c:pt>
                <c:pt idx="8">
                  <c:v>0.46666666666666662</c:v>
                </c:pt>
                <c:pt idx="9">
                  <c:v>0.46666666666666662</c:v>
                </c:pt>
                <c:pt idx="10">
                  <c:v>0.46666666666666662</c:v>
                </c:pt>
                <c:pt idx="11">
                  <c:v>0.46666666666666662</c:v>
                </c:pt>
                <c:pt idx="12">
                  <c:v>0.46666666666666662</c:v>
                </c:pt>
                <c:pt idx="13">
                  <c:v>0.46666666666666662</c:v>
                </c:pt>
                <c:pt idx="14">
                  <c:v>0.46666666666666662</c:v>
                </c:pt>
                <c:pt idx="15">
                  <c:v>0.46666666666666662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A-4107-B136-96448C9F0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'12'!$L$6:$L$21</c:f>
              <c:numCache>
                <c:formatCode>_(* #,##0_);_(* \(#,##0\);_(* "-"_);_(@_)</c:formatCode>
                <c:ptCount val="16"/>
                <c:pt idx="2">
                  <c:v>2856</c:v>
                </c:pt>
                <c:pt idx="3">
                  <c:v>4452</c:v>
                </c:pt>
                <c:pt idx="4">
                  <c:v>300</c:v>
                </c:pt>
                <c:pt idx="5">
                  <c:v>1244</c:v>
                </c:pt>
                <c:pt idx="6">
                  <c:v>915</c:v>
                </c:pt>
                <c:pt idx="7">
                  <c:v>4921</c:v>
                </c:pt>
                <c:pt idx="8">
                  <c:v>4155</c:v>
                </c:pt>
                <c:pt idx="10">
                  <c:v>3050</c:v>
                </c:pt>
                <c:pt idx="13">
                  <c:v>10994</c:v>
                </c:pt>
                <c:pt idx="14">
                  <c:v>3865</c:v>
                </c:pt>
                <c:pt idx="15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69-4F0C-A9B0-1110335B59F2}"/>
            </c:ext>
          </c:extLst>
        </c:ser>
        <c:ser>
          <c:idx val="1"/>
          <c:order val="1"/>
          <c:tx>
            <c:v>계획</c:v>
          </c:tx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2856</c:v>
                </c:pt>
                <c:pt idx="3">
                  <c:v>4452</c:v>
                </c:pt>
                <c:pt idx="4">
                  <c:v>300</c:v>
                </c:pt>
                <c:pt idx="5">
                  <c:v>1244</c:v>
                </c:pt>
                <c:pt idx="6">
                  <c:v>915</c:v>
                </c:pt>
                <c:pt idx="7">
                  <c:v>4921</c:v>
                </c:pt>
                <c:pt idx="8">
                  <c:v>4155</c:v>
                </c:pt>
                <c:pt idx="9">
                  <c:v>341</c:v>
                </c:pt>
                <c:pt idx="10">
                  <c:v>3050</c:v>
                </c:pt>
                <c:pt idx="11">
                  <c:v>1919</c:v>
                </c:pt>
                <c:pt idx="12">
                  <c:v>11296</c:v>
                </c:pt>
                <c:pt idx="13">
                  <c:v>10994</c:v>
                </c:pt>
                <c:pt idx="14">
                  <c:v>3865</c:v>
                </c:pt>
                <c:pt idx="15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69-4F0C-A9B0-1110335B5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'12'!$AD$6:$AD$21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92%</c:v>
                </c:pt>
                <c:pt idx="4">
                  <c:v>17%</c:v>
                </c:pt>
                <c:pt idx="5">
                  <c:v>33%</c:v>
                </c:pt>
                <c:pt idx="6">
                  <c:v>17%</c:v>
                </c:pt>
                <c:pt idx="7">
                  <c:v>100%</c:v>
                </c:pt>
                <c:pt idx="8">
                  <c:v>92%</c:v>
                </c:pt>
                <c:pt idx="9">
                  <c:v>0%</c:v>
                </c:pt>
                <c:pt idx="10">
                  <c:v>58%</c:v>
                </c:pt>
                <c:pt idx="11">
                  <c:v>0%</c:v>
                </c:pt>
                <c:pt idx="12">
                  <c:v>0%</c:v>
                </c:pt>
                <c:pt idx="13">
                  <c:v>100%</c:v>
                </c:pt>
                <c:pt idx="14">
                  <c:v>83%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0.91666666666666663</c:v>
                </c:pt>
                <c:pt idx="4">
                  <c:v>0.16666666666666666</c:v>
                </c:pt>
                <c:pt idx="5">
                  <c:v>0.33333333333333331</c:v>
                </c:pt>
                <c:pt idx="6">
                  <c:v>0.16666666666666666</c:v>
                </c:pt>
                <c:pt idx="7">
                  <c:v>1</c:v>
                </c:pt>
                <c:pt idx="8">
                  <c:v>0.91666666666666663</c:v>
                </c:pt>
                <c:pt idx="9">
                  <c:v>0</c:v>
                </c:pt>
                <c:pt idx="10">
                  <c:v>0.58333333333333337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0.83333333333333337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E-4874-8E2F-B7E33FF1A41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1E-4874-8E2F-B7E33FF1A41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'12'!$D$6:$D$21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'12'!$AE$6:$AE$21</c:f>
              <c:numCache>
                <c:formatCode>0%</c:formatCode>
                <c:ptCount val="16"/>
                <c:pt idx="0">
                  <c:v>0.46666666666666662</c:v>
                </c:pt>
                <c:pt idx="1">
                  <c:v>0.46666666666666662</c:v>
                </c:pt>
                <c:pt idx="2">
                  <c:v>0.46666666666666662</c:v>
                </c:pt>
                <c:pt idx="3">
                  <c:v>0.46666666666666662</c:v>
                </c:pt>
                <c:pt idx="4">
                  <c:v>0.46666666666666662</c:v>
                </c:pt>
                <c:pt idx="5">
                  <c:v>0.46666666666666662</c:v>
                </c:pt>
                <c:pt idx="6">
                  <c:v>0.46666666666666662</c:v>
                </c:pt>
                <c:pt idx="7">
                  <c:v>0.46666666666666662</c:v>
                </c:pt>
                <c:pt idx="8">
                  <c:v>0.46666666666666662</c:v>
                </c:pt>
                <c:pt idx="9">
                  <c:v>0.46666666666666662</c:v>
                </c:pt>
                <c:pt idx="10">
                  <c:v>0.46666666666666662</c:v>
                </c:pt>
                <c:pt idx="11">
                  <c:v>0.46666666666666662</c:v>
                </c:pt>
                <c:pt idx="12">
                  <c:v>0.46666666666666662</c:v>
                </c:pt>
                <c:pt idx="13">
                  <c:v>0.46666666666666662</c:v>
                </c:pt>
                <c:pt idx="14">
                  <c:v>0.46666666666666662</c:v>
                </c:pt>
                <c:pt idx="15">
                  <c:v>0.46666666666666662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1E-4874-8E2F-B7E33FF1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AD3-459F-BE46-E3B788C174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D3-459F-BE46-E3B788C17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D3-459F-BE46-E3B788C1741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D3-459F-BE46-E3B788C17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3">
                  <c:v>2460</c:v>
                </c:pt>
                <c:pt idx="4">
                  <c:v>790</c:v>
                </c:pt>
                <c:pt idx="5">
                  <c:v>658</c:v>
                </c:pt>
                <c:pt idx="6">
                  <c:v>500</c:v>
                </c:pt>
                <c:pt idx="7">
                  <c:v>2272</c:v>
                </c:pt>
                <c:pt idx="13">
                  <c:v>1204</c:v>
                </c:pt>
                <c:pt idx="14">
                  <c:v>2322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94-47BC-AFDE-85CA70BEF0E4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2856</c:v>
                </c:pt>
                <c:pt idx="3">
                  <c:v>2460</c:v>
                </c:pt>
                <c:pt idx="4">
                  <c:v>790</c:v>
                </c:pt>
                <c:pt idx="5">
                  <c:v>658</c:v>
                </c:pt>
                <c:pt idx="6">
                  <c:v>500</c:v>
                </c:pt>
                <c:pt idx="7">
                  <c:v>2272</c:v>
                </c:pt>
                <c:pt idx="8">
                  <c:v>4155</c:v>
                </c:pt>
                <c:pt idx="9">
                  <c:v>341</c:v>
                </c:pt>
                <c:pt idx="10">
                  <c:v>3050</c:v>
                </c:pt>
                <c:pt idx="11">
                  <c:v>1919</c:v>
                </c:pt>
                <c:pt idx="12">
                  <c:v>11296</c:v>
                </c:pt>
                <c:pt idx="13">
                  <c:v>1204</c:v>
                </c:pt>
                <c:pt idx="14">
                  <c:v>2322</c:v>
                </c:pt>
                <c:pt idx="15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94-47BC-AFDE-85CA70BEF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21%</c:v>
                </c:pt>
                <c:pt idx="5">
                  <c:v>21%</c:v>
                </c:pt>
                <c:pt idx="6">
                  <c:v>13%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0.20833333333333334</c:v>
                </c:pt>
                <c:pt idx="5">
                  <c:v>0.20833333333333334</c:v>
                </c:pt>
                <c:pt idx="6">
                  <c:v>0.125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D-48A9-9CD9-046664B898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5D-48A9-9CD9-046664B898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0.13055555555555556</c:v>
                </c:pt>
                <c:pt idx="1">
                  <c:v>0.13055555555555556</c:v>
                </c:pt>
                <c:pt idx="2">
                  <c:v>0.13055555555555556</c:v>
                </c:pt>
                <c:pt idx="3">
                  <c:v>0.13055555555555556</c:v>
                </c:pt>
                <c:pt idx="4">
                  <c:v>0.13055555555555556</c:v>
                </c:pt>
                <c:pt idx="5">
                  <c:v>0.13055555555555556</c:v>
                </c:pt>
                <c:pt idx="6">
                  <c:v>0.13055555555555556</c:v>
                </c:pt>
                <c:pt idx="7">
                  <c:v>0.13055555555555556</c:v>
                </c:pt>
                <c:pt idx="8">
                  <c:v>0.13055555555555556</c:v>
                </c:pt>
                <c:pt idx="9">
                  <c:v>0.13055555555555556</c:v>
                </c:pt>
                <c:pt idx="10">
                  <c:v>0.13055555555555556</c:v>
                </c:pt>
                <c:pt idx="11">
                  <c:v>0.13055555555555556</c:v>
                </c:pt>
                <c:pt idx="12">
                  <c:v>0.13055555555555556</c:v>
                </c:pt>
                <c:pt idx="13">
                  <c:v>0.13055555555555556</c:v>
                </c:pt>
                <c:pt idx="14">
                  <c:v>0.13055555555555556</c:v>
                </c:pt>
                <c:pt idx="15">
                  <c:v>0.13055555555555556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D-48A9-9CD9-046664B89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'13'!$L$6:$L$21</c:f>
              <c:numCache>
                <c:formatCode>_(* #,##0_);_(* \(#,##0\);_(* "-"_);_(@_)</c:formatCode>
                <c:ptCount val="16"/>
                <c:pt idx="3">
                  <c:v>2460</c:v>
                </c:pt>
                <c:pt idx="4">
                  <c:v>790</c:v>
                </c:pt>
                <c:pt idx="5">
                  <c:v>658</c:v>
                </c:pt>
                <c:pt idx="6">
                  <c:v>500</c:v>
                </c:pt>
                <c:pt idx="7">
                  <c:v>2272</c:v>
                </c:pt>
                <c:pt idx="13">
                  <c:v>1204</c:v>
                </c:pt>
                <c:pt idx="14">
                  <c:v>2322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22-4A5A-A91E-F2089560ED5B}"/>
            </c:ext>
          </c:extLst>
        </c:ser>
        <c:ser>
          <c:idx val="1"/>
          <c:order val="1"/>
          <c:tx>
            <c:v>계획</c:v>
          </c:tx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2856</c:v>
                </c:pt>
                <c:pt idx="3">
                  <c:v>2460</c:v>
                </c:pt>
                <c:pt idx="4">
                  <c:v>790</c:v>
                </c:pt>
                <c:pt idx="5">
                  <c:v>658</c:v>
                </c:pt>
                <c:pt idx="6">
                  <c:v>500</c:v>
                </c:pt>
                <c:pt idx="7">
                  <c:v>2272</c:v>
                </c:pt>
                <c:pt idx="8">
                  <c:v>4155</c:v>
                </c:pt>
                <c:pt idx="9">
                  <c:v>341</c:v>
                </c:pt>
                <c:pt idx="10">
                  <c:v>3050</c:v>
                </c:pt>
                <c:pt idx="11">
                  <c:v>1919</c:v>
                </c:pt>
                <c:pt idx="12">
                  <c:v>11296</c:v>
                </c:pt>
                <c:pt idx="13">
                  <c:v>1204</c:v>
                </c:pt>
                <c:pt idx="14">
                  <c:v>2322</c:v>
                </c:pt>
                <c:pt idx="15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22-4A5A-A91E-F2089560E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42%</c:v>
                </c:pt>
                <c:pt idx="4">
                  <c:v>21%</c:v>
                </c:pt>
                <c:pt idx="5">
                  <c:v>21%</c:v>
                </c:pt>
                <c:pt idx="6">
                  <c:v>13%</c:v>
                </c:pt>
                <c:pt idx="7">
                  <c:v>42%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0%</c:v>
                </c:pt>
                <c:pt idx="13">
                  <c:v>17%</c:v>
                </c:pt>
                <c:pt idx="14">
                  <c:v>42%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0.41666666666666669</c:v>
                </c:pt>
                <c:pt idx="4">
                  <c:v>0.20833333333333334</c:v>
                </c:pt>
                <c:pt idx="5">
                  <c:v>0.20833333333333334</c:v>
                </c:pt>
                <c:pt idx="6">
                  <c:v>0.125</c:v>
                </c:pt>
                <c:pt idx="7">
                  <c:v>0.41666666666666669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0.41666666666666669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04-421C-937F-7CC562064CD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04-421C-937F-7CC562064C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'13'!$D$6:$D$21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LEAD GUIDE</c:v>
                </c:pt>
                <c:pt idx="6">
                  <c:v>SLIDER</c:v>
                </c:pt>
                <c:pt idx="7">
                  <c:v>BASE</c:v>
                </c:pt>
                <c:pt idx="8">
                  <c:v>38P</c:v>
                </c:pt>
                <c:pt idx="9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'13'!$AE$6:$AE$21</c:f>
              <c:numCache>
                <c:formatCode>0%</c:formatCode>
                <c:ptCount val="16"/>
                <c:pt idx="0">
                  <c:v>0.13055555555555556</c:v>
                </c:pt>
                <c:pt idx="1">
                  <c:v>0.13055555555555556</c:v>
                </c:pt>
                <c:pt idx="2">
                  <c:v>0.13055555555555556</c:v>
                </c:pt>
                <c:pt idx="3">
                  <c:v>0.13055555555555556</c:v>
                </c:pt>
                <c:pt idx="4">
                  <c:v>0.13055555555555556</c:v>
                </c:pt>
                <c:pt idx="5">
                  <c:v>0.13055555555555556</c:v>
                </c:pt>
                <c:pt idx="6">
                  <c:v>0.13055555555555556</c:v>
                </c:pt>
                <c:pt idx="7">
                  <c:v>0.13055555555555556</c:v>
                </c:pt>
                <c:pt idx="8">
                  <c:v>0.13055555555555556</c:v>
                </c:pt>
                <c:pt idx="9">
                  <c:v>0.13055555555555556</c:v>
                </c:pt>
                <c:pt idx="10">
                  <c:v>0.13055555555555556</c:v>
                </c:pt>
                <c:pt idx="11">
                  <c:v>0.13055555555555556</c:v>
                </c:pt>
                <c:pt idx="12">
                  <c:v>0.13055555555555556</c:v>
                </c:pt>
                <c:pt idx="13">
                  <c:v>0.13055555555555556</c:v>
                </c:pt>
                <c:pt idx="14">
                  <c:v>0.13055555555555556</c:v>
                </c:pt>
                <c:pt idx="15">
                  <c:v>0.13055555555555556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B04-421C-937F-7CC562064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81D2-435F-886E-DA4E1F02F3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D2-435F-886E-DA4E1F02F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D2-435F-886E-DA4E1F02F33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D2-435F-886E-DA4E1F02F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2">
                  <c:v>4676</c:v>
                </c:pt>
                <c:pt idx="3">
                  <c:v>5051</c:v>
                </c:pt>
                <c:pt idx="4">
                  <c:v>240</c:v>
                </c:pt>
                <c:pt idx="5">
                  <c:v>8894</c:v>
                </c:pt>
                <c:pt idx="6">
                  <c:v>1299</c:v>
                </c:pt>
                <c:pt idx="7">
                  <c:v>679</c:v>
                </c:pt>
                <c:pt idx="9">
                  <c:v>516</c:v>
                </c:pt>
                <c:pt idx="10">
                  <c:v>5532</c:v>
                </c:pt>
                <c:pt idx="11">
                  <c:v>694</c:v>
                </c:pt>
                <c:pt idx="13">
                  <c:v>1518</c:v>
                </c:pt>
                <c:pt idx="14">
                  <c:v>1945</c:v>
                </c:pt>
                <c:pt idx="15">
                  <c:v>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A-463A-8D8A-C7D67DCD6066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4676</c:v>
                </c:pt>
                <c:pt idx="3">
                  <c:v>5051</c:v>
                </c:pt>
                <c:pt idx="4">
                  <c:v>240</c:v>
                </c:pt>
                <c:pt idx="5">
                  <c:v>8894</c:v>
                </c:pt>
                <c:pt idx="6">
                  <c:v>1299</c:v>
                </c:pt>
                <c:pt idx="7">
                  <c:v>679</c:v>
                </c:pt>
                <c:pt idx="8">
                  <c:v>4155</c:v>
                </c:pt>
                <c:pt idx="9">
                  <c:v>516</c:v>
                </c:pt>
                <c:pt idx="10">
                  <c:v>5532</c:v>
                </c:pt>
                <c:pt idx="11">
                  <c:v>694</c:v>
                </c:pt>
                <c:pt idx="12">
                  <c:v>11296</c:v>
                </c:pt>
                <c:pt idx="13">
                  <c:v>1518</c:v>
                </c:pt>
                <c:pt idx="14">
                  <c:v>1945</c:v>
                </c:pt>
                <c:pt idx="15">
                  <c:v>4113</c:v>
                </c:pt>
                <c:pt idx="16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A-463A-8D8A-C7D67DCD6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100%</c:v>
                </c:pt>
                <c:pt idx="4">
                  <c:v>8%</c:v>
                </c:pt>
                <c:pt idx="5">
                  <c:v>79%</c:v>
                </c:pt>
                <c:pt idx="6">
                  <c:v>25%</c:v>
                </c:pt>
                <c:pt idx="7">
                  <c:v>17%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17%</c:v>
                </c:pt>
                <c:pt idx="12">
                  <c:v>0%</c:v>
                </c:pt>
                <c:pt idx="13">
                  <c:v>17%</c:v>
                </c:pt>
                <c:pt idx="14">
                  <c:v>46%</c:v>
                </c:pt>
                <c:pt idx="15">
                  <c:v>88%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1</c:v>
                </c:pt>
                <c:pt idx="4">
                  <c:v>8.3333333333333329E-2</c:v>
                </c:pt>
                <c:pt idx="5">
                  <c:v>0.79166666666666663</c:v>
                </c:pt>
                <c:pt idx="6">
                  <c:v>0.25</c:v>
                </c:pt>
                <c:pt idx="7">
                  <c:v>0.16666666666666666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0.45833333333333331</c:v>
                </c:pt>
                <c:pt idx="15">
                  <c:v>0.875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7-4131-9727-B2F7A1C986D3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E7-4131-9727-B2F7A1C986D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0.40555555555555556</c:v>
                </c:pt>
                <c:pt idx="1">
                  <c:v>0.40555555555555556</c:v>
                </c:pt>
                <c:pt idx="2">
                  <c:v>0.40555555555555556</c:v>
                </c:pt>
                <c:pt idx="3">
                  <c:v>0.40555555555555556</c:v>
                </c:pt>
                <c:pt idx="4">
                  <c:v>0.40555555555555556</c:v>
                </c:pt>
                <c:pt idx="5">
                  <c:v>0.40555555555555556</c:v>
                </c:pt>
                <c:pt idx="6">
                  <c:v>0.40555555555555556</c:v>
                </c:pt>
                <c:pt idx="7">
                  <c:v>0.40555555555555556</c:v>
                </c:pt>
                <c:pt idx="8">
                  <c:v>0.40555555555555556</c:v>
                </c:pt>
                <c:pt idx="9">
                  <c:v>0.40555555555555556</c:v>
                </c:pt>
                <c:pt idx="10">
                  <c:v>0.40555555555555556</c:v>
                </c:pt>
                <c:pt idx="11">
                  <c:v>0.40555555555555556</c:v>
                </c:pt>
                <c:pt idx="12">
                  <c:v>0.40555555555555556</c:v>
                </c:pt>
                <c:pt idx="13">
                  <c:v>0.40555555555555556</c:v>
                </c:pt>
                <c:pt idx="14">
                  <c:v>0.40555555555555556</c:v>
                </c:pt>
                <c:pt idx="15">
                  <c:v>0.40555555555555556</c:v>
                </c:pt>
                <c:pt idx="16">
                  <c:v>0.40555555555555556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7-4131-9727-B2F7A1C98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'14'!$L$6:$L$22</c:f>
              <c:numCache>
                <c:formatCode>_(* #,##0_);_(* \(#,##0\);_(* "-"_);_(@_)</c:formatCode>
                <c:ptCount val="17"/>
                <c:pt idx="2">
                  <c:v>4676</c:v>
                </c:pt>
                <c:pt idx="3">
                  <c:v>5051</c:v>
                </c:pt>
                <c:pt idx="4">
                  <c:v>240</c:v>
                </c:pt>
                <c:pt idx="5">
                  <c:v>8894</c:v>
                </c:pt>
                <c:pt idx="6">
                  <c:v>1299</c:v>
                </c:pt>
                <c:pt idx="7">
                  <c:v>679</c:v>
                </c:pt>
                <c:pt idx="9">
                  <c:v>516</c:v>
                </c:pt>
                <c:pt idx="10">
                  <c:v>5532</c:v>
                </c:pt>
                <c:pt idx="11">
                  <c:v>694</c:v>
                </c:pt>
                <c:pt idx="13">
                  <c:v>1518</c:v>
                </c:pt>
                <c:pt idx="14">
                  <c:v>1945</c:v>
                </c:pt>
                <c:pt idx="15">
                  <c:v>4113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8-4DAA-9206-D2EEFF53545F}"/>
            </c:ext>
          </c:extLst>
        </c:ser>
        <c:ser>
          <c:idx val="1"/>
          <c:order val="1"/>
          <c:tx>
            <c:v>계획</c:v>
          </c:tx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4676</c:v>
                </c:pt>
                <c:pt idx="3">
                  <c:v>5051</c:v>
                </c:pt>
                <c:pt idx="4">
                  <c:v>240</c:v>
                </c:pt>
                <c:pt idx="5">
                  <c:v>8894</c:v>
                </c:pt>
                <c:pt idx="6">
                  <c:v>1299</c:v>
                </c:pt>
                <c:pt idx="7">
                  <c:v>679</c:v>
                </c:pt>
                <c:pt idx="8">
                  <c:v>4155</c:v>
                </c:pt>
                <c:pt idx="9">
                  <c:v>516</c:v>
                </c:pt>
                <c:pt idx="10">
                  <c:v>5532</c:v>
                </c:pt>
                <c:pt idx="11">
                  <c:v>694</c:v>
                </c:pt>
                <c:pt idx="12">
                  <c:v>11296</c:v>
                </c:pt>
                <c:pt idx="13">
                  <c:v>1518</c:v>
                </c:pt>
                <c:pt idx="14">
                  <c:v>1945</c:v>
                </c:pt>
                <c:pt idx="15">
                  <c:v>4113</c:v>
                </c:pt>
                <c:pt idx="16">
                  <c:v>37796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8-4DAA-9206-D2EEFF535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88%</c:v>
                </c:pt>
                <c:pt idx="3">
                  <c:v>100%</c:v>
                </c:pt>
                <c:pt idx="4">
                  <c:v>8%</c:v>
                </c:pt>
                <c:pt idx="5">
                  <c:v>79%</c:v>
                </c:pt>
                <c:pt idx="6">
                  <c:v>25%</c:v>
                </c:pt>
                <c:pt idx="7">
                  <c:v>17%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17%</c:v>
                </c:pt>
                <c:pt idx="12">
                  <c:v>0%</c:v>
                </c:pt>
                <c:pt idx="13">
                  <c:v>17%</c:v>
                </c:pt>
                <c:pt idx="14">
                  <c:v>46%</c:v>
                </c:pt>
                <c:pt idx="15">
                  <c:v>88%</c:v>
                </c:pt>
                <c:pt idx="16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0.875</c:v>
                </c:pt>
                <c:pt idx="3">
                  <c:v>1</c:v>
                </c:pt>
                <c:pt idx="4">
                  <c:v>8.3333333333333329E-2</c:v>
                </c:pt>
                <c:pt idx="5">
                  <c:v>0.79166666666666663</c:v>
                </c:pt>
                <c:pt idx="6">
                  <c:v>0.25</c:v>
                </c:pt>
                <c:pt idx="7">
                  <c:v>0.16666666666666666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0.16666666666666666</c:v>
                </c:pt>
                <c:pt idx="14">
                  <c:v>0.45833333333333331</c:v>
                </c:pt>
                <c:pt idx="15">
                  <c:v>0.875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6C-465C-BE3E-2DA3E51558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66C-465C-BE3E-2DA3E51558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'14'!$D$6:$D$22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SLIDER</c:v>
                </c:pt>
                <c:pt idx="4">
                  <c:v>M2</c:v>
                </c:pt>
                <c:pt idx="5">
                  <c:v>STOPPER</c:v>
                </c:pt>
                <c:pt idx="6">
                  <c:v>SLIDER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1">
                  <c:v>LEAD GUIDE</c:v>
                </c:pt>
                <c:pt idx="12">
                  <c:v>COVER</c:v>
                </c:pt>
                <c:pt idx="13">
                  <c:v>BASE</c:v>
                </c:pt>
                <c:pt idx="14">
                  <c:v>COVER</c:v>
                </c:pt>
                <c:pt idx="15">
                  <c:v>BASE</c:v>
                </c:pt>
              </c:strCache>
            </c:strRef>
          </c:cat>
          <c:val>
            <c:numRef>
              <c:f>'14'!$AE$6:$AE$22</c:f>
              <c:numCache>
                <c:formatCode>0%</c:formatCode>
                <c:ptCount val="17"/>
                <c:pt idx="0">
                  <c:v>0.40555555555555556</c:v>
                </c:pt>
                <c:pt idx="1">
                  <c:v>0.40555555555555556</c:v>
                </c:pt>
                <c:pt idx="2">
                  <c:v>0.40555555555555556</c:v>
                </c:pt>
                <c:pt idx="3">
                  <c:v>0.40555555555555556</c:v>
                </c:pt>
                <c:pt idx="4">
                  <c:v>0.40555555555555556</c:v>
                </c:pt>
                <c:pt idx="5">
                  <c:v>0.40555555555555556</c:v>
                </c:pt>
                <c:pt idx="6">
                  <c:v>0.40555555555555556</c:v>
                </c:pt>
                <c:pt idx="7">
                  <c:v>0.40555555555555556</c:v>
                </c:pt>
                <c:pt idx="8">
                  <c:v>0.40555555555555556</c:v>
                </c:pt>
                <c:pt idx="9">
                  <c:v>0.40555555555555556</c:v>
                </c:pt>
                <c:pt idx="10">
                  <c:v>0.40555555555555556</c:v>
                </c:pt>
                <c:pt idx="11">
                  <c:v>0.40555555555555556</c:v>
                </c:pt>
                <c:pt idx="12">
                  <c:v>0.40555555555555556</c:v>
                </c:pt>
                <c:pt idx="13">
                  <c:v>0.40555555555555556</c:v>
                </c:pt>
                <c:pt idx="14">
                  <c:v>0.40555555555555556</c:v>
                </c:pt>
                <c:pt idx="15">
                  <c:v>0.40555555555555556</c:v>
                </c:pt>
                <c:pt idx="16">
                  <c:v>0.40555555555555556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6C-465C-BE3E-2DA3E5155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D5D-4F6E-9A12-31672347C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5D-4F6E-9A12-31672347C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5D-4F6E-9A12-31672347C65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5D-4F6E-9A12-31672347C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6141</c:v>
                </c:pt>
                <c:pt idx="3">
                  <c:v>4216</c:v>
                </c:pt>
                <c:pt idx="4">
                  <c:v>4478</c:v>
                </c:pt>
                <c:pt idx="5">
                  <c:v>5228</c:v>
                </c:pt>
                <c:pt idx="6">
                  <c:v>1842</c:v>
                </c:pt>
                <c:pt idx="7">
                  <c:v>1108</c:v>
                </c:pt>
                <c:pt idx="9">
                  <c:v>6499</c:v>
                </c:pt>
                <c:pt idx="10">
                  <c:v>3460</c:v>
                </c:pt>
                <c:pt idx="12">
                  <c:v>1987</c:v>
                </c:pt>
                <c:pt idx="13">
                  <c:v>5075</c:v>
                </c:pt>
                <c:pt idx="14">
                  <c:v>72432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D-40DF-B028-A9D7C8E24F60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6141</c:v>
                </c:pt>
                <c:pt idx="3">
                  <c:v>4216</c:v>
                </c:pt>
                <c:pt idx="4">
                  <c:v>4478</c:v>
                </c:pt>
                <c:pt idx="5">
                  <c:v>5228</c:v>
                </c:pt>
                <c:pt idx="6">
                  <c:v>1842</c:v>
                </c:pt>
                <c:pt idx="7">
                  <c:v>1108</c:v>
                </c:pt>
                <c:pt idx="8">
                  <c:v>516</c:v>
                </c:pt>
                <c:pt idx="9">
                  <c:v>6499</c:v>
                </c:pt>
                <c:pt idx="10">
                  <c:v>3460</c:v>
                </c:pt>
                <c:pt idx="11">
                  <c:v>11296</c:v>
                </c:pt>
                <c:pt idx="12">
                  <c:v>1987</c:v>
                </c:pt>
                <c:pt idx="13">
                  <c:v>5075</c:v>
                </c:pt>
                <c:pt idx="14">
                  <c:v>72432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CD-40DF-B028-A9D7C8E24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8%</c:v>
                </c:pt>
                <c:pt idx="5">
                  <c:v>58%</c:v>
                </c:pt>
                <c:pt idx="6">
                  <c:v>46%</c:v>
                </c:pt>
                <c:pt idx="7">
                  <c:v>58%</c:v>
                </c:pt>
                <c:pt idx="8">
                  <c:v>0%</c:v>
                </c:pt>
                <c:pt idx="9">
                  <c:v>100%</c:v>
                </c:pt>
                <c:pt idx="10">
                  <c:v>83%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8.3333333333333329E-2</c:v>
                </c:pt>
                <c:pt idx="5">
                  <c:v>0.58333333333333337</c:v>
                </c:pt>
                <c:pt idx="6">
                  <c:v>0.45833333333333331</c:v>
                </c:pt>
                <c:pt idx="7">
                  <c:v>0.58333333333333337</c:v>
                </c:pt>
                <c:pt idx="8">
                  <c:v>0</c:v>
                </c:pt>
                <c:pt idx="9">
                  <c:v>1</c:v>
                </c:pt>
                <c:pt idx="10">
                  <c:v>0.83333333333333337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0C0-B304-55B417E9B85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B9-40C0-B304-55B417E9B8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0.53333333333333333</c:v>
                </c:pt>
                <c:pt idx="1">
                  <c:v>0.53333333333333333</c:v>
                </c:pt>
                <c:pt idx="2">
                  <c:v>0.53333333333333333</c:v>
                </c:pt>
                <c:pt idx="3">
                  <c:v>0.53333333333333333</c:v>
                </c:pt>
                <c:pt idx="4">
                  <c:v>0.53333333333333333</c:v>
                </c:pt>
                <c:pt idx="5">
                  <c:v>0.53333333333333333</c:v>
                </c:pt>
                <c:pt idx="6">
                  <c:v>0.53333333333333333</c:v>
                </c:pt>
                <c:pt idx="7">
                  <c:v>0.53333333333333333</c:v>
                </c:pt>
                <c:pt idx="8">
                  <c:v>0.53333333333333333</c:v>
                </c:pt>
                <c:pt idx="9">
                  <c:v>0.53333333333333333</c:v>
                </c:pt>
                <c:pt idx="10">
                  <c:v>0.53333333333333333</c:v>
                </c:pt>
                <c:pt idx="11">
                  <c:v>0.53333333333333333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B9-40C0-B304-55B417E9B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'15'!$L$6:$L$20</c:f>
              <c:numCache>
                <c:formatCode>_(* #,##0_);_(* \(#,##0\);_(* "-"_);_(@_)</c:formatCode>
                <c:ptCount val="15"/>
                <c:pt idx="2">
                  <c:v>6141</c:v>
                </c:pt>
                <c:pt idx="3">
                  <c:v>4216</c:v>
                </c:pt>
                <c:pt idx="4">
                  <c:v>4478</c:v>
                </c:pt>
                <c:pt idx="5">
                  <c:v>5228</c:v>
                </c:pt>
                <c:pt idx="6">
                  <c:v>1842</c:v>
                </c:pt>
                <c:pt idx="7">
                  <c:v>1108</c:v>
                </c:pt>
                <c:pt idx="9">
                  <c:v>6499</c:v>
                </c:pt>
                <c:pt idx="10">
                  <c:v>3460</c:v>
                </c:pt>
                <c:pt idx="12">
                  <c:v>1987</c:v>
                </c:pt>
                <c:pt idx="13">
                  <c:v>5075</c:v>
                </c:pt>
                <c:pt idx="14">
                  <c:v>72432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5C-428B-AD27-1B392DC9C9EC}"/>
            </c:ext>
          </c:extLst>
        </c:ser>
        <c:ser>
          <c:idx val="1"/>
          <c:order val="1"/>
          <c:tx>
            <c:v>계획</c:v>
          </c:tx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6141</c:v>
                </c:pt>
                <c:pt idx="3">
                  <c:v>4216</c:v>
                </c:pt>
                <c:pt idx="4">
                  <c:v>4478</c:v>
                </c:pt>
                <c:pt idx="5">
                  <c:v>5228</c:v>
                </c:pt>
                <c:pt idx="6">
                  <c:v>1842</c:v>
                </c:pt>
                <c:pt idx="7">
                  <c:v>1108</c:v>
                </c:pt>
                <c:pt idx="8">
                  <c:v>516</c:v>
                </c:pt>
                <c:pt idx="9">
                  <c:v>6499</c:v>
                </c:pt>
                <c:pt idx="10">
                  <c:v>3460</c:v>
                </c:pt>
                <c:pt idx="11">
                  <c:v>11296</c:v>
                </c:pt>
                <c:pt idx="12">
                  <c:v>1987</c:v>
                </c:pt>
                <c:pt idx="13">
                  <c:v>5075</c:v>
                </c:pt>
                <c:pt idx="14">
                  <c:v>72432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C-428B-AD27-1B392DC9C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88%</c:v>
                </c:pt>
                <c:pt idx="4">
                  <c:v>8%</c:v>
                </c:pt>
                <c:pt idx="5">
                  <c:v>58%</c:v>
                </c:pt>
                <c:pt idx="6">
                  <c:v>46%</c:v>
                </c:pt>
                <c:pt idx="7">
                  <c:v>58%</c:v>
                </c:pt>
                <c:pt idx="8">
                  <c:v>0%</c:v>
                </c:pt>
                <c:pt idx="9">
                  <c:v>100%</c:v>
                </c:pt>
                <c:pt idx="10">
                  <c:v>83%</c:v>
                </c:pt>
                <c:pt idx="11">
                  <c:v>0%</c:v>
                </c:pt>
                <c:pt idx="12">
                  <c:v>58%</c:v>
                </c:pt>
                <c:pt idx="13">
                  <c:v>100%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0.875</c:v>
                </c:pt>
                <c:pt idx="4">
                  <c:v>8.3333333333333329E-2</c:v>
                </c:pt>
                <c:pt idx="5">
                  <c:v>0.58333333333333337</c:v>
                </c:pt>
                <c:pt idx="6">
                  <c:v>0.45833333333333331</c:v>
                </c:pt>
                <c:pt idx="7">
                  <c:v>0.58333333333333337</c:v>
                </c:pt>
                <c:pt idx="8">
                  <c:v>0</c:v>
                </c:pt>
                <c:pt idx="9">
                  <c:v>1</c:v>
                </c:pt>
                <c:pt idx="10">
                  <c:v>0.83333333333333337</c:v>
                </c:pt>
                <c:pt idx="11">
                  <c:v>0</c:v>
                </c:pt>
                <c:pt idx="12">
                  <c:v>0.58333333333333337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C-4D79-92BC-7C4C0B3113C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DC-4D79-92BC-7C4C0B3113C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'15'!$D$6:$D$20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M2</c:v>
                </c:pt>
                <c:pt idx="5">
                  <c:v>LATCH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COVER</c:v>
                </c:pt>
                <c:pt idx="12">
                  <c:v>COVER</c:v>
                </c:pt>
                <c:pt idx="13">
                  <c:v>BASE</c:v>
                </c:pt>
              </c:strCache>
            </c:strRef>
          </c:cat>
          <c:val>
            <c:numRef>
              <c:f>'15'!$AE$6:$AE$20</c:f>
              <c:numCache>
                <c:formatCode>0%</c:formatCode>
                <c:ptCount val="15"/>
                <c:pt idx="0">
                  <c:v>0.53333333333333333</c:v>
                </c:pt>
                <c:pt idx="1">
                  <c:v>0.53333333333333333</c:v>
                </c:pt>
                <c:pt idx="2">
                  <c:v>0.53333333333333333</c:v>
                </c:pt>
                <c:pt idx="3">
                  <c:v>0.53333333333333333</c:v>
                </c:pt>
                <c:pt idx="4">
                  <c:v>0.53333333333333333</c:v>
                </c:pt>
                <c:pt idx="5">
                  <c:v>0.53333333333333333</c:v>
                </c:pt>
                <c:pt idx="6">
                  <c:v>0.53333333333333333</c:v>
                </c:pt>
                <c:pt idx="7">
                  <c:v>0.53333333333333333</c:v>
                </c:pt>
                <c:pt idx="8">
                  <c:v>0.53333333333333333</c:v>
                </c:pt>
                <c:pt idx="9">
                  <c:v>0.53333333333333333</c:v>
                </c:pt>
                <c:pt idx="10">
                  <c:v>0.53333333333333333</c:v>
                </c:pt>
                <c:pt idx="11">
                  <c:v>0.53333333333333333</c:v>
                </c:pt>
                <c:pt idx="12">
                  <c:v>0.53333333333333333</c:v>
                </c:pt>
                <c:pt idx="13">
                  <c:v>0.53333333333333333</c:v>
                </c:pt>
                <c:pt idx="14">
                  <c:v>0.53333333333333333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C-4D79-92BC-7C4C0B311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99E-4923-BB00-51A1446AAB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E-4923-BB00-51A1446AA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99E-4923-BB00-51A1446AAB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9E-4923-BB00-51A1446AA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2">
                  <c:v>6037</c:v>
                </c:pt>
                <c:pt idx="3">
                  <c:v>2160</c:v>
                </c:pt>
                <c:pt idx="4">
                  <c:v>575</c:v>
                </c:pt>
                <c:pt idx="6">
                  <c:v>6924</c:v>
                </c:pt>
                <c:pt idx="8">
                  <c:v>700</c:v>
                </c:pt>
                <c:pt idx="9">
                  <c:v>3768</c:v>
                </c:pt>
                <c:pt idx="11">
                  <c:v>6687</c:v>
                </c:pt>
                <c:pt idx="12">
                  <c:v>5512</c:v>
                </c:pt>
                <c:pt idx="14">
                  <c:v>5017</c:v>
                </c:pt>
                <c:pt idx="15">
                  <c:v>4534</c:v>
                </c:pt>
                <c:pt idx="16">
                  <c:v>78628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1-4D1B-9162-ABB3290AB91B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6037</c:v>
                </c:pt>
                <c:pt idx="3">
                  <c:v>2160</c:v>
                </c:pt>
                <c:pt idx="4">
                  <c:v>4216</c:v>
                </c:pt>
                <c:pt idx="5">
                  <c:v>4478</c:v>
                </c:pt>
                <c:pt idx="6">
                  <c:v>6924</c:v>
                </c:pt>
                <c:pt idx="7">
                  <c:v>5228</c:v>
                </c:pt>
                <c:pt idx="8">
                  <c:v>700</c:v>
                </c:pt>
                <c:pt idx="9">
                  <c:v>3768</c:v>
                </c:pt>
                <c:pt idx="10">
                  <c:v>516</c:v>
                </c:pt>
                <c:pt idx="11">
                  <c:v>6687</c:v>
                </c:pt>
                <c:pt idx="12">
                  <c:v>5512</c:v>
                </c:pt>
                <c:pt idx="13">
                  <c:v>11296</c:v>
                </c:pt>
                <c:pt idx="14">
                  <c:v>5017</c:v>
                </c:pt>
                <c:pt idx="15">
                  <c:v>4534</c:v>
                </c:pt>
                <c:pt idx="16">
                  <c:v>78628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1-4D1B-9162-ABB3290AB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2%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17%</c:v>
                </c:pt>
                <c:pt idx="9">
                  <c:v>42%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92%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2.273086654016445E-2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0.16666666666666666</c:v>
                </c:pt>
                <c:pt idx="9">
                  <c:v>0.41666666666666669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0.91666666666666663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E-4540-BEDC-703F7AF84B8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E3E-4540-BEDC-703F7AF84B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0.49040427999156655</c:v>
                </c:pt>
                <c:pt idx="1">
                  <c:v>0.49040427999156655</c:v>
                </c:pt>
                <c:pt idx="2">
                  <c:v>0.49040427999156655</c:v>
                </c:pt>
                <c:pt idx="3">
                  <c:v>0.49040427999156655</c:v>
                </c:pt>
                <c:pt idx="4">
                  <c:v>0.49040427999156655</c:v>
                </c:pt>
                <c:pt idx="5">
                  <c:v>0.49040427999156655</c:v>
                </c:pt>
                <c:pt idx="6">
                  <c:v>0.49040427999156655</c:v>
                </c:pt>
                <c:pt idx="7">
                  <c:v>0.49040427999156655</c:v>
                </c:pt>
                <c:pt idx="8">
                  <c:v>0.49040427999156655</c:v>
                </c:pt>
                <c:pt idx="9">
                  <c:v>0.49040427999156655</c:v>
                </c:pt>
                <c:pt idx="10">
                  <c:v>0.49040427999156655</c:v>
                </c:pt>
                <c:pt idx="11">
                  <c:v>0.49040427999156655</c:v>
                </c:pt>
                <c:pt idx="12">
                  <c:v>0.49040427999156655</c:v>
                </c:pt>
                <c:pt idx="13">
                  <c:v>0.49040427999156655</c:v>
                </c:pt>
                <c:pt idx="14">
                  <c:v>0.49040427999156655</c:v>
                </c:pt>
                <c:pt idx="15">
                  <c:v>0.49040427999156655</c:v>
                </c:pt>
                <c:pt idx="16">
                  <c:v>0.49040427999156655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3E-4540-BEDC-703F7AF84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'16'!$L$6:$L$22</c:f>
              <c:numCache>
                <c:formatCode>_(* #,##0_);_(* \(#,##0\);_(* "-"_);_(@_)</c:formatCode>
                <c:ptCount val="17"/>
                <c:pt idx="2">
                  <c:v>6037</c:v>
                </c:pt>
                <c:pt idx="3">
                  <c:v>2160</c:v>
                </c:pt>
                <c:pt idx="4">
                  <c:v>575</c:v>
                </c:pt>
                <c:pt idx="6">
                  <c:v>6924</c:v>
                </c:pt>
                <c:pt idx="8">
                  <c:v>700</c:v>
                </c:pt>
                <c:pt idx="9">
                  <c:v>3768</c:v>
                </c:pt>
                <c:pt idx="11">
                  <c:v>6687</c:v>
                </c:pt>
                <c:pt idx="12">
                  <c:v>5512</c:v>
                </c:pt>
                <c:pt idx="14">
                  <c:v>5017</c:v>
                </c:pt>
                <c:pt idx="15">
                  <c:v>4534</c:v>
                </c:pt>
                <c:pt idx="16">
                  <c:v>78628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85-4DE0-9C0B-3E0C71F62398}"/>
            </c:ext>
          </c:extLst>
        </c:ser>
        <c:ser>
          <c:idx val="1"/>
          <c:order val="1"/>
          <c:tx>
            <c:v>계획</c:v>
          </c:tx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6037</c:v>
                </c:pt>
                <c:pt idx="3">
                  <c:v>2160</c:v>
                </c:pt>
                <c:pt idx="4">
                  <c:v>4216</c:v>
                </c:pt>
                <c:pt idx="5">
                  <c:v>4478</c:v>
                </c:pt>
                <c:pt idx="6">
                  <c:v>6924</c:v>
                </c:pt>
                <c:pt idx="7">
                  <c:v>5228</c:v>
                </c:pt>
                <c:pt idx="8">
                  <c:v>700</c:v>
                </c:pt>
                <c:pt idx="9">
                  <c:v>3768</c:v>
                </c:pt>
                <c:pt idx="10">
                  <c:v>516</c:v>
                </c:pt>
                <c:pt idx="11">
                  <c:v>6687</c:v>
                </c:pt>
                <c:pt idx="12">
                  <c:v>5512</c:v>
                </c:pt>
                <c:pt idx="13">
                  <c:v>11296</c:v>
                </c:pt>
                <c:pt idx="14">
                  <c:v>5017</c:v>
                </c:pt>
                <c:pt idx="15">
                  <c:v>4534</c:v>
                </c:pt>
                <c:pt idx="16">
                  <c:v>78628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85-4DE0-9C0B-3E0C71F62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2%</c:v>
                </c:pt>
                <c:pt idx="5">
                  <c:v>0%</c:v>
                </c:pt>
                <c:pt idx="6">
                  <c:v>42%</c:v>
                </c:pt>
                <c:pt idx="7">
                  <c:v>0%</c:v>
                </c:pt>
                <c:pt idx="8">
                  <c:v>17%</c:v>
                </c:pt>
                <c:pt idx="9">
                  <c:v>42%</c:v>
                </c:pt>
                <c:pt idx="10">
                  <c:v>0%</c:v>
                </c:pt>
                <c:pt idx="11">
                  <c:v>100%</c:v>
                </c:pt>
                <c:pt idx="12">
                  <c:v>100%</c:v>
                </c:pt>
                <c:pt idx="13">
                  <c:v>0%</c:v>
                </c:pt>
                <c:pt idx="14">
                  <c:v>100%</c:v>
                </c:pt>
                <c:pt idx="15">
                  <c:v>92%</c:v>
                </c:pt>
                <c:pt idx="16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2.273086654016445E-2</c:v>
                </c:pt>
                <c:pt idx="5">
                  <c:v>0</c:v>
                </c:pt>
                <c:pt idx="6">
                  <c:v>0.41666666666666669</c:v>
                </c:pt>
                <c:pt idx="7">
                  <c:v>0</c:v>
                </c:pt>
                <c:pt idx="8">
                  <c:v>0.16666666666666666</c:v>
                </c:pt>
                <c:pt idx="9">
                  <c:v>0.41666666666666669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0.91666666666666663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16-47C7-AA40-7EB4CB31415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16-47C7-AA40-7EB4CB31415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'16'!$D$6:$D$22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BASE</c:v>
                </c:pt>
                <c:pt idx="4">
                  <c:v>STOPPER</c:v>
                </c:pt>
                <c:pt idx="5">
                  <c:v>LATCH</c:v>
                </c:pt>
                <c:pt idx="6">
                  <c:v>GUIDE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3">
                  <c:v>COVER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'16'!$AE$6:$AE$22</c:f>
              <c:numCache>
                <c:formatCode>0%</c:formatCode>
                <c:ptCount val="17"/>
                <c:pt idx="0">
                  <c:v>0.49040427999156655</c:v>
                </c:pt>
                <c:pt idx="1">
                  <c:v>0.49040427999156655</c:v>
                </c:pt>
                <c:pt idx="2">
                  <c:v>0.49040427999156655</c:v>
                </c:pt>
                <c:pt idx="3">
                  <c:v>0.49040427999156655</c:v>
                </c:pt>
                <c:pt idx="4">
                  <c:v>0.49040427999156655</c:v>
                </c:pt>
                <c:pt idx="5">
                  <c:v>0.49040427999156655</c:v>
                </c:pt>
                <c:pt idx="6">
                  <c:v>0.49040427999156655</c:v>
                </c:pt>
                <c:pt idx="7">
                  <c:v>0.49040427999156655</c:v>
                </c:pt>
                <c:pt idx="8">
                  <c:v>0.49040427999156655</c:v>
                </c:pt>
                <c:pt idx="9">
                  <c:v>0.49040427999156655</c:v>
                </c:pt>
                <c:pt idx="10">
                  <c:v>0.49040427999156655</c:v>
                </c:pt>
                <c:pt idx="11">
                  <c:v>0.49040427999156655</c:v>
                </c:pt>
                <c:pt idx="12">
                  <c:v>0.49040427999156655</c:v>
                </c:pt>
                <c:pt idx="13">
                  <c:v>0.49040427999156655</c:v>
                </c:pt>
                <c:pt idx="14">
                  <c:v>0.49040427999156655</c:v>
                </c:pt>
                <c:pt idx="15">
                  <c:v>0.49040427999156655</c:v>
                </c:pt>
                <c:pt idx="16">
                  <c:v>0.49040427999156655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16-47C7-AA40-7EB4CB314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DC7-4081-AB6F-1E2E301AA3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C7-4081-AB6F-1E2E301A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DC7-4081-AB6F-1E2E301AA38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C7-4081-AB6F-1E2E301AA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2">
                  <c:v>6035</c:v>
                </c:pt>
                <c:pt idx="3">
                  <c:v>1451</c:v>
                </c:pt>
                <c:pt idx="4">
                  <c:v>9320</c:v>
                </c:pt>
                <c:pt idx="5">
                  <c:v>4769</c:v>
                </c:pt>
                <c:pt idx="6">
                  <c:v>2356</c:v>
                </c:pt>
                <c:pt idx="9">
                  <c:v>608</c:v>
                </c:pt>
                <c:pt idx="10">
                  <c:v>731</c:v>
                </c:pt>
                <c:pt idx="11">
                  <c:v>2311</c:v>
                </c:pt>
                <c:pt idx="13">
                  <c:v>5365</c:v>
                </c:pt>
                <c:pt idx="14">
                  <c:v>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CF-40D1-AE68-638A7C7D1853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6035</c:v>
                </c:pt>
                <c:pt idx="3">
                  <c:v>1451</c:v>
                </c:pt>
                <c:pt idx="4">
                  <c:v>9320</c:v>
                </c:pt>
                <c:pt idx="5">
                  <c:v>4769</c:v>
                </c:pt>
                <c:pt idx="6">
                  <c:v>2356</c:v>
                </c:pt>
                <c:pt idx="7">
                  <c:v>3768</c:v>
                </c:pt>
                <c:pt idx="8">
                  <c:v>516</c:v>
                </c:pt>
                <c:pt idx="9">
                  <c:v>608</c:v>
                </c:pt>
                <c:pt idx="10">
                  <c:v>731</c:v>
                </c:pt>
                <c:pt idx="11">
                  <c:v>2311</c:v>
                </c:pt>
                <c:pt idx="12">
                  <c:v>11296</c:v>
                </c:pt>
                <c:pt idx="13">
                  <c:v>5365</c:v>
                </c:pt>
                <c:pt idx="14">
                  <c:v>4265</c:v>
                </c:pt>
                <c:pt idx="15">
                  <c:v>78628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CF-40D1-AE68-638A7C7D1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79%</c:v>
                </c:pt>
                <c:pt idx="5">
                  <c:v>79%</c:v>
                </c:pt>
                <c:pt idx="6">
                  <c:v>58%</c:v>
                </c:pt>
                <c:pt idx="7">
                  <c:v>0%</c:v>
                </c:pt>
                <c:pt idx="8">
                  <c:v>0%</c:v>
                </c:pt>
                <c:pt idx="9">
                  <c:v>17%</c:v>
                </c:pt>
                <c:pt idx="10">
                  <c:v>17%</c:v>
                </c:pt>
                <c:pt idx="11">
                  <c:v>58%</c:v>
                </c:pt>
                <c:pt idx="12">
                  <c:v>0%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0.79166666666666663</c:v>
                </c:pt>
                <c:pt idx="5">
                  <c:v>0.79166666666666663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0.58333333333333337</c:v>
                </c:pt>
                <c:pt idx="12">
                  <c:v>0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41-45C0-AECB-A659882C776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41-45C0-AECB-A659882C776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0.42222222222222222</c:v>
                </c:pt>
                <c:pt idx="1">
                  <c:v>0.42222222222222222</c:v>
                </c:pt>
                <c:pt idx="2">
                  <c:v>0.42222222222222222</c:v>
                </c:pt>
                <c:pt idx="3">
                  <c:v>0.42222222222222222</c:v>
                </c:pt>
                <c:pt idx="4">
                  <c:v>0.42222222222222222</c:v>
                </c:pt>
                <c:pt idx="5">
                  <c:v>0.42222222222222222</c:v>
                </c:pt>
                <c:pt idx="6">
                  <c:v>0.42222222222222222</c:v>
                </c:pt>
                <c:pt idx="7">
                  <c:v>0.42222222222222222</c:v>
                </c:pt>
                <c:pt idx="8">
                  <c:v>0.42222222222222222</c:v>
                </c:pt>
                <c:pt idx="9">
                  <c:v>0.42222222222222222</c:v>
                </c:pt>
                <c:pt idx="10">
                  <c:v>0.42222222222222222</c:v>
                </c:pt>
                <c:pt idx="11">
                  <c:v>0.42222222222222222</c:v>
                </c:pt>
                <c:pt idx="12">
                  <c:v>0.42222222222222222</c:v>
                </c:pt>
                <c:pt idx="13">
                  <c:v>0.42222222222222222</c:v>
                </c:pt>
                <c:pt idx="14">
                  <c:v>0.42222222222222222</c:v>
                </c:pt>
                <c:pt idx="15">
                  <c:v>0.42222222222222222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41-45C0-AECB-A659882C7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2">
                  <c:v>6035</c:v>
                </c:pt>
                <c:pt idx="3">
                  <c:v>1451</c:v>
                </c:pt>
                <c:pt idx="4">
                  <c:v>9320</c:v>
                </c:pt>
                <c:pt idx="5">
                  <c:v>4769</c:v>
                </c:pt>
                <c:pt idx="6">
                  <c:v>2356</c:v>
                </c:pt>
                <c:pt idx="9">
                  <c:v>608</c:v>
                </c:pt>
                <c:pt idx="10">
                  <c:v>731</c:v>
                </c:pt>
                <c:pt idx="11">
                  <c:v>2311</c:v>
                </c:pt>
                <c:pt idx="13">
                  <c:v>5365</c:v>
                </c:pt>
                <c:pt idx="14">
                  <c:v>4265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2A-4C3E-B4B5-4901F4EA28D3}"/>
            </c:ext>
          </c:extLst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6035</c:v>
                </c:pt>
                <c:pt idx="3">
                  <c:v>1451</c:v>
                </c:pt>
                <c:pt idx="4">
                  <c:v>9320</c:v>
                </c:pt>
                <c:pt idx="5">
                  <c:v>4769</c:v>
                </c:pt>
                <c:pt idx="6">
                  <c:v>2356</c:v>
                </c:pt>
                <c:pt idx="7">
                  <c:v>3768</c:v>
                </c:pt>
                <c:pt idx="8">
                  <c:v>516</c:v>
                </c:pt>
                <c:pt idx="9">
                  <c:v>608</c:v>
                </c:pt>
                <c:pt idx="10">
                  <c:v>731</c:v>
                </c:pt>
                <c:pt idx="11">
                  <c:v>2311</c:v>
                </c:pt>
                <c:pt idx="12">
                  <c:v>11296</c:v>
                </c:pt>
                <c:pt idx="13">
                  <c:v>5365</c:v>
                </c:pt>
                <c:pt idx="14">
                  <c:v>4265</c:v>
                </c:pt>
                <c:pt idx="15">
                  <c:v>78628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2A-4C3E-B4B5-4901F4EA2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79%</c:v>
                </c:pt>
                <c:pt idx="5">
                  <c:v>79%</c:v>
                </c:pt>
                <c:pt idx="6">
                  <c:v>58%</c:v>
                </c:pt>
                <c:pt idx="7">
                  <c:v>0%</c:v>
                </c:pt>
                <c:pt idx="8">
                  <c:v>0%</c:v>
                </c:pt>
                <c:pt idx="9">
                  <c:v>17%</c:v>
                </c:pt>
                <c:pt idx="10">
                  <c:v>17%</c:v>
                </c:pt>
                <c:pt idx="11">
                  <c:v>58%</c:v>
                </c:pt>
                <c:pt idx="12">
                  <c:v>0%</c:v>
                </c:pt>
                <c:pt idx="13">
                  <c:v>100%</c:v>
                </c:pt>
                <c:pt idx="14">
                  <c:v>92%</c:v>
                </c:pt>
                <c:pt idx="15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0.79166666666666663</c:v>
                </c:pt>
                <c:pt idx="5">
                  <c:v>0.79166666666666663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0.58333333333333337</c:v>
                </c:pt>
                <c:pt idx="12">
                  <c:v>0</c:v>
                </c:pt>
                <c:pt idx="13">
                  <c:v>1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3D-4C8B-823D-B5317BB1499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3D-4C8B-823D-B5317BB1499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'17'!$D$6:$D$21</c:f>
              <c:strCache>
                <c:ptCount val="15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1">
                  <c:v>BASE</c:v>
                </c:pt>
                <c:pt idx="12">
                  <c:v>COVER</c:v>
                </c:pt>
                <c:pt idx="13">
                  <c:v>ACTUATOR</c:v>
                </c:pt>
                <c:pt idx="14">
                  <c:v>BASE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0.42222222222222222</c:v>
                </c:pt>
                <c:pt idx="1">
                  <c:v>0.42222222222222222</c:v>
                </c:pt>
                <c:pt idx="2">
                  <c:v>0.42222222222222222</c:v>
                </c:pt>
                <c:pt idx="3">
                  <c:v>0.42222222222222222</c:v>
                </c:pt>
                <c:pt idx="4">
                  <c:v>0.42222222222222222</c:v>
                </c:pt>
                <c:pt idx="5">
                  <c:v>0.42222222222222222</c:v>
                </c:pt>
                <c:pt idx="6">
                  <c:v>0.42222222222222222</c:v>
                </c:pt>
                <c:pt idx="7">
                  <c:v>0.42222222222222222</c:v>
                </c:pt>
                <c:pt idx="8">
                  <c:v>0.42222222222222222</c:v>
                </c:pt>
                <c:pt idx="9">
                  <c:v>0.42222222222222222</c:v>
                </c:pt>
                <c:pt idx="10">
                  <c:v>0.42222222222222222</c:v>
                </c:pt>
                <c:pt idx="11">
                  <c:v>0.42222222222222222</c:v>
                </c:pt>
                <c:pt idx="12">
                  <c:v>0.42222222222222222</c:v>
                </c:pt>
                <c:pt idx="13">
                  <c:v>0.42222222222222222</c:v>
                </c:pt>
                <c:pt idx="14">
                  <c:v>0.42222222222222222</c:v>
                </c:pt>
                <c:pt idx="15">
                  <c:v>0.42222222222222222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3D-4C8B-823D-B5317BB14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F29-4F28-A863-3589BA93DA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29-4F28-A863-3589BA93D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29-4F28-A863-3589BA93DAF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29-4F28-A863-3589BA93D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6050</c:v>
                </c:pt>
                <c:pt idx="3">
                  <c:v>1396</c:v>
                </c:pt>
                <c:pt idx="4">
                  <c:v>13288</c:v>
                </c:pt>
                <c:pt idx="5">
                  <c:v>871</c:v>
                </c:pt>
                <c:pt idx="6">
                  <c:v>2282</c:v>
                </c:pt>
                <c:pt idx="7">
                  <c:v>153</c:v>
                </c:pt>
                <c:pt idx="9">
                  <c:v>4996</c:v>
                </c:pt>
                <c:pt idx="10">
                  <c:v>3474</c:v>
                </c:pt>
                <c:pt idx="11">
                  <c:v>550</c:v>
                </c:pt>
                <c:pt idx="12">
                  <c:v>5021</c:v>
                </c:pt>
                <c:pt idx="13">
                  <c:v>1292</c:v>
                </c:pt>
                <c:pt idx="14">
                  <c:v>29900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C-4FE2-B38A-3F5BBCB20E88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6050</c:v>
                </c:pt>
                <c:pt idx="3">
                  <c:v>1396</c:v>
                </c:pt>
                <c:pt idx="4">
                  <c:v>13288</c:v>
                </c:pt>
                <c:pt idx="5">
                  <c:v>871</c:v>
                </c:pt>
                <c:pt idx="6">
                  <c:v>2282</c:v>
                </c:pt>
                <c:pt idx="7">
                  <c:v>153</c:v>
                </c:pt>
                <c:pt idx="8">
                  <c:v>516</c:v>
                </c:pt>
                <c:pt idx="9">
                  <c:v>4996</c:v>
                </c:pt>
                <c:pt idx="10">
                  <c:v>3474</c:v>
                </c:pt>
                <c:pt idx="11">
                  <c:v>550</c:v>
                </c:pt>
                <c:pt idx="12">
                  <c:v>5021</c:v>
                </c:pt>
                <c:pt idx="13">
                  <c:v>1292</c:v>
                </c:pt>
                <c:pt idx="14">
                  <c:v>29900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CC-4FE2-B38A-3F5BBCB20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100%</c:v>
                </c:pt>
                <c:pt idx="5">
                  <c:v>25%</c:v>
                </c:pt>
                <c:pt idx="6">
                  <c:v>50%</c:v>
                </c:pt>
                <c:pt idx="7">
                  <c:v>8%</c:v>
                </c:pt>
                <c:pt idx="8">
                  <c:v>0%</c:v>
                </c:pt>
                <c:pt idx="9">
                  <c:v>100%</c:v>
                </c:pt>
                <c:pt idx="10">
                  <c:v>83%</c:v>
                </c:pt>
                <c:pt idx="11">
                  <c:v>17%</c:v>
                </c:pt>
                <c:pt idx="12">
                  <c:v>100%</c:v>
                </c:pt>
                <c:pt idx="13">
                  <c:v>50%</c:v>
                </c:pt>
                <c:pt idx="14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8.3333333333333329E-2</c:v>
                </c:pt>
                <c:pt idx="8">
                  <c:v>0</c:v>
                </c:pt>
                <c:pt idx="9">
                  <c:v>1</c:v>
                </c:pt>
                <c:pt idx="10">
                  <c:v>0.83333333333333337</c:v>
                </c:pt>
                <c:pt idx="11">
                  <c:v>0.16666666666666666</c:v>
                </c:pt>
                <c:pt idx="12">
                  <c:v>1</c:v>
                </c:pt>
                <c:pt idx="13">
                  <c:v>0.5</c:v>
                </c:pt>
                <c:pt idx="14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D4-41CA-AE4C-8397BD5AE70D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0D4-41CA-AE4C-8397BD5AE70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0.47222222222222221</c:v>
                </c:pt>
                <c:pt idx="1">
                  <c:v>0.47222222222222221</c:v>
                </c:pt>
                <c:pt idx="2">
                  <c:v>0.47222222222222221</c:v>
                </c:pt>
                <c:pt idx="3">
                  <c:v>0.47222222222222221</c:v>
                </c:pt>
                <c:pt idx="4">
                  <c:v>0.47222222222222221</c:v>
                </c:pt>
                <c:pt idx="5">
                  <c:v>0.47222222222222221</c:v>
                </c:pt>
                <c:pt idx="6">
                  <c:v>0.47222222222222221</c:v>
                </c:pt>
                <c:pt idx="7">
                  <c:v>0.47222222222222221</c:v>
                </c:pt>
                <c:pt idx="8">
                  <c:v>0.47222222222222221</c:v>
                </c:pt>
                <c:pt idx="9">
                  <c:v>0.47222222222222221</c:v>
                </c:pt>
                <c:pt idx="10">
                  <c:v>0.47222222222222221</c:v>
                </c:pt>
                <c:pt idx="11">
                  <c:v>0.47222222222222221</c:v>
                </c:pt>
                <c:pt idx="12">
                  <c:v>0.47222222222222221</c:v>
                </c:pt>
                <c:pt idx="13">
                  <c:v>0.47222222222222221</c:v>
                </c:pt>
                <c:pt idx="14">
                  <c:v>0.47222222222222221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D4-41CA-AE4C-8397BD5AE7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'18'!$L$6:$L$20</c:f>
              <c:numCache>
                <c:formatCode>_(* #,##0_);_(* \(#,##0\);_(* "-"_);_(@_)</c:formatCode>
                <c:ptCount val="15"/>
                <c:pt idx="2">
                  <c:v>6050</c:v>
                </c:pt>
                <c:pt idx="3">
                  <c:v>1396</c:v>
                </c:pt>
                <c:pt idx="4">
                  <c:v>13288</c:v>
                </c:pt>
                <c:pt idx="5">
                  <c:v>871</c:v>
                </c:pt>
                <c:pt idx="6">
                  <c:v>2282</c:v>
                </c:pt>
                <c:pt idx="7">
                  <c:v>153</c:v>
                </c:pt>
                <c:pt idx="9">
                  <c:v>4996</c:v>
                </c:pt>
                <c:pt idx="10">
                  <c:v>3474</c:v>
                </c:pt>
                <c:pt idx="11">
                  <c:v>550</c:v>
                </c:pt>
                <c:pt idx="12">
                  <c:v>5021</c:v>
                </c:pt>
                <c:pt idx="13">
                  <c:v>1292</c:v>
                </c:pt>
                <c:pt idx="14">
                  <c:v>29900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6F-49DA-8775-224591B7C6BA}"/>
            </c:ext>
          </c:extLst>
        </c:ser>
        <c:ser>
          <c:idx val="1"/>
          <c:order val="1"/>
          <c:tx>
            <c:v>계획</c:v>
          </c:tx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6050</c:v>
                </c:pt>
                <c:pt idx="3">
                  <c:v>1396</c:v>
                </c:pt>
                <c:pt idx="4">
                  <c:v>13288</c:v>
                </c:pt>
                <c:pt idx="5">
                  <c:v>871</c:v>
                </c:pt>
                <c:pt idx="6">
                  <c:v>2282</c:v>
                </c:pt>
                <c:pt idx="7">
                  <c:v>153</c:v>
                </c:pt>
                <c:pt idx="8">
                  <c:v>516</c:v>
                </c:pt>
                <c:pt idx="9">
                  <c:v>4996</c:v>
                </c:pt>
                <c:pt idx="10">
                  <c:v>3474</c:v>
                </c:pt>
                <c:pt idx="11">
                  <c:v>550</c:v>
                </c:pt>
                <c:pt idx="12">
                  <c:v>5021</c:v>
                </c:pt>
                <c:pt idx="13">
                  <c:v>1292</c:v>
                </c:pt>
                <c:pt idx="14">
                  <c:v>29900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6F-49DA-8775-224591B7C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'18'!$AD$6:$AD$20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33%</c:v>
                </c:pt>
                <c:pt idx="4">
                  <c:v>100%</c:v>
                </c:pt>
                <c:pt idx="5">
                  <c:v>25%</c:v>
                </c:pt>
                <c:pt idx="6">
                  <c:v>50%</c:v>
                </c:pt>
                <c:pt idx="7">
                  <c:v>8%</c:v>
                </c:pt>
                <c:pt idx="8">
                  <c:v>0%</c:v>
                </c:pt>
                <c:pt idx="9">
                  <c:v>100%</c:v>
                </c:pt>
                <c:pt idx="10">
                  <c:v>83%</c:v>
                </c:pt>
                <c:pt idx="11">
                  <c:v>17%</c:v>
                </c:pt>
                <c:pt idx="12">
                  <c:v>100%</c:v>
                </c:pt>
                <c:pt idx="13">
                  <c:v>50%</c:v>
                </c:pt>
                <c:pt idx="14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0.33333333333333331</c:v>
                </c:pt>
                <c:pt idx="4">
                  <c:v>1</c:v>
                </c:pt>
                <c:pt idx="5">
                  <c:v>0.25</c:v>
                </c:pt>
                <c:pt idx="6">
                  <c:v>0.5</c:v>
                </c:pt>
                <c:pt idx="7">
                  <c:v>8.3333333333333329E-2</c:v>
                </c:pt>
                <c:pt idx="8">
                  <c:v>0</c:v>
                </c:pt>
                <c:pt idx="9">
                  <c:v>1</c:v>
                </c:pt>
                <c:pt idx="10">
                  <c:v>0.83333333333333337</c:v>
                </c:pt>
                <c:pt idx="11">
                  <c:v>0.16666666666666666</c:v>
                </c:pt>
                <c:pt idx="12">
                  <c:v>1</c:v>
                </c:pt>
                <c:pt idx="13">
                  <c:v>0.5</c:v>
                </c:pt>
                <c:pt idx="14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6C-4FAC-BEAE-721C9CEFC83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B6C-4FAC-BEAE-721C9CEFC83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'18'!$D$6:$D$20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BASE</c:v>
                </c:pt>
              </c:strCache>
            </c:strRef>
          </c:cat>
          <c:val>
            <c:numRef>
              <c:f>'18'!$AE$6:$AE$20</c:f>
              <c:numCache>
                <c:formatCode>0%</c:formatCode>
                <c:ptCount val="15"/>
                <c:pt idx="0">
                  <c:v>0.47222222222222221</c:v>
                </c:pt>
                <c:pt idx="1">
                  <c:v>0.47222222222222221</c:v>
                </c:pt>
                <c:pt idx="2">
                  <c:v>0.47222222222222221</c:v>
                </c:pt>
                <c:pt idx="3">
                  <c:v>0.47222222222222221</c:v>
                </c:pt>
                <c:pt idx="4">
                  <c:v>0.47222222222222221</c:v>
                </c:pt>
                <c:pt idx="5">
                  <c:v>0.47222222222222221</c:v>
                </c:pt>
                <c:pt idx="6">
                  <c:v>0.47222222222222221</c:v>
                </c:pt>
                <c:pt idx="7">
                  <c:v>0.47222222222222221</c:v>
                </c:pt>
                <c:pt idx="8">
                  <c:v>0.47222222222222221</c:v>
                </c:pt>
                <c:pt idx="9">
                  <c:v>0.47222222222222221</c:v>
                </c:pt>
                <c:pt idx="10">
                  <c:v>0.47222222222222221</c:v>
                </c:pt>
                <c:pt idx="11">
                  <c:v>0.47222222222222221</c:v>
                </c:pt>
                <c:pt idx="12">
                  <c:v>0.47222222222222221</c:v>
                </c:pt>
                <c:pt idx="13">
                  <c:v>0.47222222222222221</c:v>
                </c:pt>
                <c:pt idx="14">
                  <c:v>0.47222222222222221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6C-4FAC-BEAE-721C9CEFC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93AC-4FC5-A59B-91AE2F3946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C-4FC5-A59B-91AE2F39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3AC-4FC5-A59B-91AE2F39466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AC-4FC5-A59B-91AE2F394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5014</c:v>
                </c:pt>
                <c:pt idx="6">
                  <c:v>3779</c:v>
                </c:pt>
                <c:pt idx="7">
                  <c:v>2095</c:v>
                </c:pt>
                <c:pt idx="9">
                  <c:v>4612</c:v>
                </c:pt>
                <c:pt idx="10">
                  <c:v>2422</c:v>
                </c:pt>
                <c:pt idx="11">
                  <c:v>1640</c:v>
                </c:pt>
                <c:pt idx="12">
                  <c:v>5605</c:v>
                </c:pt>
                <c:pt idx="13">
                  <c:v>2658</c:v>
                </c:pt>
                <c:pt idx="14">
                  <c:v>71464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27-4EA1-8106-6151BC2FAC0F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5014</c:v>
                </c:pt>
                <c:pt idx="3">
                  <c:v>1396</c:v>
                </c:pt>
                <c:pt idx="4">
                  <c:v>13288</c:v>
                </c:pt>
                <c:pt idx="5">
                  <c:v>871</c:v>
                </c:pt>
                <c:pt idx="6">
                  <c:v>3779</c:v>
                </c:pt>
                <c:pt idx="7">
                  <c:v>2095</c:v>
                </c:pt>
                <c:pt idx="8">
                  <c:v>516</c:v>
                </c:pt>
                <c:pt idx="9">
                  <c:v>4996</c:v>
                </c:pt>
                <c:pt idx="10">
                  <c:v>2422</c:v>
                </c:pt>
                <c:pt idx="11">
                  <c:v>1640</c:v>
                </c:pt>
                <c:pt idx="12">
                  <c:v>5605</c:v>
                </c:pt>
                <c:pt idx="13">
                  <c:v>2658</c:v>
                </c:pt>
                <c:pt idx="14">
                  <c:v>71464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7-4EA1-8106-6151BC2FA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83%</c:v>
                </c:pt>
                <c:pt idx="7">
                  <c:v>58%</c:v>
                </c:pt>
                <c:pt idx="8">
                  <c:v>0%</c:v>
                </c:pt>
                <c:pt idx="9">
                  <c:v>92%</c:v>
                </c:pt>
                <c:pt idx="10">
                  <c:v>58%</c:v>
                </c:pt>
                <c:pt idx="11">
                  <c:v>38%</c:v>
                </c:pt>
                <c:pt idx="12">
                  <c:v>100%</c:v>
                </c:pt>
                <c:pt idx="13">
                  <c:v>63%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0.83333333333333337</c:v>
                </c:pt>
                <c:pt idx="7">
                  <c:v>0.58333333333333337</c:v>
                </c:pt>
                <c:pt idx="8">
                  <c:v>0</c:v>
                </c:pt>
                <c:pt idx="9">
                  <c:v>0.92313851080864695</c:v>
                </c:pt>
                <c:pt idx="10">
                  <c:v>0.58333333333333337</c:v>
                </c:pt>
                <c:pt idx="11">
                  <c:v>0.375</c:v>
                </c:pt>
                <c:pt idx="12">
                  <c:v>1</c:v>
                </c:pt>
                <c:pt idx="13">
                  <c:v>0.625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1E-442F-95AC-804280054F7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A1E-442F-95AC-804280054F7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0.45598701183168766</c:v>
                </c:pt>
                <c:pt idx="1">
                  <c:v>0.45598701183168766</c:v>
                </c:pt>
                <c:pt idx="2">
                  <c:v>0.45598701183168766</c:v>
                </c:pt>
                <c:pt idx="3">
                  <c:v>0.45598701183168766</c:v>
                </c:pt>
                <c:pt idx="4">
                  <c:v>0.45598701183168766</c:v>
                </c:pt>
                <c:pt idx="5">
                  <c:v>0.45598701183168766</c:v>
                </c:pt>
                <c:pt idx="6">
                  <c:v>0.45598701183168766</c:v>
                </c:pt>
                <c:pt idx="7">
                  <c:v>0.45598701183168766</c:v>
                </c:pt>
                <c:pt idx="8">
                  <c:v>0.45598701183168766</c:v>
                </c:pt>
                <c:pt idx="9">
                  <c:v>0.45598701183168766</c:v>
                </c:pt>
                <c:pt idx="10">
                  <c:v>0.45598701183168766</c:v>
                </c:pt>
                <c:pt idx="11">
                  <c:v>0.45598701183168766</c:v>
                </c:pt>
                <c:pt idx="12">
                  <c:v>0.45598701183168766</c:v>
                </c:pt>
                <c:pt idx="13">
                  <c:v>0.45598701183168766</c:v>
                </c:pt>
                <c:pt idx="14">
                  <c:v>0.45598701183168766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1E-442F-95AC-804280054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'19'!$L$6:$L$20</c:f>
              <c:numCache>
                <c:formatCode>_(* #,##0_);_(* \(#,##0\);_(* "-"_);_(@_)</c:formatCode>
                <c:ptCount val="15"/>
                <c:pt idx="2">
                  <c:v>5014</c:v>
                </c:pt>
                <c:pt idx="6">
                  <c:v>3779</c:v>
                </c:pt>
                <c:pt idx="7">
                  <c:v>2095</c:v>
                </c:pt>
                <c:pt idx="9">
                  <c:v>4612</c:v>
                </c:pt>
                <c:pt idx="10">
                  <c:v>2422</c:v>
                </c:pt>
                <c:pt idx="11">
                  <c:v>1640</c:v>
                </c:pt>
                <c:pt idx="12">
                  <c:v>5605</c:v>
                </c:pt>
                <c:pt idx="13">
                  <c:v>2658</c:v>
                </c:pt>
                <c:pt idx="14">
                  <c:v>71464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04-4546-8E2B-6DCB478E5BBF}"/>
            </c:ext>
          </c:extLst>
        </c:ser>
        <c:ser>
          <c:idx val="1"/>
          <c:order val="1"/>
          <c:tx>
            <c:v>계획</c:v>
          </c:tx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5014</c:v>
                </c:pt>
                <c:pt idx="3">
                  <c:v>1396</c:v>
                </c:pt>
                <c:pt idx="4">
                  <c:v>13288</c:v>
                </c:pt>
                <c:pt idx="5">
                  <c:v>871</c:v>
                </c:pt>
                <c:pt idx="6">
                  <c:v>3779</c:v>
                </c:pt>
                <c:pt idx="7">
                  <c:v>2095</c:v>
                </c:pt>
                <c:pt idx="8">
                  <c:v>516</c:v>
                </c:pt>
                <c:pt idx="9">
                  <c:v>4996</c:v>
                </c:pt>
                <c:pt idx="10">
                  <c:v>2422</c:v>
                </c:pt>
                <c:pt idx="11">
                  <c:v>1640</c:v>
                </c:pt>
                <c:pt idx="12">
                  <c:v>5605</c:v>
                </c:pt>
                <c:pt idx="13">
                  <c:v>2658</c:v>
                </c:pt>
                <c:pt idx="14">
                  <c:v>71464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04-4546-8E2B-6DCB478E5B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'19'!$AD$6:$AD$20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0%</c:v>
                </c:pt>
                <c:pt idx="4">
                  <c:v>0%</c:v>
                </c:pt>
                <c:pt idx="5">
                  <c:v>0%</c:v>
                </c:pt>
                <c:pt idx="6">
                  <c:v>83%</c:v>
                </c:pt>
                <c:pt idx="7">
                  <c:v>58%</c:v>
                </c:pt>
                <c:pt idx="8">
                  <c:v>0%</c:v>
                </c:pt>
                <c:pt idx="9">
                  <c:v>92%</c:v>
                </c:pt>
                <c:pt idx="10">
                  <c:v>58%</c:v>
                </c:pt>
                <c:pt idx="11">
                  <c:v>38%</c:v>
                </c:pt>
                <c:pt idx="12">
                  <c:v>100%</c:v>
                </c:pt>
                <c:pt idx="13">
                  <c:v>63%</c:v>
                </c:pt>
                <c:pt idx="14">
                  <c:v>100%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0.83333333333333337</c:v>
                </c:pt>
                <c:pt idx="7">
                  <c:v>0.58333333333333337</c:v>
                </c:pt>
                <c:pt idx="8">
                  <c:v>0</c:v>
                </c:pt>
                <c:pt idx="9">
                  <c:v>0.92313851080864695</c:v>
                </c:pt>
                <c:pt idx="10">
                  <c:v>0.58333333333333337</c:v>
                </c:pt>
                <c:pt idx="11">
                  <c:v>0.375</c:v>
                </c:pt>
                <c:pt idx="12">
                  <c:v>1</c:v>
                </c:pt>
                <c:pt idx="13">
                  <c:v>0.625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1F-4664-8E01-82C59A20B4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1F-4664-8E01-82C59A20B4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'19'!$D$6:$D$20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COVER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'19'!$AE$6:$AE$20</c:f>
              <c:numCache>
                <c:formatCode>0%</c:formatCode>
                <c:ptCount val="15"/>
                <c:pt idx="0">
                  <c:v>0.45598701183168766</c:v>
                </c:pt>
                <c:pt idx="1">
                  <c:v>0.45598701183168766</c:v>
                </c:pt>
                <c:pt idx="2">
                  <c:v>0.45598701183168766</c:v>
                </c:pt>
                <c:pt idx="3">
                  <c:v>0.45598701183168766</c:v>
                </c:pt>
                <c:pt idx="4">
                  <c:v>0.45598701183168766</c:v>
                </c:pt>
                <c:pt idx="5">
                  <c:v>0.45598701183168766</c:v>
                </c:pt>
                <c:pt idx="6">
                  <c:v>0.45598701183168766</c:v>
                </c:pt>
                <c:pt idx="7">
                  <c:v>0.45598701183168766</c:v>
                </c:pt>
                <c:pt idx="8">
                  <c:v>0.45598701183168766</c:v>
                </c:pt>
                <c:pt idx="9">
                  <c:v>0.45598701183168766</c:v>
                </c:pt>
                <c:pt idx="10">
                  <c:v>0.45598701183168766</c:v>
                </c:pt>
                <c:pt idx="11">
                  <c:v>0.45598701183168766</c:v>
                </c:pt>
                <c:pt idx="12">
                  <c:v>0.45598701183168766</c:v>
                </c:pt>
                <c:pt idx="13">
                  <c:v>0.45598701183168766</c:v>
                </c:pt>
                <c:pt idx="14">
                  <c:v>0.45598701183168766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1F-4664-8E01-82C59A20B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5DE7-4B6B-A1DB-C0747DE886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E7-4B6B-A1DB-C0747DE8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DE7-4B6B-A1DB-C0747DE8868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E7-4B6B-A1DB-C0747DE88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2">
                  <c:v>2731</c:v>
                </c:pt>
                <c:pt idx="3">
                  <c:v>910</c:v>
                </c:pt>
                <c:pt idx="6">
                  <c:v>2173</c:v>
                </c:pt>
                <c:pt idx="7">
                  <c:v>1225</c:v>
                </c:pt>
                <c:pt idx="9">
                  <c:v>1299</c:v>
                </c:pt>
                <c:pt idx="10">
                  <c:v>781</c:v>
                </c:pt>
                <c:pt idx="13">
                  <c:v>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4-4515-B977-8726E8A638E2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2731</c:v>
                </c:pt>
                <c:pt idx="3">
                  <c:v>910</c:v>
                </c:pt>
                <c:pt idx="4">
                  <c:v>13288</c:v>
                </c:pt>
                <c:pt idx="5">
                  <c:v>871</c:v>
                </c:pt>
                <c:pt idx="6">
                  <c:v>2173</c:v>
                </c:pt>
                <c:pt idx="7">
                  <c:v>1225</c:v>
                </c:pt>
                <c:pt idx="8">
                  <c:v>516</c:v>
                </c:pt>
                <c:pt idx="9">
                  <c:v>1299</c:v>
                </c:pt>
                <c:pt idx="10">
                  <c:v>781</c:v>
                </c:pt>
                <c:pt idx="11">
                  <c:v>1640</c:v>
                </c:pt>
                <c:pt idx="12">
                  <c:v>5605</c:v>
                </c:pt>
                <c:pt idx="13">
                  <c:v>2225</c:v>
                </c:pt>
                <c:pt idx="14">
                  <c:v>71464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4-4515-B977-8726E8A63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50%</c:v>
                </c:pt>
                <c:pt idx="7">
                  <c:v>33%</c:v>
                </c:pt>
                <c:pt idx="8">
                  <c:v>0%</c:v>
                </c:pt>
                <c:pt idx="9">
                  <c:v>33%</c:v>
                </c:pt>
                <c:pt idx="10">
                  <c:v>29%</c:v>
                </c:pt>
                <c:pt idx="11">
                  <c:v>0%</c:v>
                </c:pt>
                <c:pt idx="12">
                  <c:v>0%</c:v>
                </c:pt>
                <c:pt idx="13">
                  <c:v>4%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0.33333333333333331</c:v>
                </c:pt>
                <c:pt idx="8">
                  <c:v>0</c:v>
                </c:pt>
                <c:pt idx="9">
                  <c:v>0.33333333333333331</c:v>
                </c:pt>
                <c:pt idx="10">
                  <c:v>0.29166666666666669</c:v>
                </c:pt>
                <c:pt idx="11">
                  <c:v>0</c:v>
                </c:pt>
                <c:pt idx="12">
                  <c:v>0</c:v>
                </c:pt>
                <c:pt idx="13">
                  <c:v>4.1666666666666664E-2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A2-4FF4-ADA7-8BD60A92DCE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0A2-4FF4-ADA7-8BD60A92DCE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0.1444444444444444</c:v>
                </c:pt>
                <c:pt idx="1">
                  <c:v>0.1444444444444444</c:v>
                </c:pt>
                <c:pt idx="2">
                  <c:v>0.1444444444444444</c:v>
                </c:pt>
                <c:pt idx="3">
                  <c:v>0.1444444444444444</c:v>
                </c:pt>
                <c:pt idx="4">
                  <c:v>0.1444444444444444</c:v>
                </c:pt>
                <c:pt idx="5">
                  <c:v>0.1444444444444444</c:v>
                </c:pt>
                <c:pt idx="6">
                  <c:v>0.1444444444444444</c:v>
                </c:pt>
                <c:pt idx="7">
                  <c:v>0.1444444444444444</c:v>
                </c:pt>
                <c:pt idx="8">
                  <c:v>0.1444444444444444</c:v>
                </c:pt>
                <c:pt idx="9">
                  <c:v>0.1444444444444444</c:v>
                </c:pt>
                <c:pt idx="10">
                  <c:v>0.1444444444444444</c:v>
                </c:pt>
                <c:pt idx="11">
                  <c:v>0.1444444444444444</c:v>
                </c:pt>
                <c:pt idx="12">
                  <c:v>0.1444444444444444</c:v>
                </c:pt>
                <c:pt idx="13">
                  <c:v>0.1444444444444444</c:v>
                </c:pt>
                <c:pt idx="14">
                  <c:v>0.1444444444444444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A2-4FF4-ADA7-8BD60A92D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2">
                  <c:v>2731</c:v>
                </c:pt>
                <c:pt idx="3">
                  <c:v>910</c:v>
                </c:pt>
                <c:pt idx="6">
                  <c:v>2173</c:v>
                </c:pt>
                <c:pt idx="7">
                  <c:v>1225</c:v>
                </c:pt>
                <c:pt idx="9">
                  <c:v>1299</c:v>
                </c:pt>
                <c:pt idx="10">
                  <c:v>781</c:v>
                </c:pt>
                <c:pt idx="13">
                  <c:v>2225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B-4C3B-B068-27301B804683}"/>
            </c:ext>
          </c:extLst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2731</c:v>
                </c:pt>
                <c:pt idx="3">
                  <c:v>910</c:v>
                </c:pt>
                <c:pt idx="4">
                  <c:v>13288</c:v>
                </c:pt>
                <c:pt idx="5">
                  <c:v>871</c:v>
                </c:pt>
                <c:pt idx="6">
                  <c:v>2173</c:v>
                </c:pt>
                <c:pt idx="7">
                  <c:v>1225</c:v>
                </c:pt>
                <c:pt idx="8">
                  <c:v>516</c:v>
                </c:pt>
                <c:pt idx="9">
                  <c:v>1299</c:v>
                </c:pt>
                <c:pt idx="10">
                  <c:v>781</c:v>
                </c:pt>
                <c:pt idx="11">
                  <c:v>1640</c:v>
                </c:pt>
                <c:pt idx="12">
                  <c:v>5605</c:v>
                </c:pt>
                <c:pt idx="13">
                  <c:v>2225</c:v>
                </c:pt>
                <c:pt idx="14">
                  <c:v>71464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B-4C3B-B068-27301B804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17%</c:v>
                </c:pt>
                <c:pt idx="4">
                  <c:v>0%</c:v>
                </c:pt>
                <c:pt idx="5">
                  <c:v>0%</c:v>
                </c:pt>
                <c:pt idx="6">
                  <c:v>50%</c:v>
                </c:pt>
                <c:pt idx="7">
                  <c:v>33%</c:v>
                </c:pt>
                <c:pt idx="8">
                  <c:v>0%</c:v>
                </c:pt>
                <c:pt idx="9">
                  <c:v>33%</c:v>
                </c:pt>
                <c:pt idx="10">
                  <c:v>29%</c:v>
                </c:pt>
                <c:pt idx="11">
                  <c:v>0%</c:v>
                </c:pt>
                <c:pt idx="12">
                  <c:v>0%</c:v>
                </c:pt>
                <c:pt idx="13">
                  <c:v>4%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0.16666666666666666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0.33333333333333331</c:v>
                </c:pt>
                <c:pt idx="8">
                  <c:v>0</c:v>
                </c:pt>
                <c:pt idx="9">
                  <c:v>0.33333333333333331</c:v>
                </c:pt>
                <c:pt idx="10">
                  <c:v>0.29166666666666669</c:v>
                </c:pt>
                <c:pt idx="11">
                  <c:v>0</c:v>
                </c:pt>
                <c:pt idx="12">
                  <c:v>0</c:v>
                </c:pt>
                <c:pt idx="13">
                  <c:v>4.1666666666666664E-2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7-49B3-9B1F-042161CA54FF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C7-49B3-9B1F-042161CA54F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'20'!$D$6:$D$20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BASE</c:v>
                </c:pt>
                <c:pt idx="7">
                  <c:v>ADAPTER</c:v>
                </c:pt>
                <c:pt idx="8">
                  <c:v>BASE</c:v>
                </c:pt>
                <c:pt idx="10">
                  <c:v>BASE</c:v>
                </c:pt>
                <c:pt idx="11">
                  <c:v>ADAPTER</c:v>
                </c:pt>
                <c:pt idx="12">
                  <c:v>ACTUATOR</c:v>
                </c:pt>
                <c:pt idx="13">
                  <c:v>COVER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0.1444444444444444</c:v>
                </c:pt>
                <c:pt idx="1">
                  <c:v>0.1444444444444444</c:v>
                </c:pt>
                <c:pt idx="2">
                  <c:v>0.1444444444444444</c:v>
                </c:pt>
                <c:pt idx="3">
                  <c:v>0.1444444444444444</c:v>
                </c:pt>
                <c:pt idx="4">
                  <c:v>0.1444444444444444</c:v>
                </c:pt>
                <c:pt idx="5">
                  <c:v>0.1444444444444444</c:v>
                </c:pt>
                <c:pt idx="6">
                  <c:v>0.1444444444444444</c:v>
                </c:pt>
                <c:pt idx="7">
                  <c:v>0.1444444444444444</c:v>
                </c:pt>
                <c:pt idx="8">
                  <c:v>0.1444444444444444</c:v>
                </c:pt>
                <c:pt idx="9">
                  <c:v>0.1444444444444444</c:v>
                </c:pt>
                <c:pt idx="10">
                  <c:v>0.1444444444444444</c:v>
                </c:pt>
                <c:pt idx="11">
                  <c:v>0.1444444444444444</c:v>
                </c:pt>
                <c:pt idx="12">
                  <c:v>0.1444444444444444</c:v>
                </c:pt>
                <c:pt idx="13">
                  <c:v>0.1444444444444444</c:v>
                </c:pt>
                <c:pt idx="14">
                  <c:v>0.1444444444444444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7-49B3-9B1F-042161CA5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DC8C-4994-A7CD-69446C998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8C-4994-A7CD-69446C998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C8C-4994-A7CD-69446C99896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8C-4994-A7CD-69446C998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2">
                  <c:v>2959</c:v>
                </c:pt>
                <c:pt idx="3">
                  <c:v>1674</c:v>
                </c:pt>
                <c:pt idx="5">
                  <c:v>1725</c:v>
                </c:pt>
                <c:pt idx="6">
                  <c:v>4502</c:v>
                </c:pt>
                <c:pt idx="7">
                  <c:v>9334</c:v>
                </c:pt>
                <c:pt idx="9">
                  <c:v>3065</c:v>
                </c:pt>
                <c:pt idx="10">
                  <c:v>3352</c:v>
                </c:pt>
                <c:pt idx="11">
                  <c:v>10172</c:v>
                </c:pt>
                <c:pt idx="12">
                  <c:v>2251</c:v>
                </c:pt>
                <c:pt idx="13">
                  <c:v>1077</c:v>
                </c:pt>
                <c:pt idx="14">
                  <c:v>3114</c:v>
                </c:pt>
                <c:pt idx="15">
                  <c:v>16528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6-46BF-8F3A-519CBC171E59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2959</c:v>
                </c:pt>
                <c:pt idx="3">
                  <c:v>1674</c:v>
                </c:pt>
                <c:pt idx="4">
                  <c:v>13288</c:v>
                </c:pt>
                <c:pt idx="5">
                  <c:v>1725</c:v>
                </c:pt>
                <c:pt idx="6">
                  <c:v>4502</c:v>
                </c:pt>
                <c:pt idx="7">
                  <c:v>9334</c:v>
                </c:pt>
                <c:pt idx="8">
                  <c:v>516</c:v>
                </c:pt>
                <c:pt idx="9">
                  <c:v>3065</c:v>
                </c:pt>
                <c:pt idx="10">
                  <c:v>3352</c:v>
                </c:pt>
                <c:pt idx="11">
                  <c:v>10172</c:v>
                </c:pt>
                <c:pt idx="12">
                  <c:v>2251</c:v>
                </c:pt>
                <c:pt idx="13">
                  <c:v>1077</c:v>
                </c:pt>
                <c:pt idx="14">
                  <c:v>3114</c:v>
                </c:pt>
                <c:pt idx="15">
                  <c:v>16528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6-46BF-8F3A-519CBC171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38%</c:v>
                </c:pt>
                <c:pt idx="4">
                  <c:v>0%</c:v>
                </c:pt>
                <c:pt idx="5">
                  <c:v>42%</c:v>
                </c:pt>
                <c:pt idx="6">
                  <c:v>100%</c:v>
                </c:pt>
                <c:pt idx="7">
                  <c:v>92%</c:v>
                </c:pt>
                <c:pt idx="8">
                  <c:v>0%</c:v>
                </c:pt>
                <c:pt idx="9">
                  <c:v>79%</c:v>
                </c:pt>
                <c:pt idx="10">
                  <c:v>83%</c:v>
                </c:pt>
                <c:pt idx="11">
                  <c:v>92%</c:v>
                </c:pt>
                <c:pt idx="12">
                  <c:v>50%</c:v>
                </c:pt>
                <c:pt idx="13">
                  <c:v>25%</c:v>
                </c:pt>
                <c:pt idx="14">
                  <c:v>67%</c:v>
                </c:pt>
                <c:pt idx="15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0.375</c:v>
                </c:pt>
                <c:pt idx="4">
                  <c:v>0</c:v>
                </c:pt>
                <c:pt idx="5">
                  <c:v>0.41666666666666669</c:v>
                </c:pt>
                <c:pt idx="6">
                  <c:v>1</c:v>
                </c:pt>
                <c:pt idx="7">
                  <c:v>0.91666666666666663</c:v>
                </c:pt>
                <c:pt idx="8">
                  <c:v>0</c:v>
                </c:pt>
                <c:pt idx="9">
                  <c:v>0.79166666666666663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0.5</c:v>
                </c:pt>
                <c:pt idx="13">
                  <c:v>0.25</c:v>
                </c:pt>
                <c:pt idx="14">
                  <c:v>0.66666666666666663</c:v>
                </c:pt>
                <c:pt idx="1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E-4057-A39E-0F290AE545D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9E-4057-A39E-0F290AE545D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0.51111111111111118</c:v>
                </c:pt>
                <c:pt idx="1">
                  <c:v>0.51111111111111118</c:v>
                </c:pt>
                <c:pt idx="2">
                  <c:v>0.51111111111111118</c:v>
                </c:pt>
                <c:pt idx="3">
                  <c:v>0.51111111111111118</c:v>
                </c:pt>
                <c:pt idx="4">
                  <c:v>0.51111111111111118</c:v>
                </c:pt>
                <c:pt idx="5">
                  <c:v>0.51111111111111118</c:v>
                </c:pt>
                <c:pt idx="6">
                  <c:v>0.51111111111111118</c:v>
                </c:pt>
                <c:pt idx="7">
                  <c:v>0.51111111111111118</c:v>
                </c:pt>
                <c:pt idx="8">
                  <c:v>0.51111111111111118</c:v>
                </c:pt>
                <c:pt idx="9">
                  <c:v>0.51111111111111118</c:v>
                </c:pt>
                <c:pt idx="10">
                  <c:v>0.51111111111111118</c:v>
                </c:pt>
                <c:pt idx="11">
                  <c:v>0.51111111111111118</c:v>
                </c:pt>
                <c:pt idx="12">
                  <c:v>0.51111111111111118</c:v>
                </c:pt>
                <c:pt idx="13">
                  <c:v>0.51111111111111118</c:v>
                </c:pt>
                <c:pt idx="14">
                  <c:v>0.51111111111111118</c:v>
                </c:pt>
                <c:pt idx="15">
                  <c:v>0.51111111111111118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9E-4057-A39E-0F290AE5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'21'!$L$6:$L$21</c:f>
              <c:numCache>
                <c:formatCode>_(* #,##0_);_(* \(#,##0\);_(* "-"_);_(@_)</c:formatCode>
                <c:ptCount val="16"/>
                <c:pt idx="2">
                  <c:v>2959</c:v>
                </c:pt>
                <c:pt idx="3">
                  <c:v>1674</c:v>
                </c:pt>
                <c:pt idx="5">
                  <c:v>1725</c:v>
                </c:pt>
                <c:pt idx="6">
                  <c:v>4502</c:v>
                </c:pt>
                <c:pt idx="7">
                  <c:v>9334</c:v>
                </c:pt>
                <c:pt idx="9">
                  <c:v>3065</c:v>
                </c:pt>
                <c:pt idx="10">
                  <c:v>3352</c:v>
                </c:pt>
                <c:pt idx="11">
                  <c:v>10172</c:v>
                </c:pt>
                <c:pt idx="12">
                  <c:v>2251</c:v>
                </c:pt>
                <c:pt idx="13">
                  <c:v>1077</c:v>
                </c:pt>
                <c:pt idx="14">
                  <c:v>3114</c:v>
                </c:pt>
                <c:pt idx="15">
                  <c:v>16528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3-40DF-AD4F-96D4667B1F04}"/>
            </c:ext>
          </c:extLst>
        </c:ser>
        <c:ser>
          <c:idx val="1"/>
          <c:order val="1"/>
          <c:tx>
            <c:v>계획</c:v>
          </c:tx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2959</c:v>
                </c:pt>
                <c:pt idx="3">
                  <c:v>1674</c:v>
                </c:pt>
                <c:pt idx="4">
                  <c:v>13288</c:v>
                </c:pt>
                <c:pt idx="5">
                  <c:v>1725</c:v>
                </c:pt>
                <c:pt idx="6">
                  <c:v>4502</c:v>
                </c:pt>
                <c:pt idx="7">
                  <c:v>9334</c:v>
                </c:pt>
                <c:pt idx="8">
                  <c:v>516</c:v>
                </c:pt>
                <c:pt idx="9">
                  <c:v>3065</c:v>
                </c:pt>
                <c:pt idx="10">
                  <c:v>3352</c:v>
                </c:pt>
                <c:pt idx="11">
                  <c:v>10172</c:v>
                </c:pt>
                <c:pt idx="12">
                  <c:v>2251</c:v>
                </c:pt>
                <c:pt idx="13">
                  <c:v>1077</c:v>
                </c:pt>
                <c:pt idx="14">
                  <c:v>3114</c:v>
                </c:pt>
                <c:pt idx="15">
                  <c:v>16528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E3-40DF-AD4F-96D4667B1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38%</c:v>
                </c:pt>
                <c:pt idx="4">
                  <c:v>0%</c:v>
                </c:pt>
                <c:pt idx="5">
                  <c:v>42%</c:v>
                </c:pt>
                <c:pt idx="6">
                  <c:v>100%</c:v>
                </c:pt>
                <c:pt idx="7">
                  <c:v>92%</c:v>
                </c:pt>
                <c:pt idx="8">
                  <c:v>0%</c:v>
                </c:pt>
                <c:pt idx="9">
                  <c:v>79%</c:v>
                </c:pt>
                <c:pt idx="10">
                  <c:v>83%</c:v>
                </c:pt>
                <c:pt idx="11">
                  <c:v>92%</c:v>
                </c:pt>
                <c:pt idx="12">
                  <c:v>50%</c:v>
                </c:pt>
                <c:pt idx="13">
                  <c:v>25%</c:v>
                </c:pt>
                <c:pt idx="14">
                  <c:v>67%</c:v>
                </c:pt>
                <c:pt idx="15">
                  <c:v>38%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0.375</c:v>
                </c:pt>
                <c:pt idx="4">
                  <c:v>0</c:v>
                </c:pt>
                <c:pt idx="5">
                  <c:v>0.41666666666666669</c:v>
                </c:pt>
                <c:pt idx="6">
                  <c:v>1</c:v>
                </c:pt>
                <c:pt idx="7">
                  <c:v>0.91666666666666663</c:v>
                </c:pt>
                <c:pt idx="8">
                  <c:v>0</c:v>
                </c:pt>
                <c:pt idx="9">
                  <c:v>0.79166666666666663</c:v>
                </c:pt>
                <c:pt idx="10">
                  <c:v>0.83333333333333337</c:v>
                </c:pt>
                <c:pt idx="11">
                  <c:v>0.91666666666666663</c:v>
                </c:pt>
                <c:pt idx="12">
                  <c:v>0.5</c:v>
                </c:pt>
                <c:pt idx="13">
                  <c:v>0.25</c:v>
                </c:pt>
                <c:pt idx="14">
                  <c:v>0.66666666666666663</c:v>
                </c:pt>
                <c:pt idx="15">
                  <c:v>0.375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9-4DF9-903B-4AC6E1EA3F4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C9-4DF9-903B-4AC6E1EA3F4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'21'!$D$6:$D$21</c:f>
              <c:strCache>
                <c:ptCount val="15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BASE</c:v>
                </c:pt>
                <c:pt idx="11">
                  <c:v>SLIDER</c:v>
                </c:pt>
                <c:pt idx="12">
                  <c:v>ACTUATOR</c:v>
                </c:pt>
                <c:pt idx="13">
                  <c:v>COVER</c:v>
                </c:pt>
                <c:pt idx="14">
                  <c:v>BASE</c:v>
                </c:pt>
              </c:strCache>
            </c:strRef>
          </c:cat>
          <c:val>
            <c:numRef>
              <c:f>'21'!$AE$6:$AE$21</c:f>
              <c:numCache>
                <c:formatCode>0%</c:formatCode>
                <c:ptCount val="16"/>
                <c:pt idx="0">
                  <c:v>0.51111111111111118</c:v>
                </c:pt>
                <c:pt idx="1">
                  <c:v>0.51111111111111118</c:v>
                </c:pt>
                <c:pt idx="2">
                  <c:v>0.51111111111111118</c:v>
                </c:pt>
                <c:pt idx="3">
                  <c:v>0.51111111111111118</c:v>
                </c:pt>
                <c:pt idx="4">
                  <c:v>0.51111111111111118</c:v>
                </c:pt>
                <c:pt idx="5">
                  <c:v>0.51111111111111118</c:v>
                </c:pt>
                <c:pt idx="6">
                  <c:v>0.51111111111111118</c:v>
                </c:pt>
                <c:pt idx="7">
                  <c:v>0.51111111111111118</c:v>
                </c:pt>
                <c:pt idx="8">
                  <c:v>0.51111111111111118</c:v>
                </c:pt>
                <c:pt idx="9">
                  <c:v>0.51111111111111118</c:v>
                </c:pt>
                <c:pt idx="10">
                  <c:v>0.51111111111111118</c:v>
                </c:pt>
                <c:pt idx="11">
                  <c:v>0.51111111111111118</c:v>
                </c:pt>
                <c:pt idx="12">
                  <c:v>0.51111111111111118</c:v>
                </c:pt>
                <c:pt idx="13">
                  <c:v>0.51111111111111118</c:v>
                </c:pt>
                <c:pt idx="14">
                  <c:v>0.51111111111111118</c:v>
                </c:pt>
                <c:pt idx="15">
                  <c:v>0.51111111111111118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C9-4DF9-903B-4AC6E1EA3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7054-4FF2-AFB4-F1FD22095B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54-4FF2-AFB4-F1FD2209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4-4FF2-AFB4-F1FD22095B5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54-4FF2-AFB4-F1FD22095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2">
                  <c:v>5246</c:v>
                </c:pt>
                <c:pt idx="3">
                  <c:v>2202</c:v>
                </c:pt>
                <c:pt idx="5">
                  <c:v>4157</c:v>
                </c:pt>
                <c:pt idx="6">
                  <c:v>583</c:v>
                </c:pt>
                <c:pt idx="7">
                  <c:v>1561</c:v>
                </c:pt>
                <c:pt idx="8">
                  <c:v>1482</c:v>
                </c:pt>
                <c:pt idx="9">
                  <c:v>1247</c:v>
                </c:pt>
                <c:pt idx="11">
                  <c:v>5013</c:v>
                </c:pt>
                <c:pt idx="13">
                  <c:v>12160</c:v>
                </c:pt>
                <c:pt idx="14">
                  <c:v>4870</c:v>
                </c:pt>
                <c:pt idx="15">
                  <c:v>4726</c:v>
                </c:pt>
                <c:pt idx="16">
                  <c:v>39012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06-44C6-8D72-6DA979240A6D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5246</c:v>
                </c:pt>
                <c:pt idx="3">
                  <c:v>2202</c:v>
                </c:pt>
                <c:pt idx="4">
                  <c:v>13288</c:v>
                </c:pt>
                <c:pt idx="5">
                  <c:v>4157</c:v>
                </c:pt>
                <c:pt idx="6">
                  <c:v>583</c:v>
                </c:pt>
                <c:pt idx="7">
                  <c:v>1561</c:v>
                </c:pt>
                <c:pt idx="8">
                  <c:v>1482</c:v>
                </c:pt>
                <c:pt idx="9">
                  <c:v>1247</c:v>
                </c:pt>
                <c:pt idx="10">
                  <c:v>516</c:v>
                </c:pt>
                <c:pt idx="11">
                  <c:v>5013</c:v>
                </c:pt>
                <c:pt idx="12">
                  <c:v>3352</c:v>
                </c:pt>
                <c:pt idx="13">
                  <c:v>12160</c:v>
                </c:pt>
                <c:pt idx="14">
                  <c:v>4870</c:v>
                </c:pt>
                <c:pt idx="15">
                  <c:v>4726</c:v>
                </c:pt>
                <c:pt idx="16">
                  <c:v>39012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06-44C6-8D72-6DA979240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0%</c:v>
                </c:pt>
                <c:pt idx="5">
                  <c:v>83%</c:v>
                </c:pt>
                <c:pt idx="6">
                  <c:v>17%</c:v>
                </c:pt>
                <c:pt idx="7">
                  <c:v>46%</c:v>
                </c:pt>
                <c:pt idx="8">
                  <c:v>17%</c:v>
                </c:pt>
                <c:pt idx="9">
                  <c:v>42%</c:v>
                </c:pt>
                <c:pt idx="10">
                  <c:v>0%</c:v>
                </c:pt>
                <c:pt idx="11">
                  <c:v>79%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0</c:v>
                </c:pt>
                <c:pt idx="5">
                  <c:v>0.83333333333333337</c:v>
                </c:pt>
                <c:pt idx="6">
                  <c:v>0.16666666666666666</c:v>
                </c:pt>
                <c:pt idx="7">
                  <c:v>0.45833333333333331</c:v>
                </c:pt>
                <c:pt idx="8">
                  <c:v>0.16666666666666666</c:v>
                </c:pt>
                <c:pt idx="9">
                  <c:v>0.41666666666666669</c:v>
                </c:pt>
                <c:pt idx="10">
                  <c:v>0</c:v>
                </c:pt>
                <c:pt idx="11">
                  <c:v>0.79166666666666663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2-4D48-81C7-FC4F68DAD4D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B2-4D48-81C7-FC4F68DAD4D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0.51111111111111118</c:v>
                </c:pt>
                <c:pt idx="1">
                  <c:v>0.51111111111111118</c:v>
                </c:pt>
                <c:pt idx="2">
                  <c:v>0.51111111111111118</c:v>
                </c:pt>
                <c:pt idx="3">
                  <c:v>0.51111111111111118</c:v>
                </c:pt>
                <c:pt idx="4">
                  <c:v>0.51111111111111118</c:v>
                </c:pt>
                <c:pt idx="5">
                  <c:v>0.51111111111111118</c:v>
                </c:pt>
                <c:pt idx="6">
                  <c:v>0.51111111111111118</c:v>
                </c:pt>
                <c:pt idx="7">
                  <c:v>0.51111111111111118</c:v>
                </c:pt>
                <c:pt idx="8">
                  <c:v>0.51111111111111118</c:v>
                </c:pt>
                <c:pt idx="9">
                  <c:v>0.51111111111111118</c:v>
                </c:pt>
                <c:pt idx="10">
                  <c:v>0.51111111111111118</c:v>
                </c:pt>
                <c:pt idx="11">
                  <c:v>0.51111111111111118</c:v>
                </c:pt>
                <c:pt idx="12">
                  <c:v>0.51111111111111118</c:v>
                </c:pt>
                <c:pt idx="13">
                  <c:v>0.51111111111111118</c:v>
                </c:pt>
                <c:pt idx="14">
                  <c:v>0.51111111111111118</c:v>
                </c:pt>
                <c:pt idx="15">
                  <c:v>0.51111111111111118</c:v>
                </c:pt>
                <c:pt idx="16">
                  <c:v>0.51111111111111118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2-4D48-81C7-FC4F68DAD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'22'!$L$6:$L$22</c:f>
              <c:numCache>
                <c:formatCode>_(* #,##0_);_(* \(#,##0\);_(* "-"_);_(@_)</c:formatCode>
                <c:ptCount val="17"/>
                <c:pt idx="2">
                  <c:v>5246</c:v>
                </c:pt>
                <c:pt idx="3">
                  <c:v>2202</c:v>
                </c:pt>
                <c:pt idx="5">
                  <c:v>4157</c:v>
                </c:pt>
                <c:pt idx="6">
                  <c:v>583</c:v>
                </c:pt>
                <c:pt idx="7">
                  <c:v>1561</c:v>
                </c:pt>
                <c:pt idx="8">
                  <c:v>1482</c:v>
                </c:pt>
                <c:pt idx="9">
                  <c:v>1247</c:v>
                </c:pt>
                <c:pt idx="11">
                  <c:v>5013</c:v>
                </c:pt>
                <c:pt idx="13">
                  <c:v>12160</c:v>
                </c:pt>
                <c:pt idx="14">
                  <c:v>4870</c:v>
                </c:pt>
                <c:pt idx="15">
                  <c:v>4726</c:v>
                </c:pt>
                <c:pt idx="16">
                  <c:v>39012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0-4590-96BD-9832C4C82FC9}"/>
            </c:ext>
          </c:extLst>
        </c:ser>
        <c:ser>
          <c:idx val="1"/>
          <c:order val="1"/>
          <c:tx>
            <c:v>계획</c:v>
          </c:tx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5246</c:v>
                </c:pt>
                <c:pt idx="3">
                  <c:v>2202</c:v>
                </c:pt>
                <c:pt idx="4">
                  <c:v>13288</c:v>
                </c:pt>
                <c:pt idx="5">
                  <c:v>4157</c:v>
                </c:pt>
                <c:pt idx="6">
                  <c:v>583</c:v>
                </c:pt>
                <c:pt idx="7">
                  <c:v>1561</c:v>
                </c:pt>
                <c:pt idx="8">
                  <c:v>1482</c:v>
                </c:pt>
                <c:pt idx="9">
                  <c:v>1247</c:v>
                </c:pt>
                <c:pt idx="10">
                  <c:v>516</c:v>
                </c:pt>
                <c:pt idx="11">
                  <c:v>5013</c:v>
                </c:pt>
                <c:pt idx="12">
                  <c:v>3352</c:v>
                </c:pt>
                <c:pt idx="13">
                  <c:v>12160</c:v>
                </c:pt>
                <c:pt idx="14">
                  <c:v>4870</c:v>
                </c:pt>
                <c:pt idx="15">
                  <c:v>4726</c:v>
                </c:pt>
                <c:pt idx="16">
                  <c:v>39012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0-4590-96BD-9832C4C82F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100%</c:v>
                </c:pt>
                <c:pt idx="3">
                  <c:v>42%</c:v>
                </c:pt>
                <c:pt idx="4">
                  <c:v>0%</c:v>
                </c:pt>
                <c:pt idx="5">
                  <c:v>83%</c:v>
                </c:pt>
                <c:pt idx="6">
                  <c:v>17%</c:v>
                </c:pt>
                <c:pt idx="7">
                  <c:v>46%</c:v>
                </c:pt>
                <c:pt idx="8">
                  <c:v>17%</c:v>
                </c:pt>
                <c:pt idx="9">
                  <c:v>42%</c:v>
                </c:pt>
                <c:pt idx="10">
                  <c:v>0%</c:v>
                </c:pt>
                <c:pt idx="11">
                  <c:v>79%</c:v>
                </c:pt>
                <c:pt idx="12">
                  <c:v>0%</c:v>
                </c:pt>
                <c:pt idx="13">
                  <c:v>100%</c:v>
                </c:pt>
                <c:pt idx="14">
                  <c:v>100%</c:v>
                </c:pt>
                <c:pt idx="15">
                  <c:v>100%</c:v>
                </c:pt>
                <c:pt idx="16">
                  <c:v>42%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0.41666666666666669</c:v>
                </c:pt>
                <c:pt idx="4">
                  <c:v>0</c:v>
                </c:pt>
                <c:pt idx="5">
                  <c:v>0.83333333333333337</c:v>
                </c:pt>
                <c:pt idx="6">
                  <c:v>0.16666666666666666</c:v>
                </c:pt>
                <c:pt idx="7">
                  <c:v>0.45833333333333331</c:v>
                </c:pt>
                <c:pt idx="8">
                  <c:v>0.16666666666666666</c:v>
                </c:pt>
                <c:pt idx="9">
                  <c:v>0.41666666666666669</c:v>
                </c:pt>
                <c:pt idx="10">
                  <c:v>0</c:v>
                </c:pt>
                <c:pt idx="11">
                  <c:v>0.79166666666666663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0.41666666666666669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8-4E0E-B33F-FF99DA20A37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998-4E0E-B33F-FF99DA20A37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'22'!$D$6:$D$22</c:f>
              <c:strCache>
                <c:ptCount val="16"/>
                <c:pt idx="1">
                  <c:v>88P</c:v>
                </c:pt>
                <c:pt idx="2">
                  <c:v>BODY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BASE</c:v>
                </c:pt>
                <c:pt idx="12">
                  <c:v>BASE</c:v>
                </c:pt>
                <c:pt idx="13">
                  <c:v>SLIDER</c:v>
                </c:pt>
                <c:pt idx="14">
                  <c:v>ACTUATOR</c:v>
                </c:pt>
                <c:pt idx="15">
                  <c:v>BASE</c:v>
                </c:pt>
              </c:strCache>
            </c:strRef>
          </c:cat>
          <c:val>
            <c:numRef>
              <c:f>'22'!$AE$6:$AE$22</c:f>
              <c:numCache>
                <c:formatCode>0%</c:formatCode>
                <c:ptCount val="17"/>
                <c:pt idx="0">
                  <c:v>0.51111111111111118</c:v>
                </c:pt>
                <c:pt idx="1">
                  <c:v>0.51111111111111118</c:v>
                </c:pt>
                <c:pt idx="2">
                  <c:v>0.51111111111111118</c:v>
                </c:pt>
                <c:pt idx="3">
                  <c:v>0.51111111111111118</c:v>
                </c:pt>
                <c:pt idx="4">
                  <c:v>0.51111111111111118</c:v>
                </c:pt>
                <c:pt idx="5">
                  <c:v>0.51111111111111118</c:v>
                </c:pt>
                <c:pt idx="6">
                  <c:v>0.51111111111111118</c:v>
                </c:pt>
                <c:pt idx="7">
                  <c:v>0.51111111111111118</c:v>
                </c:pt>
                <c:pt idx="8">
                  <c:v>0.51111111111111118</c:v>
                </c:pt>
                <c:pt idx="9">
                  <c:v>0.51111111111111118</c:v>
                </c:pt>
                <c:pt idx="10">
                  <c:v>0.51111111111111118</c:v>
                </c:pt>
                <c:pt idx="11">
                  <c:v>0.51111111111111118</c:v>
                </c:pt>
                <c:pt idx="12">
                  <c:v>0.51111111111111118</c:v>
                </c:pt>
                <c:pt idx="13">
                  <c:v>0.51111111111111118</c:v>
                </c:pt>
                <c:pt idx="14">
                  <c:v>0.51111111111111118</c:v>
                </c:pt>
                <c:pt idx="15">
                  <c:v>0.51111111111111118</c:v>
                </c:pt>
                <c:pt idx="16">
                  <c:v>0.51111111111111118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8-4E0E-B33F-FF99DA20A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AB6C-4414-A493-2FA08BF2A1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C-4414-A493-2FA08BF2A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6C-4414-A493-2FA08BF2A16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B6C-4414-A493-2FA08BF2A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2">
                  <c:v>6014</c:v>
                </c:pt>
                <c:pt idx="3">
                  <c:v>3317</c:v>
                </c:pt>
                <c:pt idx="4">
                  <c:v>3601</c:v>
                </c:pt>
                <c:pt idx="5">
                  <c:v>702</c:v>
                </c:pt>
                <c:pt idx="6">
                  <c:v>2422</c:v>
                </c:pt>
                <c:pt idx="7">
                  <c:v>0</c:v>
                </c:pt>
                <c:pt idx="9">
                  <c:v>4581</c:v>
                </c:pt>
                <c:pt idx="10">
                  <c:v>4010</c:v>
                </c:pt>
                <c:pt idx="11">
                  <c:v>4962</c:v>
                </c:pt>
                <c:pt idx="12">
                  <c:v>11116</c:v>
                </c:pt>
                <c:pt idx="13">
                  <c:v>1102</c:v>
                </c:pt>
                <c:pt idx="14">
                  <c:v>589</c:v>
                </c:pt>
                <c:pt idx="15">
                  <c:v>4604</c:v>
                </c:pt>
                <c:pt idx="16">
                  <c:v>44316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00-48AE-BF5E-C1437B5F7BBD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6014</c:v>
                </c:pt>
                <c:pt idx="3">
                  <c:v>3317</c:v>
                </c:pt>
                <c:pt idx="4">
                  <c:v>3601</c:v>
                </c:pt>
                <c:pt idx="5">
                  <c:v>702</c:v>
                </c:pt>
                <c:pt idx="6">
                  <c:v>2422</c:v>
                </c:pt>
                <c:pt idx="7">
                  <c:v>1482</c:v>
                </c:pt>
                <c:pt idx="8">
                  <c:v>516</c:v>
                </c:pt>
                <c:pt idx="9">
                  <c:v>4581</c:v>
                </c:pt>
                <c:pt idx="10">
                  <c:v>4010</c:v>
                </c:pt>
                <c:pt idx="11">
                  <c:v>4962</c:v>
                </c:pt>
                <c:pt idx="12">
                  <c:v>11116</c:v>
                </c:pt>
                <c:pt idx="13">
                  <c:v>1102</c:v>
                </c:pt>
                <c:pt idx="14">
                  <c:v>589</c:v>
                </c:pt>
                <c:pt idx="15">
                  <c:v>4604</c:v>
                </c:pt>
                <c:pt idx="16">
                  <c:v>44316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00-48AE-BF5E-C1437B5F7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63%</c:v>
                </c:pt>
                <c:pt idx="4">
                  <c:v>58%</c:v>
                </c:pt>
                <c:pt idx="5">
                  <c:v>17%</c:v>
                </c:pt>
                <c:pt idx="6">
                  <c:v>67%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88%</c:v>
                </c:pt>
                <c:pt idx="11">
                  <c:v>58%</c:v>
                </c:pt>
                <c:pt idx="12">
                  <c:v>38%</c:v>
                </c:pt>
                <c:pt idx="13">
                  <c:v>25%</c:v>
                </c:pt>
                <c:pt idx="14">
                  <c:v>42%</c:v>
                </c:pt>
                <c:pt idx="15">
                  <c:v>100%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0.625</c:v>
                </c:pt>
                <c:pt idx="4">
                  <c:v>0.58333333333333337</c:v>
                </c:pt>
                <c:pt idx="5">
                  <c:v>0.16666666666666666</c:v>
                </c:pt>
                <c:pt idx="6">
                  <c:v>0.66666666666666663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0.875</c:v>
                </c:pt>
                <c:pt idx="11">
                  <c:v>0.58333333333333337</c:v>
                </c:pt>
                <c:pt idx="12">
                  <c:v>0.375</c:v>
                </c:pt>
                <c:pt idx="13">
                  <c:v>0.25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4F-4D16-B902-924459983C3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C4F-4D16-B902-924459983C3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0.51111111111111107</c:v>
                </c:pt>
                <c:pt idx="1">
                  <c:v>0.51111111111111107</c:v>
                </c:pt>
                <c:pt idx="2">
                  <c:v>0.51111111111111107</c:v>
                </c:pt>
                <c:pt idx="3">
                  <c:v>0.51111111111111107</c:v>
                </c:pt>
                <c:pt idx="4">
                  <c:v>0.51111111111111107</c:v>
                </c:pt>
                <c:pt idx="5">
                  <c:v>0.51111111111111107</c:v>
                </c:pt>
                <c:pt idx="6">
                  <c:v>0.51111111111111107</c:v>
                </c:pt>
                <c:pt idx="7">
                  <c:v>0.51111111111111107</c:v>
                </c:pt>
                <c:pt idx="8">
                  <c:v>0.51111111111111107</c:v>
                </c:pt>
                <c:pt idx="9">
                  <c:v>0.51111111111111107</c:v>
                </c:pt>
                <c:pt idx="10">
                  <c:v>0.51111111111111107</c:v>
                </c:pt>
                <c:pt idx="11">
                  <c:v>0.51111111111111107</c:v>
                </c:pt>
                <c:pt idx="12">
                  <c:v>0.51111111111111107</c:v>
                </c:pt>
                <c:pt idx="13">
                  <c:v>0.51111111111111107</c:v>
                </c:pt>
                <c:pt idx="14">
                  <c:v>0.51111111111111107</c:v>
                </c:pt>
                <c:pt idx="15">
                  <c:v>0.51111111111111107</c:v>
                </c:pt>
                <c:pt idx="16">
                  <c:v>0.51111111111111107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4F-4D16-B902-924459983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'23'!$L$6:$L$22</c:f>
              <c:numCache>
                <c:formatCode>_(* #,##0_);_(* \(#,##0\);_(* "-"_);_(@_)</c:formatCode>
                <c:ptCount val="17"/>
                <c:pt idx="2">
                  <c:v>6014</c:v>
                </c:pt>
                <c:pt idx="3">
                  <c:v>3317</c:v>
                </c:pt>
                <c:pt idx="4">
                  <c:v>3601</c:v>
                </c:pt>
                <c:pt idx="5">
                  <c:v>702</c:v>
                </c:pt>
                <c:pt idx="6">
                  <c:v>2422</c:v>
                </c:pt>
                <c:pt idx="7">
                  <c:v>0</c:v>
                </c:pt>
                <c:pt idx="9">
                  <c:v>4581</c:v>
                </c:pt>
                <c:pt idx="10">
                  <c:v>4010</c:v>
                </c:pt>
                <c:pt idx="11">
                  <c:v>4962</c:v>
                </c:pt>
                <c:pt idx="12">
                  <c:v>11116</c:v>
                </c:pt>
                <c:pt idx="13">
                  <c:v>1102</c:v>
                </c:pt>
                <c:pt idx="14">
                  <c:v>589</c:v>
                </c:pt>
                <c:pt idx="15">
                  <c:v>4604</c:v>
                </c:pt>
                <c:pt idx="16">
                  <c:v>44316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4-48CF-B0CC-13D7EB893B58}"/>
            </c:ext>
          </c:extLst>
        </c:ser>
        <c:ser>
          <c:idx val="1"/>
          <c:order val="1"/>
          <c:tx>
            <c:v>계획</c:v>
          </c:tx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'23'!$J$6:$J$22</c:f>
              <c:numCache>
                <c:formatCode>_(* #,##0_);_(* \(#,##0\);_(* "-"_);_(@_)</c:formatCode>
                <c:ptCount val="17"/>
                <c:pt idx="0">
                  <c:v>0</c:v>
                </c:pt>
                <c:pt idx="1">
                  <c:v>2061</c:v>
                </c:pt>
                <c:pt idx="2">
                  <c:v>6014</c:v>
                </c:pt>
                <c:pt idx="3">
                  <c:v>3317</c:v>
                </c:pt>
                <c:pt idx="4">
                  <c:v>3601</c:v>
                </c:pt>
                <c:pt idx="5">
                  <c:v>702</c:v>
                </c:pt>
                <c:pt idx="6">
                  <c:v>2422</c:v>
                </c:pt>
                <c:pt idx="7">
                  <c:v>1482</c:v>
                </c:pt>
                <c:pt idx="8">
                  <c:v>516</c:v>
                </c:pt>
                <c:pt idx="9">
                  <c:v>4581</c:v>
                </c:pt>
                <c:pt idx="10">
                  <c:v>4010</c:v>
                </c:pt>
                <c:pt idx="11">
                  <c:v>4962</c:v>
                </c:pt>
                <c:pt idx="12">
                  <c:v>11116</c:v>
                </c:pt>
                <c:pt idx="13">
                  <c:v>1102</c:v>
                </c:pt>
                <c:pt idx="14">
                  <c:v>589</c:v>
                </c:pt>
                <c:pt idx="15">
                  <c:v>4604</c:v>
                </c:pt>
                <c:pt idx="16">
                  <c:v>44316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4-48CF-B0CC-13D7EB893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'23'!$AD$6:$AD$22</c:f>
              <c:strCache>
                <c:ptCount val="17"/>
                <c:pt idx="0">
                  <c:v>0%</c:v>
                </c:pt>
                <c:pt idx="1">
                  <c:v>0%</c:v>
                </c:pt>
                <c:pt idx="2">
                  <c:v>63%</c:v>
                </c:pt>
                <c:pt idx="3">
                  <c:v>63%</c:v>
                </c:pt>
                <c:pt idx="4">
                  <c:v>58%</c:v>
                </c:pt>
                <c:pt idx="5">
                  <c:v>17%</c:v>
                </c:pt>
                <c:pt idx="6">
                  <c:v>67%</c:v>
                </c:pt>
                <c:pt idx="7">
                  <c:v>0%</c:v>
                </c:pt>
                <c:pt idx="8">
                  <c:v>0%</c:v>
                </c:pt>
                <c:pt idx="9">
                  <c:v>100%</c:v>
                </c:pt>
                <c:pt idx="10">
                  <c:v>88%</c:v>
                </c:pt>
                <c:pt idx="11">
                  <c:v>58%</c:v>
                </c:pt>
                <c:pt idx="12">
                  <c:v>38%</c:v>
                </c:pt>
                <c:pt idx="13">
                  <c:v>25%</c:v>
                </c:pt>
                <c:pt idx="14">
                  <c:v>42%</c:v>
                </c:pt>
                <c:pt idx="15">
                  <c:v>100%</c:v>
                </c:pt>
                <c:pt idx="16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'23'!$AD$6:$AD$22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0.625</c:v>
                </c:pt>
                <c:pt idx="3">
                  <c:v>0.625</c:v>
                </c:pt>
                <c:pt idx="4">
                  <c:v>0.58333333333333337</c:v>
                </c:pt>
                <c:pt idx="5">
                  <c:v>0.16666666666666666</c:v>
                </c:pt>
                <c:pt idx="6">
                  <c:v>0.66666666666666663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0.875</c:v>
                </c:pt>
                <c:pt idx="11">
                  <c:v>0.58333333333333337</c:v>
                </c:pt>
                <c:pt idx="12">
                  <c:v>0.375</c:v>
                </c:pt>
                <c:pt idx="13">
                  <c:v>0.25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FE-4A00-9DFC-8A3D7611A17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1FE-4A00-9DFC-8A3D7611A17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'23'!$D$6:$D$22</c:f>
              <c:strCache>
                <c:ptCount val="16"/>
                <c:pt idx="1">
                  <c:v>88P</c:v>
                </c:pt>
                <c:pt idx="2">
                  <c:v>STOPPER</c:v>
                </c:pt>
                <c:pt idx="3">
                  <c:v>STOPPER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SLIDER</c:v>
                </c:pt>
                <c:pt idx="12">
                  <c:v>ADAPTER</c:v>
                </c:pt>
                <c:pt idx="13">
                  <c:v>ACTUATOR</c:v>
                </c:pt>
                <c:pt idx="14">
                  <c:v>BASE</c:v>
                </c:pt>
                <c:pt idx="15">
                  <c:v>BASE</c:v>
                </c:pt>
              </c:strCache>
            </c:strRef>
          </c:cat>
          <c:val>
            <c:numRef>
              <c:f>'23'!$AE$6:$AE$22</c:f>
              <c:numCache>
                <c:formatCode>0%</c:formatCode>
                <c:ptCount val="17"/>
                <c:pt idx="0">
                  <c:v>0.51111111111111107</c:v>
                </c:pt>
                <c:pt idx="1">
                  <c:v>0.51111111111111107</c:v>
                </c:pt>
                <c:pt idx="2">
                  <c:v>0.51111111111111107</c:v>
                </c:pt>
                <c:pt idx="3">
                  <c:v>0.51111111111111107</c:v>
                </c:pt>
                <c:pt idx="4">
                  <c:v>0.51111111111111107</c:v>
                </c:pt>
                <c:pt idx="5">
                  <c:v>0.51111111111111107</c:v>
                </c:pt>
                <c:pt idx="6">
                  <c:v>0.51111111111111107</c:v>
                </c:pt>
                <c:pt idx="7">
                  <c:v>0.51111111111111107</c:v>
                </c:pt>
                <c:pt idx="8">
                  <c:v>0.51111111111111107</c:v>
                </c:pt>
                <c:pt idx="9">
                  <c:v>0.51111111111111107</c:v>
                </c:pt>
                <c:pt idx="10">
                  <c:v>0.51111111111111107</c:v>
                </c:pt>
                <c:pt idx="11">
                  <c:v>0.51111111111111107</c:v>
                </c:pt>
                <c:pt idx="12">
                  <c:v>0.51111111111111107</c:v>
                </c:pt>
                <c:pt idx="13">
                  <c:v>0.51111111111111107</c:v>
                </c:pt>
                <c:pt idx="14">
                  <c:v>0.51111111111111107</c:v>
                </c:pt>
                <c:pt idx="15">
                  <c:v>0.51111111111111107</c:v>
                </c:pt>
                <c:pt idx="16">
                  <c:v>0.51111111111111107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FE-4A00-9DFC-8A3D7611A1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A07-47E2-AF07-67F543F493B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07-47E2-AF07-67F543F49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A07-47E2-AF07-67F543F493B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07-47E2-AF07-67F543F49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2248</c:v>
                </c:pt>
                <c:pt idx="3">
                  <c:v>2021</c:v>
                </c:pt>
                <c:pt idx="4">
                  <c:v>2209</c:v>
                </c:pt>
                <c:pt idx="5">
                  <c:v>1357</c:v>
                </c:pt>
                <c:pt idx="6">
                  <c:v>2361</c:v>
                </c:pt>
                <c:pt idx="7">
                  <c:v>6738</c:v>
                </c:pt>
                <c:pt idx="9">
                  <c:v>4727</c:v>
                </c:pt>
                <c:pt idx="10">
                  <c:v>4664</c:v>
                </c:pt>
                <c:pt idx="11">
                  <c:v>6728</c:v>
                </c:pt>
                <c:pt idx="12">
                  <c:v>4701</c:v>
                </c:pt>
                <c:pt idx="14">
                  <c:v>40172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28-4676-940F-60ABC199B2D1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2248</c:v>
                </c:pt>
                <c:pt idx="3">
                  <c:v>2021</c:v>
                </c:pt>
                <c:pt idx="4">
                  <c:v>2209</c:v>
                </c:pt>
                <c:pt idx="5">
                  <c:v>1357</c:v>
                </c:pt>
                <c:pt idx="6">
                  <c:v>2361</c:v>
                </c:pt>
                <c:pt idx="7">
                  <c:v>6738</c:v>
                </c:pt>
                <c:pt idx="8">
                  <c:v>516</c:v>
                </c:pt>
                <c:pt idx="9">
                  <c:v>4727</c:v>
                </c:pt>
                <c:pt idx="10">
                  <c:v>4664</c:v>
                </c:pt>
                <c:pt idx="11">
                  <c:v>6728</c:v>
                </c:pt>
                <c:pt idx="12">
                  <c:v>4701</c:v>
                </c:pt>
                <c:pt idx="13">
                  <c:v>4604</c:v>
                </c:pt>
                <c:pt idx="14">
                  <c:v>40172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28-4676-940F-60ABC199B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42%</c:v>
                </c:pt>
                <c:pt idx="4">
                  <c:v>38%</c:v>
                </c:pt>
                <c:pt idx="5">
                  <c:v>29%</c:v>
                </c:pt>
                <c:pt idx="6">
                  <c:v>63%</c:v>
                </c:pt>
                <c:pt idx="7">
                  <c:v>83%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33%</c:v>
                </c:pt>
                <c:pt idx="12">
                  <c:v>100%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0.41666666666666669</c:v>
                </c:pt>
                <c:pt idx="4">
                  <c:v>0.375</c:v>
                </c:pt>
                <c:pt idx="5">
                  <c:v>0.29166666666666669</c:v>
                </c:pt>
                <c:pt idx="6">
                  <c:v>0.625</c:v>
                </c:pt>
                <c:pt idx="7">
                  <c:v>0.83333333333333337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0.33333333333333331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C5-4B12-A767-210B57F82CE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9C5-4B12-A767-210B57F82CE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0.44166666666666665</c:v>
                </c:pt>
                <c:pt idx="1">
                  <c:v>0.44166666666666665</c:v>
                </c:pt>
                <c:pt idx="2">
                  <c:v>0.44166666666666665</c:v>
                </c:pt>
                <c:pt idx="3">
                  <c:v>0.44166666666666665</c:v>
                </c:pt>
                <c:pt idx="4">
                  <c:v>0.44166666666666665</c:v>
                </c:pt>
                <c:pt idx="5">
                  <c:v>0.44166666666666665</c:v>
                </c:pt>
                <c:pt idx="6">
                  <c:v>0.44166666666666665</c:v>
                </c:pt>
                <c:pt idx="7">
                  <c:v>0.44166666666666665</c:v>
                </c:pt>
                <c:pt idx="8">
                  <c:v>0.44166666666666665</c:v>
                </c:pt>
                <c:pt idx="9">
                  <c:v>0.44166666666666665</c:v>
                </c:pt>
                <c:pt idx="10">
                  <c:v>0.44166666666666665</c:v>
                </c:pt>
                <c:pt idx="11">
                  <c:v>0.44166666666666665</c:v>
                </c:pt>
                <c:pt idx="12">
                  <c:v>0.44166666666666665</c:v>
                </c:pt>
                <c:pt idx="13">
                  <c:v>0.44166666666666665</c:v>
                </c:pt>
                <c:pt idx="14">
                  <c:v>0.44166666666666665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C5-4B12-A767-210B57F82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'24'!$L$6:$L$20</c:f>
              <c:numCache>
                <c:formatCode>_(* #,##0_);_(* \(#,##0\);_(* "-"_);_(@_)</c:formatCode>
                <c:ptCount val="15"/>
                <c:pt idx="2">
                  <c:v>2248</c:v>
                </c:pt>
                <c:pt idx="3">
                  <c:v>2021</c:v>
                </c:pt>
                <c:pt idx="4">
                  <c:v>2209</c:v>
                </c:pt>
                <c:pt idx="5">
                  <c:v>1357</c:v>
                </c:pt>
                <c:pt idx="6">
                  <c:v>2361</c:v>
                </c:pt>
                <c:pt idx="7">
                  <c:v>6738</c:v>
                </c:pt>
                <c:pt idx="9">
                  <c:v>4727</c:v>
                </c:pt>
                <c:pt idx="10">
                  <c:v>4664</c:v>
                </c:pt>
                <c:pt idx="11">
                  <c:v>6728</c:v>
                </c:pt>
                <c:pt idx="12">
                  <c:v>4701</c:v>
                </c:pt>
                <c:pt idx="14">
                  <c:v>40172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1-4796-92FE-D83969DCC341}"/>
            </c:ext>
          </c:extLst>
        </c:ser>
        <c:ser>
          <c:idx val="1"/>
          <c:order val="1"/>
          <c:tx>
            <c:v>계획</c:v>
          </c:tx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2248</c:v>
                </c:pt>
                <c:pt idx="3">
                  <c:v>2021</c:v>
                </c:pt>
                <c:pt idx="4">
                  <c:v>2209</c:v>
                </c:pt>
                <c:pt idx="5">
                  <c:v>1357</c:v>
                </c:pt>
                <c:pt idx="6">
                  <c:v>2361</c:v>
                </c:pt>
                <c:pt idx="7">
                  <c:v>6738</c:v>
                </c:pt>
                <c:pt idx="8">
                  <c:v>516</c:v>
                </c:pt>
                <c:pt idx="9">
                  <c:v>4727</c:v>
                </c:pt>
                <c:pt idx="10">
                  <c:v>4664</c:v>
                </c:pt>
                <c:pt idx="11">
                  <c:v>6728</c:v>
                </c:pt>
                <c:pt idx="12">
                  <c:v>4701</c:v>
                </c:pt>
                <c:pt idx="13">
                  <c:v>4604</c:v>
                </c:pt>
                <c:pt idx="14">
                  <c:v>40172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41-4796-92FE-D83969DCC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25%</c:v>
                </c:pt>
                <c:pt idx="3">
                  <c:v>42%</c:v>
                </c:pt>
                <c:pt idx="4">
                  <c:v>38%</c:v>
                </c:pt>
                <c:pt idx="5">
                  <c:v>29%</c:v>
                </c:pt>
                <c:pt idx="6">
                  <c:v>63%</c:v>
                </c:pt>
                <c:pt idx="7">
                  <c:v>83%</c:v>
                </c:pt>
                <c:pt idx="8">
                  <c:v>0%</c:v>
                </c:pt>
                <c:pt idx="9">
                  <c:v>100%</c:v>
                </c:pt>
                <c:pt idx="10">
                  <c:v>100%</c:v>
                </c:pt>
                <c:pt idx="11">
                  <c:v>33%</c:v>
                </c:pt>
                <c:pt idx="12">
                  <c:v>100%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0.41666666666666669</c:v>
                </c:pt>
                <c:pt idx="4">
                  <c:v>0.375</c:v>
                </c:pt>
                <c:pt idx="5">
                  <c:v>0.29166666666666669</c:v>
                </c:pt>
                <c:pt idx="6">
                  <c:v>0.625</c:v>
                </c:pt>
                <c:pt idx="7">
                  <c:v>0.83333333333333337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0.33333333333333331</c:v>
                </c:pt>
                <c:pt idx="12">
                  <c:v>1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8B-44A9-B1CF-528E1AB64A04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8B-44A9-B1CF-528E1AB64A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'24'!$D$6:$D$20</c:f>
              <c:strCache>
                <c:ptCount val="14"/>
                <c:pt idx="1">
                  <c:v>88P</c:v>
                </c:pt>
                <c:pt idx="2">
                  <c:v>STOPPER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'24'!$AE$6:$AE$20</c:f>
              <c:numCache>
                <c:formatCode>0%</c:formatCode>
                <c:ptCount val="15"/>
                <c:pt idx="0">
                  <c:v>0.44166666666666665</c:v>
                </c:pt>
                <c:pt idx="1">
                  <c:v>0.44166666666666665</c:v>
                </c:pt>
                <c:pt idx="2">
                  <c:v>0.44166666666666665</c:v>
                </c:pt>
                <c:pt idx="3">
                  <c:v>0.44166666666666665</c:v>
                </c:pt>
                <c:pt idx="4">
                  <c:v>0.44166666666666665</c:v>
                </c:pt>
                <c:pt idx="5">
                  <c:v>0.44166666666666665</c:v>
                </c:pt>
                <c:pt idx="6">
                  <c:v>0.44166666666666665</c:v>
                </c:pt>
                <c:pt idx="7">
                  <c:v>0.44166666666666665</c:v>
                </c:pt>
                <c:pt idx="8">
                  <c:v>0.44166666666666665</c:v>
                </c:pt>
                <c:pt idx="9">
                  <c:v>0.44166666666666665</c:v>
                </c:pt>
                <c:pt idx="10">
                  <c:v>0.44166666666666665</c:v>
                </c:pt>
                <c:pt idx="11">
                  <c:v>0.44166666666666665</c:v>
                </c:pt>
                <c:pt idx="12">
                  <c:v>0.44166666666666665</c:v>
                </c:pt>
                <c:pt idx="13">
                  <c:v>0.44166666666666665</c:v>
                </c:pt>
                <c:pt idx="14">
                  <c:v>0.44166666666666665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8B-44A9-B1CF-528E1AB64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F9A-4841-8890-A719E26A923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A-4841-8890-A719E26A9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F9A-4841-8890-A719E26A923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9A-4841-8890-A719E26A9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2633</c:v>
                </c:pt>
                <c:pt idx="3">
                  <c:v>2907</c:v>
                </c:pt>
                <c:pt idx="4">
                  <c:v>6181</c:v>
                </c:pt>
                <c:pt idx="5">
                  <c:v>595</c:v>
                </c:pt>
                <c:pt idx="6">
                  <c:v>761</c:v>
                </c:pt>
                <c:pt idx="7">
                  <c:v>9978</c:v>
                </c:pt>
                <c:pt idx="9">
                  <c:v>1158</c:v>
                </c:pt>
                <c:pt idx="10">
                  <c:v>4834</c:v>
                </c:pt>
                <c:pt idx="11">
                  <c:v>11282</c:v>
                </c:pt>
                <c:pt idx="12">
                  <c:v>3115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D5-4371-BD25-AB3F6BF57991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2633</c:v>
                </c:pt>
                <c:pt idx="3">
                  <c:v>2907</c:v>
                </c:pt>
                <c:pt idx="4">
                  <c:v>6181</c:v>
                </c:pt>
                <c:pt idx="5">
                  <c:v>595</c:v>
                </c:pt>
                <c:pt idx="6">
                  <c:v>761</c:v>
                </c:pt>
                <c:pt idx="7">
                  <c:v>9978</c:v>
                </c:pt>
                <c:pt idx="8">
                  <c:v>516</c:v>
                </c:pt>
                <c:pt idx="9">
                  <c:v>1158</c:v>
                </c:pt>
                <c:pt idx="10">
                  <c:v>4834</c:v>
                </c:pt>
                <c:pt idx="11">
                  <c:v>11282</c:v>
                </c:pt>
                <c:pt idx="12">
                  <c:v>3115</c:v>
                </c:pt>
                <c:pt idx="13">
                  <c:v>4604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D5-4371-BD25-AB3F6BF57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63%</c:v>
                </c:pt>
                <c:pt idx="4">
                  <c:v>92%</c:v>
                </c:pt>
                <c:pt idx="5">
                  <c:v>13%</c:v>
                </c:pt>
                <c:pt idx="6">
                  <c:v>17%</c:v>
                </c:pt>
                <c:pt idx="7">
                  <c:v>92%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100%</c:v>
                </c:pt>
                <c:pt idx="12">
                  <c:v>63%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0.625</c:v>
                </c:pt>
                <c:pt idx="4">
                  <c:v>0.91666666666666663</c:v>
                </c:pt>
                <c:pt idx="5">
                  <c:v>0.125</c:v>
                </c:pt>
                <c:pt idx="6">
                  <c:v>0.16666666666666666</c:v>
                </c:pt>
                <c:pt idx="7">
                  <c:v>0.91666666666666663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1</c:v>
                </c:pt>
                <c:pt idx="12">
                  <c:v>0.625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4B-463B-91C5-E067FB10854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4B-463B-91C5-E067FB10854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0.44722222222222219</c:v>
                </c:pt>
                <c:pt idx="1">
                  <c:v>0.44722222222222219</c:v>
                </c:pt>
                <c:pt idx="2">
                  <c:v>0.44722222222222219</c:v>
                </c:pt>
                <c:pt idx="3">
                  <c:v>0.44722222222222219</c:v>
                </c:pt>
                <c:pt idx="4">
                  <c:v>0.44722222222222219</c:v>
                </c:pt>
                <c:pt idx="5">
                  <c:v>0.44722222222222219</c:v>
                </c:pt>
                <c:pt idx="6">
                  <c:v>0.44722222222222219</c:v>
                </c:pt>
                <c:pt idx="7">
                  <c:v>0.44722222222222219</c:v>
                </c:pt>
                <c:pt idx="8">
                  <c:v>0.44722222222222219</c:v>
                </c:pt>
                <c:pt idx="9">
                  <c:v>0.44722222222222219</c:v>
                </c:pt>
                <c:pt idx="10">
                  <c:v>0.44722222222222219</c:v>
                </c:pt>
                <c:pt idx="11">
                  <c:v>0.44722222222222219</c:v>
                </c:pt>
                <c:pt idx="12">
                  <c:v>0.44722222222222219</c:v>
                </c:pt>
                <c:pt idx="13">
                  <c:v>0.44722222222222219</c:v>
                </c:pt>
                <c:pt idx="14">
                  <c:v>0.44722222222222219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4B-463B-91C5-E067FB108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2">
                  <c:v>2633</c:v>
                </c:pt>
                <c:pt idx="3">
                  <c:v>2907</c:v>
                </c:pt>
                <c:pt idx="4">
                  <c:v>6181</c:v>
                </c:pt>
                <c:pt idx="5">
                  <c:v>595</c:v>
                </c:pt>
                <c:pt idx="6">
                  <c:v>761</c:v>
                </c:pt>
                <c:pt idx="7">
                  <c:v>9978</c:v>
                </c:pt>
                <c:pt idx="9">
                  <c:v>1158</c:v>
                </c:pt>
                <c:pt idx="10">
                  <c:v>4834</c:v>
                </c:pt>
                <c:pt idx="11">
                  <c:v>11282</c:v>
                </c:pt>
                <c:pt idx="12">
                  <c:v>3115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65-40F3-B9CA-83462B3C6521}"/>
            </c:ext>
          </c:extLst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2633</c:v>
                </c:pt>
                <c:pt idx="3">
                  <c:v>2907</c:v>
                </c:pt>
                <c:pt idx="4">
                  <c:v>6181</c:v>
                </c:pt>
                <c:pt idx="5">
                  <c:v>595</c:v>
                </c:pt>
                <c:pt idx="6">
                  <c:v>761</c:v>
                </c:pt>
                <c:pt idx="7">
                  <c:v>9978</c:v>
                </c:pt>
                <c:pt idx="8">
                  <c:v>516</c:v>
                </c:pt>
                <c:pt idx="9">
                  <c:v>1158</c:v>
                </c:pt>
                <c:pt idx="10">
                  <c:v>4834</c:v>
                </c:pt>
                <c:pt idx="11">
                  <c:v>11282</c:v>
                </c:pt>
                <c:pt idx="12">
                  <c:v>3115</c:v>
                </c:pt>
                <c:pt idx="13">
                  <c:v>4604</c:v>
                </c:pt>
                <c:pt idx="14">
                  <c:v>38096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65-40F3-B9CA-83462B3C6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58%</c:v>
                </c:pt>
                <c:pt idx="3">
                  <c:v>63%</c:v>
                </c:pt>
                <c:pt idx="4">
                  <c:v>92%</c:v>
                </c:pt>
                <c:pt idx="5">
                  <c:v>13%</c:v>
                </c:pt>
                <c:pt idx="6">
                  <c:v>17%</c:v>
                </c:pt>
                <c:pt idx="7">
                  <c:v>92%</c:v>
                </c:pt>
                <c:pt idx="8">
                  <c:v>0%</c:v>
                </c:pt>
                <c:pt idx="9">
                  <c:v>25%</c:v>
                </c:pt>
                <c:pt idx="10">
                  <c:v>100%</c:v>
                </c:pt>
                <c:pt idx="11">
                  <c:v>100%</c:v>
                </c:pt>
                <c:pt idx="12">
                  <c:v>63%</c:v>
                </c:pt>
                <c:pt idx="13">
                  <c:v>0%</c:v>
                </c:pt>
                <c:pt idx="14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0.58333333333333337</c:v>
                </c:pt>
                <c:pt idx="3">
                  <c:v>0.625</c:v>
                </c:pt>
                <c:pt idx="4">
                  <c:v>0.91666666666666663</c:v>
                </c:pt>
                <c:pt idx="5">
                  <c:v>0.125</c:v>
                </c:pt>
                <c:pt idx="6">
                  <c:v>0.16666666666666666</c:v>
                </c:pt>
                <c:pt idx="7">
                  <c:v>0.91666666666666663</c:v>
                </c:pt>
                <c:pt idx="8">
                  <c:v>0</c:v>
                </c:pt>
                <c:pt idx="9">
                  <c:v>0.25</c:v>
                </c:pt>
                <c:pt idx="10">
                  <c:v>1</c:v>
                </c:pt>
                <c:pt idx="11">
                  <c:v>1</c:v>
                </c:pt>
                <c:pt idx="12">
                  <c:v>0.625</c:v>
                </c:pt>
                <c:pt idx="13">
                  <c:v>0</c:v>
                </c:pt>
                <c:pt idx="1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F-4828-B8A9-C942C7F2633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17F-4828-B8A9-C942C7F2633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'25'!$D$6:$D$20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0.44722222222222219</c:v>
                </c:pt>
                <c:pt idx="1">
                  <c:v>0.44722222222222219</c:v>
                </c:pt>
                <c:pt idx="2">
                  <c:v>0.44722222222222219</c:v>
                </c:pt>
                <c:pt idx="3">
                  <c:v>0.44722222222222219</c:v>
                </c:pt>
                <c:pt idx="4">
                  <c:v>0.44722222222222219</c:v>
                </c:pt>
                <c:pt idx="5">
                  <c:v>0.44722222222222219</c:v>
                </c:pt>
                <c:pt idx="6">
                  <c:v>0.44722222222222219</c:v>
                </c:pt>
                <c:pt idx="7">
                  <c:v>0.44722222222222219</c:v>
                </c:pt>
                <c:pt idx="8">
                  <c:v>0.44722222222222219</c:v>
                </c:pt>
                <c:pt idx="9">
                  <c:v>0.44722222222222219</c:v>
                </c:pt>
                <c:pt idx="10">
                  <c:v>0.44722222222222219</c:v>
                </c:pt>
                <c:pt idx="11">
                  <c:v>0.44722222222222219</c:v>
                </c:pt>
                <c:pt idx="12">
                  <c:v>0.44722222222222219</c:v>
                </c:pt>
                <c:pt idx="13">
                  <c:v>0.44722222222222219</c:v>
                </c:pt>
                <c:pt idx="14">
                  <c:v>0.44722222222222219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7F-4828-B8A9-C942C7F2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E55-40FC-B885-0F4EAC254B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55-40FC-B885-0F4EAC25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E55-40FC-B885-0F4EAC254BF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E55-40FC-B885-0F4EAC254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4507</c:v>
                </c:pt>
                <c:pt idx="3">
                  <c:v>1154</c:v>
                </c:pt>
                <c:pt idx="4">
                  <c:v>2749</c:v>
                </c:pt>
                <c:pt idx="5">
                  <c:v>7284</c:v>
                </c:pt>
                <c:pt idx="7">
                  <c:v>5576</c:v>
                </c:pt>
                <c:pt idx="8">
                  <c:v>9266</c:v>
                </c:pt>
                <c:pt idx="11">
                  <c:v>328</c:v>
                </c:pt>
                <c:pt idx="12">
                  <c:v>11450</c:v>
                </c:pt>
                <c:pt idx="13">
                  <c:v>3459</c:v>
                </c:pt>
                <c:pt idx="15">
                  <c:v>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1A-411B-A011-6E25BCB21F8F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4507</c:v>
                </c:pt>
                <c:pt idx="3">
                  <c:v>1154</c:v>
                </c:pt>
                <c:pt idx="4">
                  <c:v>2749</c:v>
                </c:pt>
                <c:pt idx="5">
                  <c:v>7284</c:v>
                </c:pt>
                <c:pt idx="6">
                  <c:v>595</c:v>
                </c:pt>
                <c:pt idx="7">
                  <c:v>5576</c:v>
                </c:pt>
                <c:pt idx="8">
                  <c:v>9266</c:v>
                </c:pt>
                <c:pt idx="9">
                  <c:v>516</c:v>
                </c:pt>
                <c:pt idx="10">
                  <c:v>1158</c:v>
                </c:pt>
                <c:pt idx="11">
                  <c:v>328</c:v>
                </c:pt>
                <c:pt idx="12">
                  <c:v>11450</c:v>
                </c:pt>
                <c:pt idx="13">
                  <c:v>3459</c:v>
                </c:pt>
                <c:pt idx="14">
                  <c:v>4604</c:v>
                </c:pt>
                <c:pt idx="15">
                  <c:v>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1A-411B-A011-6E25BCB21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25%</c:v>
                </c:pt>
                <c:pt idx="4">
                  <c:v>67%</c:v>
                </c:pt>
                <c:pt idx="5">
                  <c:v>92%</c:v>
                </c:pt>
                <c:pt idx="6">
                  <c:v>0%</c:v>
                </c:pt>
                <c:pt idx="7">
                  <c:v>71%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21%</c:v>
                </c:pt>
                <c:pt idx="12">
                  <c:v>100%</c:v>
                </c:pt>
                <c:pt idx="13">
                  <c:v>79%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0.25</c:v>
                </c:pt>
                <c:pt idx="4">
                  <c:v>0.66666666666666663</c:v>
                </c:pt>
                <c:pt idx="5">
                  <c:v>0.91666666666666663</c:v>
                </c:pt>
                <c:pt idx="6">
                  <c:v>0</c:v>
                </c:pt>
                <c:pt idx="7">
                  <c:v>0.70833333333333337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0.20833333333333334</c:v>
                </c:pt>
                <c:pt idx="12">
                  <c:v>1</c:v>
                </c:pt>
                <c:pt idx="13">
                  <c:v>0.79166666666666663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95-4B6F-9157-C3B7B1E66F19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95-4B6F-9157-C3B7B1E66F1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0.45833333333333331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95-4B6F-9157-C3B7B1E66F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'26'!$L$6:$L$21</c:f>
              <c:numCache>
                <c:formatCode>_(* #,##0_);_(* \(#,##0\);_(* "-"_);_(@_)</c:formatCode>
                <c:ptCount val="16"/>
                <c:pt idx="2">
                  <c:v>4507</c:v>
                </c:pt>
                <c:pt idx="3">
                  <c:v>1154</c:v>
                </c:pt>
                <c:pt idx="4">
                  <c:v>2749</c:v>
                </c:pt>
                <c:pt idx="5">
                  <c:v>7284</c:v>
                </c:pt>
                <c:pt idx="7">
                  <c:v>5576</c:v>
                </c:pt>
                <c:pt idx="8">
                  <c:v>9266</c:v>
                </c:pt>
                <c:pt idx="11">
                  <c:v>328</c:v>
                </c:pt>
                <c:pt idx="12">
                  <c:v>11450</c:v>
                </c:pt>
                <c:pt idx="13">
                  <c:v>3459</c:v>
                </c:pt>
                <c:pt idx="15">
                  <c:v>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C-4DA8-A599-516B77E81216}"/>
            </c:ext>
          </c:extLst>
        </c:ser>
        <c:ser>
          <c:idx val="1"/>
          <c:order val="1"/>
          <c:tx>
            <c:v>계획</c:v>
          </c:tx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4507</c:v>
                </c:pt>
                <c:pt idx="3">
                  <c:v>1154</c:v>
                </c:pt>
                <c:pt idx="4">
                  <c:v>2749</c:v>
                </c:pt>
                <c:pt idx="5">
                  <c:v>7284</c:v>
                </c:pt>
                <c:pt idx="6">
                  <c:v>595</c:v>
                </c:pt>
                <c:pt idx="7">
                  <c:v>5576</c:v>
                </c:pt>
                <c:pt idx="8">
                  <c:v>9266</c:v>
                </c:pt>
                <c:pt idx="9">
                  <c:v>516</c:v>
                </c:pt>
                <c:pt idx="10">
                  <c:v>1158</c:v>
                </c:pt>
                <c:pt idx="11">
                  <c:v>328</c:v>
                </c:pt>
                <c:pt idx="12">
                  <c:v>11450</c:v>
                </c:pt>
                <c:pt idx="13">
                  <c:v>3459</c:v>
                </c:pt>
                <c:pt idx="14">
                  <c:v>4604</c:v>
                </c:pt>
                <c:pt idx="15">
                  <c:v>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C-4DA8-A599-516B77E81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'26'!$AD$6:$AD$21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92%</c:v>
                </c:pt>
                <c:pt idx="3">
                  <c:v>25%</c:v>
                </c:pt>
                <c:pt idx="4">
                  <c:v>67%</c:v>
                </c:pt>
                <c:pt idx="5">
                  <c:v>92%</c:v>
                </c:pt>
                <c:pt idx="6">
                  <c:v>0%</c:v>
                </c:pt>
                <c:pt idx="7">
                  <c:v>71%</c:v>
                </c:pt>
                <c:pt idx="8">
                  <c:v>92%</c:v>
                </c:pt>
                <c:pt idx="9">
                  <c:v>0%</c:v>
                </c:pt>
                <c:pt idx="10">
                  <c:v>0%</c:v>
                </c:pt>
                <c:pt idx="11">
                  <c:v>21%</c:v>
                </c:pt>
                <c:pt idx="12">
                  <c:v>100%</c:v>
                </c:pt>
                <c:pt idx="13">
                  <c:v>79%</c:v>
                </c:pt>
                <c:pt idx="14">
                  <c:v>0%</c:v>
                </c:pt>
                <c:pt idx="15">
                  <c:v>50%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0.91666666666666663</c:v>
                </c:pt>
                <c:pt idx="3">
                  <c:v>0.25</c:v>
                </c:pt>
                <c:pt idx="4">
                  <c:v>0.66666666666666663</c:v>
                </c:pt>
                <c:pt idx="5">
                  <c:v>0.91666666666666663</c:v>
                </c:pt>
                <c:pt idx="6">
                  <c:v>0</c:v>
                </c:pt>
                <c:pt idx="7">
                  <c:v>0.70833333333333337</c:v>
                </c:pt>
                <c:pt idx="8">
                  <c:v>0.91666666666666663</c:v>
                </c:pt>
                <c:pt idx="9">
                  <c:v>0</c:v>
                </c:pt>
                <c:pt idx="10">
                  <c:v>0</c:v>
                </c:pt>
                <c:pt idx="11">
                  <c:v>0.20833333333333334</c:v>
                </c:pt>
                <c:pt idx="12">
                  <c:v>1</c:v>
                </c:pt>
                <c:pt idx="13">
                  <c:v>0.79166666666666663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EC-46E1-93B0-089CC1103BC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EC-46E1-93B0-089CC1103BC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'26'!$D$6:$D$21</c:f>
              <c:strCache>
                <c:ptCount val="15"/>
                <c:pt idx="1">
                  <c:v>88P</c:v>
                </c:pt>
                <c:pt idx="2">
                  <c:v>LEAD GUIDE</c:v>
                </c:pt>
                <c:pt idx="3">
                  <c:v>ACTUATOR</c:v>
                </c:pt>
                <c:pt idx="4">
                  <c:v>ADAPTER</c:v>
                </c:pt>
                <c:pt idx="5">
                  <c:v>SP</c:v>
                </c:pt>
                <c:pt idx="6">
                  <c:v>ADAPTER</c:v>
                </c:pt>
                <c:pt idx="7">
                  <c:v>LATCH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4">
                  <c:v>BASE</c:v>
                </c:pt>
              </c:strCache>
            </c:strRef>
          </c:cat>
          <c:val>
            <c:numRef>
              <c:f>'26'!$AE$6:$AE$21</c:f>
              <c:numCache>
                <c:formatCode>0%</c:formatCode>
                <c:ptCount val="16"/>
                <c:pt idx="0">
                  <c:v>0.45833333333333331</c:v>
                </c:pt>
                <c:pt idx="1">
                  <c:v>0.45833333333333331</c:v>
                </c:pt>
                <c:pt idx="2">
                  <c:v>0.45833333333333331</c:v>
                </c:pt>
                <c:pt idx="3">
                  <c:v>0.45833333333333331</c:v>
                </c:pt>
                <c:pt idx="4">
                  <c:v>0.45833333333333331</c:v>
                </c:pt>
                <c:pt idx="5">
                  <c:v>0.45833333333333331</c:v>
                </c:pt>
                <c:pt idx="6">
                  <c:v>0.45833333333333331</c:v>
                </c:pt>
                <c:pt idx="7">
                  <c:v>0.45833333333333331</c:v>
                </c:pt>
                <c:pt idx="8">
                  <c:v>0.45833333333333331</c:v>
                </c:pt>
                <c:pt idx="9">
                  <c:v>0.45833333333333331</c:v>
                </c:pt>
                <c:pt idx="10">
                  <c:v>0.45833333333333331</c:v>
                </c:pt>
                <c:pt idx="11">
                  <c:v>0.45833333333333331</c:v>
                </c:pt>
                <c:pt idx="12">
                  <c:v>0.45833333333333331</c:v>
                </c:pt>
                <c:pt idx="13">
                  <c:v>0.45833333333333331</c:v>
                </c:pt>
                <c:pt idx="14">
                  <c:v>0.45833333333333331</c:v>
                </c:pt>
                <c:pt idx="15">
                  <c:v>0.45833333333333331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EC-46E1-93B0-089CC1103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CA6A-4AFD-8770-0243A4AF11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6A-4AFD-8770-0243A4AF1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6A-4AFD-8770-0243A4AF11C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A6A-4AFD-8770-0243A4AF1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1352</c:v>
                </c:pt>
                <c:pt idx="3">
                  <c:v>2384</c:v>
                </c:pt>
                <c:pt idx="4">
                  <c:v>1089</c:v>
                </c:pt>
                <c:pt idx="6">
                  <c:v>4850</c:v>
                </c:pt>
                <c:pt idx="7">
                  <c:v>3810</c:v>
                </c:pt>
                <c:pt idx="12">
                  <c:v>2474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AA-4BF8-A138-DDD665B14236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1352</c:v>
                </c:pt>
                <c:pt idx="3">
                  <c:v>2384</c:v>
                </c:pt>
                <c:pt idx="4">
                  <c:v>1089</c:v>
                </c:pt>
                <c:pt idx="5">
                  <c:v>595</c:v>
                </c:pt>
                <c:pt idx="6">
                  <c:v>4850</c:v>
                </c:pt>
                <c:pt idx="7">
                  <c:v>3810</c:v>
                </c:pt>
                <c:pt idx="8">
                  <c:v>516</c:v>
                </c:pt>
                <c:pt idx="9">
                  <c:v>1158</c:v>
                </c:pt>
                <c:pt idx="10">
                  <c:v>328</c:v>
                </c:pt>
                <c:pt idx="11">
                  <c:v>11450</c:v>
                </c:pt>
                <c:pt idx="12">
                  <c:v>2474</c:v>
                </c:pt>
                <c:pt idx="13">
                  <c:v>4604</c:v>
                </c:pt>
                <c:pt idx="14">
                  <c:v>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AA-4BF8-A138-DDD665B14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29%</c:v>
                </c:pt>
                <c:pt idx="4">
                  <c:v>25%</c:v>
                </c:pt>
                <c:pt idx="5">
                  <c:v>0%</c:v>
                </c:pt>
                <c:pt idx="6">
                  <c:v>42%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0.29166666666666669</c:v>
                </c:pt>
                <c:pt idx="4">
                  <c:v>0.25</c:v>
                </c:pt>
                <c:pt idx="5">
                  <c:v>0</c:v>
                </c:pt>
                <c:pt idx="6">
                  <c:v>0.41666666666666669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3F-4F83-9736-4DFBE02A9328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43F-4F83-9736-4DFBE02A9328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0.1277777777777778</c:v>
                </c:pt>
                <c:pt idx="1">
                  <c:v>0.1277777777777778</c:v>
                </c:pt>
                <c:pt idx="2">
                  <c:v>0.1277777777777778</c:v>
                </c:pt>
                <c:pt idx="3">
                  <c:v>0.1277777777777778</c:v>
                </c:pt>
                <c:pt idx="4">
                  <c:v>0.1277777777777778</c:v>
                </c:pt>
                <c:pt idx="5">
                  <c:v>0.1277777777777778</c:v>
                </c:pt>
                <c:pt idx="6">
                  <c:v>0.1277777777777778</c:v>
                </c:pt>
                <c:pt idx="7">
                  <c:v>0.1277777777777778</c:v>
                </c:pt>
                <c:pt idx="8">
                  <c:v>0.1277777777777778</c:v>
                </c:pt>
                <c:pt idx="9">
                  <c:v>0.1277777777777778</c:v>
                </c:pt>
                <c:pt idx="10">
                  <c:v>0.1277777777777778</c:v>
                </c:pt>
                <c:pt idx="11">
                  <c:v>0.1277777777777778</c:v>
                </c:pt>
                <c:pt idx="12">
                  <c:v>0.1277777777777778</c:v>
                </c:pt>
                <c:pt idx="13">
                  <c:v>0.1277777777777778</c:v>
                </c:pt>
                <c:pt idx="14">
                  <c:v>0.1277777777777778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F-4F83-9736-4DFBE02A9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2">
                  <c:v>1352</c:v>
                </c:pt>
                <c:pt idx="3">
                  <c:v>2384</c:v>
                </c:pt>
                <c:pt idx="4">
                  <c:v>1089</c:v>
                </c:pt>
                <c:pt idx="6">
                  <c:v>4850</c:v>
                </c:pt>
                <c:pt idx="7">
                  <c:v>3810</c:v>
                </c:pt>
                <c:pt idx="12">
                  <c:v>2474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92-4F69-BAAF-7EB6FB0B14EB}"/>
            </c:ext>
          </c:extLst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1352</c:v>
                </c:pt>
                <c:pt idx="3">
                  <c:v>2384</c:v>
                </c:pt>
                <c:pt idx="4">
                  <c:v>1089</c:v>
                </c:pt>
                <c:pt idx="5">
                  <c:v>595</c:v>
                </c:pt>
                <c:pt idx="6">
                  <c:v>4850</c:v>
                </c:pt>
                <c:pt idx="7">
                  <c:v>3810</c:v>
                </c:pt>
                <c:pt idx="8">
                  <c:v>516</c:v>
                </c:pt>
                <c:pt idx="9">
                  <c:v>1158</c:v>
                </c:pt>
                <c:pt idx="10">
                  <c:v>328</c:v>
                </c:pt>
                <c:pt idx="11">
                  <c:v>11450</c:v>
                </c:pt>
                <c:pt idx="12">
                  <c:v>2474</c:v>
                </c:pt>
                <c:pt idx="13">
                  <c:v>4604</c:v>
                </c:pt>
                <c:pt idx="14">
                  <c:v>34480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92-4F69-BAAF-7EB6FB0B1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29%</c:v>
                </c:pt>
                <c:pt idx="3">
                  <c:v>29%</c:v>
                </c:pt>
                <c:pt idx="4">
                  <c:v>25%</c:v>
                </c:pt>
                <c:pt idx="5">
                  <c:v>0%</c:v>
                </c:pt>
                <c:pt idx="6">
                  <c:v>42%</c:v>
                </c:pt>
                <c:pt idx="7">
                  <c:v>25%</c:v>
                </c:pt>
                <c:pt idx="8">
                  <c:v>0%</c:v>
                </c:pt>
                <c:pt idx="9">
                  <c:v>0%</c:v>
                </c:pt>
                <c:pt idx="10">
                  <c:v>0%</c:v>
                </c:pt>
                <c:pt idx="11">
                  <c:v>0%</c:v>
                </c:pt>
                <c:pt idx="12">
                  <c:v>42%</c:v>
                </c:pt>
                <c:pt idx="13">
                  <c:v>0%</c:v>
                </c:pt>
                <c:pt idx="14">
                  <c:v>0%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0.29166666666666669</c:v>
                </c:pt>
                <c:pt idx="3">
                  <c:v>0.29166666666666669</c:v>
                </c:pt>
                <c:pt idx="4">
                  <c:v>0.25</c:v>
                </c:pt>
                <c:pt idx="5">
                  <c:v>0</c:v>
                </c:pt>
                <c:pt idx="6">
                  <c:v>0.41666666666666669</c:v>
                </c:pt>
                <c:pt idx="7">
                  <c:v>0.25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0.41666666666666669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2-4949-B685-B858A6761896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EB2-4949-B685-B858A676189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'27'!$D$6:$D$20</c:f>
              <c:strCache>
                <c:ptCount val="14"/>
                <c:pt idx="1">
                  <c:v>88P</c:v>
                </c:pt>
                <c:pt idx="2">
                  <c:v>LEAD GUIDE</c:v>
                </c:pt>
                <c:pt idx="3">
                  <c:v>ADAPTER</c:v>
                </c:pt>
                <c:pt idx="4">
                  <c:v>SP</c:v>
                </c:pt>
                <c:pt idx="5">
                  <c:v>ADAPTER</c:v>
                </c:pt>
                <c:pt idx="6">
                  <c:v>LATCH</c:v>
                </c:pt>
                <c:pt idx="7">
                  <c:v>BASE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LEAD GUIDE</c:v>
                </c:pt>
                <c:pt idx="13">
                  <c:v>BASE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0.1277777777777778</c:v>
                </c:pt>
                <c:pt idx="1">
                  <c:v>0.1277777777777778</c:v>
                </c:pt>
                <c:pt idx="2">
                  <c:v>0.1277777777777778</c:v>
                </c:pt>
                <c:pt idx="3">
                  <c:v>0.1277777777777778</c:v>
                </c:pt>
                <c:pt idx="4">
                  <c:v>0.1277777777777778</c:v>
                </c:pt>
                <c:pt idx="5">
                  <c:v>0.1277777777777778</c:v>
                </c:pt>
                <c:pt idx="6">
                  <c:v>0.1277777777777778</c:v>
                </c:pt>
                <c:pt idx="7">
                  <c:v>0.1277777777777778</c:v>
                </c:pt>
                <c:pt idx="8">
                  <c:v>0.1277777777777778</c:v>
                </c:pt>
                <c:pt idx="9">
                  <c:v>0.1277777777777778</c:v>
                </c:pt>
                <c:pt idx="10">
                  <c:v>0.1277777777777778</c:v>
                </c:pt>
                <c:pt idx="11">
                  <c:v>0.1277777777777778</c:v>
                </c:pt>
                <c:pt idx="12">
                  <c:v>0.1277777777777778</c:v>
                </c:pt>
                <c:pt idx="13">
                  <c:v>0.1277777777777778</c:v>
                </c:pt>
                <c:pt idx="14">
                  <c:v>0.1277777777777778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2-4949-B685-B858A6761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40E-480A-A995-93E910AE2DE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0E-480A-A995-93E910AE2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40E-480A-A995-93E910AE2DE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E-480A-A995-93E910AE2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2">
                  <c:v>1741</c:v>
                </c:pt>
                <c:pt idx="3">
                  <c:v>3007</c:v>
                </c:pt>
                <c:pt idx="5">
                  <c:v>15594</c:v>
                </c:pt>
                <c:pt idx="6">
                  <c:v>1336</c:v>
                </c:pt>
                <c:pt idx="8">
                  <c:v>6546</c:v>
                </c:pt>
                <c:pt idx="10">
                  <c:v>2517</c:v>
                </c:pt>
                <c:pt idx="13">
                  <c:v>2365</c:v>
                </c:pt>
                <c:pt idx="14">
                  <c:v>317</c:v>
                </c:pt>
                <c:pt idx="15">
                  <c:v>0</c:v>
                </c:pt>
                <c:pt idx="17">
                  <c:v>62764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5E-4889-B51A-D77D72A41F74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1741</c:v>
                </c:pt>
                <c:pt idx="3">
                  <c:v>3007</c:v>
                </c:pt>
                <c:pt idx="4">
                  <c:v>2384</c:v>
                </c:pt>
                <c:pt idx="5">
                  <c:v>15594</c:v>
                </c:pt>
                <c:pt idx="6">
                  <c:v>1336</c:v>
                </c:pt>
                <c:pt idx="7">
                  <c:v>4850</c:v>
                </c:pt>
                <c:pt idx="8">
                  <c:v>6546</c:v>
                </c:pt>
                <c:pt idx="9">
                  <c:v>516</c:v>
                </c:pt>
                <c:pt idx="10">
                  <c:v>2517</c:v>
                </c:pt>
                <c:pt idx="11">
                  <c:v>328</c:v>
                </c:pt>
                <c:pt idx="12">
                  <c:v>11450</c:v>
                </c:pt>
                <c:pt idx="13">
                  <c:v>2365</c:v>
                </c:pt>
                <c:pt idx="14">
                  <c:v>317</c:v>
                </c:pt>
                <c:pt idx="15">
                  <c:v>2365</c:v>
                </c:pt>
                <c:pt idx="16">
                  <c:v>4604</c:v>
                </c:pt>
                <c:pt idx="17">
                  <c:v>62764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5E-4889-B51A-D77D72A41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58%</c:v>
                </c:pt>
                <c:pt idx="4">
                  <c:v>0%</c:v>
                </c:pt>
                <c:pt idx="5">
                  <c:v>100%</c:v>
                </c:pt>
                <c:pt idx="6">
                  <c:v>29%</c:v>
                </c:pt>
                <c:pt idx="7">
                  <c:v>0%</c:v>
                </c:pt>
                <c:pt idx="8">
                  <c:v>67%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0%</c:v>
                </c:pt>
                <c:pt idx="13">
                  <c:v>42%</c:v>
                </c:pt>
                <c:pt idx="14">
                  <c:v>17%</c:v>
                </c:pt>
                <c:pt idx="15">
                  <c:v>0%</c:v>
                </c:pt>
                <c:pt idx="16">
                  <c:v>0%</c:v>
                </c:pt>
                <c:pt idx="17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0.58333333333333337</c:v>
                </c:pt>
                <c:pt idx="4">
                  <c:v>0</c:v>
                </c:pt>
                <c:pt idx="5">
                  <c:v>1</c:v>
                </c:pt>
                <c:pt idx="6">
                  <c:v>0.29166666666666669</c:v>
                </c:pt>
                <c:pt idx="7">
                  <c:v>0</c:v>
                </c:pt>
                <c:pt idx="8">
                  <c:v>0.66666666666666663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</c:v>
                </c:pt>
                <c:pt idx="16">
                  <c:v>0</c:v>
                </c:pt>
                <c:pt idx="17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EE-4A42-AD5F-0F63D427FF11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4EE-4A42-AD5F-0F63D427FF1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0.32500000000000001</c:v>
                </c:pt>
                <c:pt idx="1">
                  <c:v>0.32500000000000001</c:v>
                </c:pt>
                <c:pt idx="2">
                  <c:v>0.32500000000000001</c:v>
                </c:pt>
                <c:pt idx="3">
                  <c:v>0.32500000000000001</c:v>
                </c:pt>
                <c:pt idx="4">
                  <c:v>0.32500000000000001</c:v>
                </c:pt>
                <c:pt idx="5">
                  <c:v>0.32500000000000001</c:v>
                </c:pt>
                <c:pt idx="6">
                  <c:v>0.32500000000000001</c:v>
                </c:pt>
                <c:pt idx="7">
                  <c:v>0.32500000000000001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0.32500000000000001</c:v>
                </c:pt>
                <c:pt idx="12">
                  <c:v>0.32500000000000001</c:v>
                </c:pt>
                <c:pt idx="13">
                  <c:v>0.32500000000000001</c:v>
                </c:pt>
                <c:pt idx="14">
                  <c:v>0.32500000000000001</c:v>
                </c:pt>
                <c:pt idx="15">
                  <c:v>0.32500000000000001</c:v>
                </c:pt>
                <c:pt idx="16">
                  <c:v>0.32500000000000001</c:v>
                </c:pt>
                <c:pt idx="17">
                  <c:v>0.32500000000000001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EE-4A42-AD5F-0F63D427F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'28'!$L$6:$L$23</c:f>
              <c:numCache>
                <c:formatCode>_(* #,##0_);_(* \(#,##0\);_(* "-"_);_(@_)</c:formatCode>
                <c:ptCount val="18"/>
                <c:pt idx="2">
                  <c:v>1741</c:v>
                </c:pt>
                <c:pt idx="3">
                  <c:v>3007</c:v>
                </c:pt>
                <c:pt idx="5">
                  <c:v>15594</c:v>
                </c:pt>
                <c:pt idx="6">
                  <c:v>1336</c:v>
                </c:pt>
                <c:pt idx="8">
                  <c:v>6546</c:v>
                </c:pt>
                <c:pt idx="10">
                  <c:v>2517</c:v>
                </c:pt>
                <c:pt idx="13">
                  <c:v>2365</c:v>
                </c:pt>
                <c:pt idx="14">
                  <c:v>317</c:v>
                </c:pt>
                <c:pt idx="15">
                  <c:v>0</c:v>
                </c:pt>
                <c:pt idx="17">
                  <c:v>62764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C-49D1-9667-93A93BE4D878}"/>
            </c:ext>
          </c:extLst>
        </c:ser>
        <c:ser>
          <c:idx val="1"/>
          <c:order val="1"/>
          <c:tx>
            <c:v>계획</c:v>
          </c:tx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'28'!$J$6:$J$23</c:f>
              <c:numCache>
                <c:formatCode>_(* #,##0_);_(* \(#,##0\);_(* "-"_);_(@_)</c:formatCode>
                <c:ptCount val="18"/>
                <c:pt idx="0">
                  <c:v>0</c:v>
                </c:pt>
                <c:pt idx="1">
                  <c:v>2061</c:v>
                </c:pt>
                <c:pt idx="2">
                  <c:v>1741</c:v>
                </c:pt>
                <c:pt idx="3">
                  <c:v>3007</c:v>
                </c:pt>
                <c:pt idx="4">
                  <c:v>2384</c:v>
                </c:pt>
                <c:pt idx="5">
                  <c:v>15594</c:v>
                </c:pt>
                <c:pt idx="6">
                  <c:v>1336</c:v>
                </c:pt>
                <c:pt idx="7">
                  <c:v>4850</c:v>
                </c:pt>
                <c:pt idx="8">
                  <c:v>6546</c:v>
                </c:pt>
                <c:pt idx="9">
                  <c:v>516</c:v>
                </c:pt>
                <c:pt idx="10">
                  <c:v>2517</c:v>
                </c:pt>
                <c:pt idx="11">
                  <c:v>328</c:v>
                </c:pt>
                <c:pt idx="12">
                  <c:v>11450</c:v>
                </c:pt>
                <c:pt idx="13">
                  <c:v>2365</c:v>
                </c:pt>
                <c:pt idx="14">
                  <c:v>317</c:v>
                </c:pt>
                <c:pt idx="15">
                  <c:v>2365</c:v>
                </c:pt>
                <c:pt idx="16">
                  <c:v>4604</c:v>
                </c:pt>
                <c:pt idx="17">
                  <c:v>62764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C-49D1-9667-93A93BE4D8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'28'!$AD$6:$AD$23</c:f>
              <c:strCache>
                <c:ptCount val="18"/>
                <c:pt idx="0">
                  <c:v>0%</c:v>
                </c:pt>
                <c:pt idx="1">
                  <c:v>0%</c:v>
                </c:pt>
                <c:pt idx="2">
                  <c:v>33%</c:v>
                </c:pt>
                <c:pt idx="3">
                  <c:v>58%</c:v>
                </c:pt>
                <c:pt idx="4">
                  <c:v>0%</c:v>
                </c:pt>
                <c:pt idx="5">
                  <c:v>100%</c:v>
                </c:pt>
                <c:pt idx="6">
                  <c:v>29%</c:v>
                </c:pt>
                <c:pt idx="7">
                  <c:v>0%</c:v>
                </c:pt>
                <c:pt idx="8">
                  <c:v>67%</c:v>
                </c:pt>
                <c:pt idx="9">
                  <c:v>0%</c:v>
                </c:pt>
                <c:pt idx="10">
                  <c:v>50%</c:v>
                </c:pt>
                <c:pt idx="11">
                  <c:v>0%</c:v>
                </c:pt>
                <c:pt idx="12">
                  <c:v>0%</c:v>
                </c:pt>
                <c:pt idx="13">
                  <c:v>42%</c:v>
                </c:pt>
                <c:pt idx="14">
                  <c:v>17%</c:v>
                </c:pt>
                <c:pt idx="15">
                  <c:v>0%</c:v>
                </c:pt>
                <c:pt idx="16">
                  <c:v>0%</c:v>
                </c:pt>
                <c:pt idx="17">
                  <c:v>92%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'28'!$AD$6:$AD$23</c:f>
              <c:numCache>
                <c:formatCode>0%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0.58333333333333337</c:v>
                </c:pt>
                <c:pt idx="4">
                  <c:v>0</c:v>
                </c:pt>
                <c:pt idx="5">
                  <c:v>1</c:v>
                </c:pt>
                <c:pt idx="6">
                  <c:v>0.29166666666666669</c:v>
                </c:pt>
                <c:pt idx="7">
                  <c:v>0</c:v>
                </c:pt>
                <c:pt idx="8">
                  <c:v>0.66666666666666663</c:v>
                </c:pt>
                <c:pt idx="9">
                  <c:v>0</c:v>
                </c:pt>
                <c:pt idx="10">
                  <c:v>0.5</c:v>
                </c:pt>
                <c:pt idx="11">
                  <c:v>0</c:v>
                </c:pt>
                <c:pt idx="12">
                  <c:v>0</c:v>
                </c:pt>
                <c:pt idx="13">
                  <c:v>0.41666666666666669</c:v>
                </c:pt>
                <c:pt idx="14">
                  <c:v>0.16666666666666666</c:v>
                </c:pt>
                <c:pt idx="15">
                  <c:v>0</c:v>
                </c:pt>
                <c:pt idx="16">
                  <c:v>0</c:v>
                </c:pt>
                <c:pt idx="17">
                  <c:v>0.91666666666666663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91-44D6-A809-1F216A1A5BE7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D91-44D6-A809-1F216A1A5BE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'28'!$D$6:$D$23</c:f>
              <c:strCache>
                <c:ptCount val="17"/>
                <c:pt idx="1">
                  <c:v>88P</c:v>
                </c:pt>
                <c:pt idx="2">
                  <c:v>LEAD GUIDE</c:v>
                </c:pt>
                <c:pt idx="3">
                  <c:v>COVER</c:v>
                </c:pt>
                <c:pt idx="4">
                  <c:v>ACTUATOR</c:v>
                </c:pt>
                <c:pt idx="5">
                  <c:v>SP</c:v>
                </c:pt>
                <c:pt idx="6">
                  <c:v>COVER</c:v>
                </c:pt>
                <c:pt idx="7">
                  <c:v>BASE</c:v>
                </c:pt>
                <c:pt idx="8">
                  <c:v>BASE</c:v>
                </c:pt>
                <c:pt idx="9">
                  <c:v>BASE</c:v>
                </c:pt>
                <c:pt idx="10">
                  <c:v>ADAPTER</c:v>
                </c:pt>
                <c:pt idx="11">
                  <c:v>COVER</c:v>
                </c:pt>
                <c:pt idx="12">
                  <c:v>COVER</c:v>
                </c:pt>
                <c:pt idx="13">
                  <c:v>LEAD GUIDE</c:v>
                </c:pt>
                <c:pt idx="15">
                  <c:v>STOPPER</c:v>
                </c:pt>
                <c:pt idx="16">
                  <c:v>BASE</c:v>
                </c:pt>
              </c:strCache>
            </c:strRef>
          </c:cat>
          <c:val>
            <c:numRef>
              <c:f>'28'!$AE$6:$AE$23</c:f>
              <c:numCache>
                <c:formatCode>0%</c:formatCode>
                <c:ptCount val="18"/>
                <c:pt idx="0">
                  <c:v>0.32500000000000001</c:v>
                </c:pt>
                <c:pt idx="1">
                  <c:v>0.32500000000000001</c:v>
                </c:pt>
                <c:pt idx="2">
                  <c:v>0.32500000000000001</c:v>
                </c:pt>
                <c:pt idx="3">
                  <c:v>0.32500000000000001</c:v>
                </c:pt>
                <c:pt idx="4">
                  <c:v>0.32500000000000001</c:v>
                </c:pt>
                <c:pt idx="5">
                  <c:v>0.32500000000000001</c:v>
                </c:pt>
                <c:pt idx="6">
                  <c:v>0.32500000000000001</c:v>
                </c:pt>
                <c:pt idx="7">
                  <c:v>0.32500000000000001</c:v>
                </c:pt>
                <c:pt idx="8">
                  <c:v>0.32500000000000001</c:v>
                </c:pt>
                <c:pt idx="9">
                  <c:v>0.32500000000000001</c:v>
                </c:pt>
                <c:pt idx="10">
                  <c:v>0.32500000000000001</c:v>
                </c:pt>
                <c:pt idx="11">
                  <c:v>0.32500000000000001</c:v>
                </c:pt>
                <c:pt idx="12">
                  <c:v>0.32500000000000001</c:v>
                </c:pt>
                <c:pt idx="13">
                  <c:v>0.32500000000000001</c:v>
                </c:pt>
                <c:pt idx="14">
                  <c:v>0.32500000000000001</c:v>
                </c:pt>
                <c:pt idx="15">
                  <c:v>0.32500000000000001</c:v>
                </c:pt>
                <c:pt idx="16">
                  <c:v>0.32500000000000001</c:v>
                </c:pt>
                <c:pt idx="17">
                  <c:v>0.32500000000000001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91-44D6-A809-1F216A1A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FA8E-4FC8-9077-4C78EFF9EB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E-4FC8-9077-4C78EFF9E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8E-4FC8-9077-4C78EFF9EB0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8E-4FC8-9077-4C78EFF9E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3599</c:v>
                </c:pt>
                <c:pt idx="4">
                  <c:v>5320</c:v>
                </c:pt>
                <c:pt idx="6">
                  <c:v>2036</c:v>
                </c:pt>
                <c:pt idx="7">
                  <c:v>11332</c:v>
                </c:pt>
                <c:pt idx="10">
                  <c:v>810</c:v>
                </c:pt>
                <c:pt idx="11">
                  <c:v>2620</c:v>
                </c:pt>
                <c:pt idx="14">
                  <c:v>4119</c:v>
                </c:pt>
                <c:pt idx="15">
                  <c:v>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5-47B1-8544-24767083EF59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3599</c:v>
                </c:pt>
                <c:pt idx="3">
                  <c:v>2384</c:v>
                </c:pt>
                <c:pt idx="4">
                  <c:v>5320</c:v>
                </c:pt>
                <c:pt idx="5">
                  <c:v>1336</c:v>
                </c:pt>
                <c:pt idx="6">
                  <c:v>2036</c:v>
                </c:pt>
                <c:pt idx="7">
                  <c:v>11332</c:v>
                </c:pt>
                <c:pt idx="8">
                  <c:v>516</c:v>
                </c:pt>
                <c:pt idx="9">
                  <c:v>2517</c:v>
                </c:pt>
                <c:pt idx="10">
                  <c:v>810</c:v>
                </c:pt>
                <c:pt idx="11">
                  <c:v>2620</c:v>
                </c:pt>
                <c:pt idx="12">
                  <c:v>11450</c:v>
                </c:pt>
                <c:pt idx="13">
                  <c:v>2365</c:v>
                </c:pt>
                <c:pt idx="14">
                  <c:v>4119</c:v>
                </c:pt>
                <c:pt idx="15">
                  <c:v>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5-47B1-8544-24767083E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0%</c:v>
                </c:pt>
                <c:pt idx="4">
                  <c:v>75%</c:v>
                </c:pt>
                <c:pt idx="5">
                  <c:v>0%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54%</c:v>
                </c:pt>
                <c:pt idx="12">
                  <c:v>0%</c:v>
                </c:pt>
                <c:pt idx="13">
                  <c:v>0%</c:v>
                </c:pt>
                <c:pt idx="14">
                  <c:v>92%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0.54166666666666663</c:v>
                </c:pt>
                <c:pt idx="12">
                  <c:v>0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B4-4CE8-8FA4-B1913A6C2015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B4-4CE8-8FA4-B1913A6C20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0.35277777777777775</c:v>
                </c:pt>
                <c:pt idx="1">
                  <c:v>0.35277777777777775</c:v>
                </c:pt>
                <c:pt idx="2">
                  <c:v>0.35277777777777775</c:v>
                </c:pt>
                <c:pt idx="3">
                  <c:v>0.35277777777777775</c:v>
                </c:pt>
                <c:pt idx="4">
                  <c:v>0.35277777777777775</c:v>
                </c:pt>
                <c:pt idx="5">
                  <c:v>0.35277777777777775</c:v>
                </c:pt>
                <c:pt idx="6">
                  <c:v>0.35277777777777775</c:v>
                </c:pt>
                <c:pt idx="7">
                  <c:v>0.35277777777777775</c:v>
                </c:pt>
                <c:pt idx="8">
                  <c:v>0.35277777777777775</c:v>
                </c:pt>
                <c:pt idx="9">
                  <c:v>0.35277777777777775</c:v>
                </c:pt>
                <c:pt idx="10">
                  <c:v>0.35277777777777775</c:v>
                </c:pt>
                <c:pt idx="11">
                  <c:v>0.35277777777777775</c:v>
                </c:pt>
                <c:pt idx="12">
                  <c:v>0.35277777777777775</c:v>
                </c:pt>
                <c:pt idx="13">
                  <c:v>0.35277777777777775</c:v>
                </c:pt>
                <c:pt idx="14">
                  <c:v>0.35277777777777775</c:v>
                </c:pt>
                <c:pt idx="15">
                  <c:v>0.35277777777777775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B4-4CE8-8FA4-B1913A6C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2">
                  <c:v>3599</c:v>
                </c:pt>
                <c:pt idx="4">
                  <c:v>5320</c:v>
                </c:pt>
                <c:pt idx="6">
                  <c:v>2036</c:v>
                </c:pt>
                <c:pt idx="7">
                  <c:v>11332</c:v>
                </c:pt>
                <c:pt idx="10">
                  <c:v>810</c:v>
                </c:pt>
                <c:pt idx="11">
                  <c:v>2620</c:v>
                </c:pt>
                <c:pt idx="14">
                  <c:v>4119</c:v>
                </c:pt>
                <c:pt idx="15">
                  <c:v>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D-4B83-B3DC-F762209BE598}"/>
            </c:ext>
          </c:extLst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3599</c:v>
                </c:pt>
                <c:pt idx="3">
                  <c:v>2384</c:v>
                </c:pt>
                <c:pt idx="4">
                  <c:v>5320</c:v>
                </c:pt>
                <c:pt idx="5">
                  <c:v>1336</c:v>
                </c:pt>
                <c:pt idx="6">
                  <c:v>2036</c:v>
                </c:pt>
                <c:pt idx="7">
                  <c:v>11332</c:v>
                </c:pt>
                <c:pt idx="8">
                  <c:v>516</c:v>
                </c:pt>
                <c:pt idx="9">
                  <c:v>2517</c:v>
                </c:pt>
                <c:pt idx="10">
                  <c:v>810</c:v>
                </c:pt>
                <c:pt idx="11">
                  <c:v>2620</c:v>
                </c:pt>
                <c:pt idx="12">
                  <c:v>11450</c:v>
                </c:pt>
                <c:pt idx="13">
                  <c:v>2365</c:v>
                </c:pt>
                <c:pt idx="14">
                  <c:v>4119</c:v>
                </c:pt>
                <c:pt idx="15">
                  <c:v>40708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3D-4B83-B3DC-F762209BE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79%</c:v>
                </c:pt>
                <c:pt idx="3">
                  <c:v>0%</c:v>
                </c:pt>
                <c:pt idx="4">
                  <c:v>75%</c:v>
                </c:pt>
                <c:pt idx="5">
                  <c:v>0%</c:v>
                </c:pt>
                <c:pt idx="6">
                  <c:v>50%</c:v>
                </c:pt>
                <c:pt idx="7">
                  <c:v>100%</c:v>
                </c:pt>
                <c:pt idx="8">
                  <c:v>0%</c:v>
                </c:pt>
                <c:pt idx="9">
                  <c:v>0%</c:v>
                </c:pt>
                <c:pt idx="10">
                  <c:v>21%</c:v>
                </c:pt>
                <c:pt idx="11">
                  <c:v>54%</c:v>
                </c:pt>
                <c:pt idx="12">
                  <c:v>0%</c:v>
                </c:pt>
                <c:pt idx="13">
                  <c:v>0%</c:v>
                </c:pt>
                <c:pt idx="14">
                  <c:v>92%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0.79166666666666663</c:v>
                </c:pt>
                <c:pt idx="3">
                  <c:v>0</c:v>
                </c:pt>
                <c:pt idx="4">
                  <c:v>0.75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0.20833333333333334</c:v>
                </c:pt>
                <c:pt idx="11">
                  <c:v>0.54166666666666663</c:v>
                </c:pt>
                <c:pt idx="12">
                  <c:v>0</c:v>
                </c:pt>
                <c:pt idx="13">
                  <c:v>0</c:v>
                </c:pt>
                <c:pt idx="14">
                  <c:v>0.91666666666666663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1-4864-A86B-84F46BF0041C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A81-4864-A86B-84F46BF0041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'29'!$D$6:$D$21</c:f>
              <c:strCache>
                <c:ptCount val="15"/>
                <c:pt idx="1">
                  <c:v>88P</c:v>
                </c:pt>
                <c:pt idx="2">
                  <c:v>COVER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BASE</c:v>
                </c:pt>
                <c:pt idx="9">
                  <c:v>ADAPTER</c:v>
                </c:pt>
                <c:pt idx="10">
                  <c:v>COVER</c:v>
                </c:pt>
                <c:pt idx="11">
                  <c:v>COVER</c:v>
                </c:pt>
                <c:pt idx="12">
                  <c:v>COVER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0.35277777777777775</c:v>
                </c:pt>
                <c:pt idx="1">
                  <c:v>0.35277777777777775</c:v>
                </c:pt>
                <c:pt idx="2">
                  <c:v>0.35277777777777775</c:v>
                </c:pt>
                <c:pt idx="3">
                  <c:v>0.35277777777777775</c:v>
                </c:pt>
                <c:pt idx="4">
                  <c:v>0.35277777777777775</c:v>
                </c:pt>
                <c:pt idx="5">
                  <c:v>0.35277777777777775</c:v>
                </c:pt>
                <c:pt idx="6">
                  <c:v>0.35277777777777775</c:v>
                </c:pt>
                <c:pt idx="7">
                  <c:v>0.35277777777777775</c:v>
                </c:pt>
                <c:pt idx="8">
                  <c:v>0.35277777777777775</c:v>
                </c:pt>
                <c:pt idx="9">
                  <c:v>0.35277777777777775</c:v>
                </c:pt>
                <c:pt idx="10">
                  <c:v>0.35277777777777775</c:v>
                </c:pt>
                <c:pt idx="11">
                  <c:v>0.35277777777777775</c:v>
                </c:pt>
                <c:pt idx="12">
                  <c:v>0.35277777777777775</c:v>
                </c:pt>
                <c:pt idx="13">
                  <c:v>0.35277777777777775</c:v>
                </c:pt>
                <c:pt idx="14">
                  <c:v>0.35277777777777775</c:v>
                </c:pt>
                <c:pt idx="15">
                  <c:v>0.35277777777777775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81-4864-A86B-84F46BF0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EBB5-4221-90BD-042D307898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B5-4221-90BD-042D3078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BB5-4221-90BD-042D3078989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B5-4221-90BD-042D30789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4294</c:v>
                </c:pt>
                <c:pt idx="3">
                  <c:v>1036</c:v>
                </c:pt>
                <c:pt idx="4">
                  <c:v>6949</c:v>
                </c:pt>
                <c:pt idx="6">
                  <c:v>3193</c:v>
                </c:pt>
                <c:pt idx="7">
                  <c:v>3620</c:v>
                </c:pt>
                <c:pt idx="8">
                  <c:v>2462</c:v>
                </c:pt>
                <c:pt idx="9">
                  <c:v>3232</c:v>
                </c:pt>
                <c:pt idx="11">
                  <c:v>5280</c:v>
                </c:pt>
                <c:pt idx="12">
                  <c:v>3450</c:v>
                </c:pt>
                <c:pt idx="13">
                  <c:v>4362</c:v>
                </c:pt>
                <c:pt idx="14">
                  <c:v>4694</c:v>
                </c:pt>
                <c:pt idx="15">
                  <c:v>40480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1-42C5-BBD5-681794721318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4294</c:v>
                </c:pt>
                <c:pt idx="3">
                  <c:v>1036</c:v>
                </c:pt>
                <c:pt idx="4">
                  <c:v>6949</c:v>
                </c:pt>
                <c:pt idx="5">
                  <c:v>1336</c:v>
                </c:pt>
                <c:pt idx="6">
                  <c:v>3193</c:v>
                </c:pt>
                <c:pt idx="7">
                  <c:v>3620</c:v>
                </c:pt>
                <c:pt idx="8">
                  <c:v>2462</c:v>
                </c:pt>
                <c:pt idx="9">
                  <c:v>3232</c:v>
                </c:pt>
                <c:pt idx="10">
                  <c:v>2517</c:v>
                </c:pt>
                <c:pt idx="11">
                  <c:v>5280</c:v>
                </c:pt>
                <c:pt idx="12">
                  <c:v>3450</c:v>
                </c:pt>
                <c:pt idx="13">
                  <c:v>4362</c:v>
                </c:pt>
                <c:pt idx="14">
                  <c:v>4694</c:v>
                </c:pt>
                <c:pt idx="15">
                  <c:v>40480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D1-42C5-BBD5-6817947213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25%</c:v>
                </c:pt>
                <c:pt idx="4">
                  <c:v>88%</c:v>
                </c:pt>
                <c:pt idx="5">
                  <c:v>0%</c:v>
                </c:pt>
                <c:pt idx="6">
                  <c:v>75%</c:v>
                </c:pt>
                <c:pt idx="7">
                  <c:v>42%</c:v>
                </c:pt>
                <c:pt idx="8">
                  <c:v>46%</c:v>
                </c:pt>
                <c:pt idx="9">
                  <c:v>58%</c:v>
                </c:pt>
                <c:pt idx="10">
                  <c:v>0%</c:v>
                </c:pt>
                <c:pt idx="11">
                  <c:v>100%</c:v>
                </c:pt>
                <c:pt idx="12">
                  <c:v>75%</c:v>
                </c:pt>
                <c:pt idx="13">
                  <c:v>92%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0.25</c:v>
                </c:pt>
                <c:pt idx="4">
                  <c:v>0.875</c:v>
                </c:pt>
                <c:pt idx="5">
                  <c:v>0</c:v>
                </c:pt>
                <c:pt idx="6">
                  <c:v>0.75</c:v>
                </c:pt>
                <c:pt idx="7">
                  <c:v>0.41666666666666669</c:v>
                </c:pt>
                <c:pt idx="8">
                  <c:v>0.45833333333333331</c:v>
                </c:pt>
                <c:pt idx="9">
                  <c:v>0.58333333333333337</c:v>
                </c:pt>
                <c:pt idx="10">
                  <c:v>0</c:v>
                </c:pt>
                <c:pt idx="11">
                  <c:v>1</c:v>
                </c:pt>
                <c:pt idx="12">
                  <c:v>0.75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4-4177-A3F8-C0A8701862D0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194-4177-A3F8-C0A8701862D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0.53888888888888897</c:v>
                </c:pt>
                <c:pt idx="1">
                  <c:v>0.53888888888888897</c:v>
                </c:pt>
                <c:pt idx="2">
                  <c:v>0.53888888888888897</c:v>
                </c:pt>
                <c:pt idx="3">
                  <c:v>0.53888888888888897</c:v>
                </c:pt>
                <c:pt idx="4">
                  <c:v>0.53888888888888897</c:v>
                </c:pt>
                <c:pt idx="5">
                  <c:v>0.53888888888888897</c:v>
                </c:pt>
                <c:pt idx="6">
                  <c:v>0.53888888888888897</c:v>
                </c:pt>
                <c:pt idx="7">
                  <c:v>0.53888888888888897</c:v>
                </c:pt>
                <c:pt idx="8">
                  <c:v>0.53888888888888897</c:v>
                </c:pt>
                <c:pt idx="9">
                  <c:v>0.53888888888888897</c:v>
                </c:pt>
                <c:pt idx="10">
                  <c:v>0.53888888888888897</c:v>
                </c:pt>
                <c:pt idx="11">
                  <c:v>0.53888888888888897</c:v>
                </c:pt>
                <c:pt idx="12">
                  <c:v>0.53888888888888897</c:v>
                </c:pt>
                <c:pt idx="13">
                  <c:v>0.53888888888888897</c:v>
                </c:pt>
                <c:pt idx="14">
                  <c:v>0.53888888888888897</c:v>
                </c:pt>
                <c:pt idx="15">
                  <c:v>0.53888888888888897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94-4177-A3F8-C0A87018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'30'!$L$6:$L$21</c:f>
              <c:numCache>
                <c:formatCode>_(* #,##0_);_(* \(#,##0\);_(* "-"_);_(@_)</c:formatCode>
                <c:ptCount val="16"/>
                <c:pt idx="2">
                  <c:v>4294</c:v>
                </c:pt>
                <c:pt idx="3">
                  <c:v>1036</c:v>
                </c:pt>
                <c:pt idx="4">
                  <c:v>6949</c:v>
                </c:pt>
                <c:pt idx="6">
                  <c:v>3193</c:v>
                </c:pt>
                <c:pt idx="7">
                  <c:v>3620</c:v>
                </c:pt>
                <c:pt idx="8">
                  <c:v>2462</c:v>
                </c:pt>
                <c:pt idx="9">
                  <c:v>3232</c:v>
                </c:pt>
                <c:pt idx="11">
                  <c:v>5280</c:v>
                </c:pt>
                <c:pt idx="12">
                  <c:v>3450</c:v>
                </c:pt>
                <c:pt idx="13">
                  <c:v>4362</c:v>
                </c:pt>
                <c:pt idx="14">
                  <c:v>4694</c:v>
                </c:pt>
                <c:pt idx="15">
                  <c:v>40480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89-43A5-B25A-6950FE92EEB5}"/>
            </c:ext>
          </c:extLst>
        </c:ser>
        <c:ser>
          <c:idx val="1"/>
          <c:order val="1"/>
          <c:tx>
            <c:v>계획</c:v>
          </c:tx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'30'!$J$6:$J$21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2061</c:v>
                </c:pt>
                <c:pt idx="2">
                  <c:v>4294</c:v>
                </c:pt>
                <c:pt idx="3">
                  <c:v>1036</c:v>
                </c:pt>
                <c:pt idx="4">
                  <c:v>6949</c:v>
                </c:pt>
                <c:pt idx="5">
                  <c:v>1336</c:v>
                </c:pt>
                <c:pt idx="6">
                  <c:v>3193</c:v>
                </c:pt>
                <c:pt idx="7">
                  <c:v>3620</c:v>
                </c:pt>
                <c:pt idx="8">
                  <c:v>2462</c:v>
                </c:pt>
                <c:pt idx="9">
                  <c:v>3232</c:v>
                </c:pt>
                <c:pt idx="10">
                  <c:v>2517</c:v>
                </c:pt>
                <c:pt idx="11">
                  <c:v>5280</c:v>
                </c:pt>
                <c:pt idx="12">
                  <c:v>3450</c:v>
                </c:pt>
                <c:pt idx="13">
                  <c:v>4362</c:v>
                </c:pt>
                <c:pt idx="14">
                  <c:v>4694</c:v>
                </c:pt>
                <c:pt idx="15">
                  <c:v>40480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89-43A5-B25A-6950FE92E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'30'!$AD$6:$AD$21</c:f>
              <c:strCache>
                <c:ptCount val="16"/>
                <c:pt idx="0">
                  <c:v>0%</c:v>
                </c:pt>
                <c:pt idx="1">
                  <c:v>0%</c:v>
                </c:pt>
                <c:pt idx="2">
                  <c:v>50%</c:v>
                </c:pt>
                <c:pt idx="3">
                  <c:v>25%</c:v>
                </c:pt>
                <c:pt idx="4">
                  <c:v>88%</c:v>
                </c:pt>
                <c:pt idx="5">
                  <c:v>0%</c:v>
                </c:pt>
                <c:pt idx="6">
                  <c:v>75%</c:v>
                </c:pt>
                <c:pt idx="7">
                  <c:v>42%</c:v>
                </c:pt>
                <c:pt idx="8">
                  <c:v>46%</c:v>
                </c:pt>
                <c:pt idx="9">
                  <c:v>58%</c:v>
                </c:pt>
                <c:pt idx="10">
                  <c:v>0%</c:v>
                </c:pt>
                <c:pt idx="11">
                  <c:v>100%</c:v>
                </c:pt>
                <c:pt idx="12">
                  <c:v>75%</c:v>
                </c:pt>
                <c:pt idx="13">
                  <c:v>92%</c:v>
                </c:pt>
                <c:pt idx="14">
                  <c:v>100%</c:v>
                </c:pt>
                <c:pt idx="15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0.25</c:v>
                </c:pt>
                <c:pt idx="4">
                  <c:v>0.875</c:v>
                </c:pt>
                <c:pt idx="5">
                  <c:v>0</c:v>
                </c:pt>
                <c:pt idx="6">
                  <c:v>0.75</c:v>
                </c:pt>
                <c:pt idx="7">
                  <c:v>0.41666666666666669</c:v>
                </c:pt>
                <c:pt idx="8">
                  <c:v>0.45833333333333331</c:v>
                </c:pt>
                <c:pt idx="9">
                  <c:v>0.58333333333333337</c:v>
                </c:pt>
                <c:pt idx="10">
                  <c:v>0</c:v>
                </c:pt>
                <c:pt idx="11">
                  <c:v>1</c:v>
                </c:pt>
                <c:pt idx="12">
                  <c:v>0.75</c:v>
                </c:pt>
                <c:pt idx="13">
                  <c:v>0.91666666666666663</c:v>
                </c:pt>
                <c:pt idx="14">
                  <c:v>1</c:v>
                </c:pt>
                <c:pt idx="15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D9-494D-B931-CBE86E7DBE8A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DD9-494D-B931-CBE86E7DBE8A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'30'!$D$6:$D$21</c:f>
              <c:strCache>
                <c:ptCount val="15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ADAPTER</c:v>
                </c:pt>
                <c:pt idx="6">
                  <c:v>BASE</c:v>
                </c:pt>
                <c:pt idx="7">
                  <c:v>STOPPER</c:v>
                </c:pt>
                <c:pt idx="8">
                  <c:v>COVER</c:v>
                </c:pt>
                <c:pt idx="9">
                  <c:v>ADAPTER</c:v>
                </c:pt>
                <c:pt idx="10">
                  <c:v>ADAPTER</c:v>
                </c:pt>
                <c:pt idx="11">
                  <c:v>COVER</c:v>
                </c:pt>
                <c:pt idx="12">
                  <c:v>F/ADAPTER</c:v>
                </c:pt>
                <c:pt idx="13">
                  <c:v>STOPPER</c:v>
                </c:pt>
                <c:pt idx="14">
                  <c:v>BASE</c:v>
                </c:pt>
              </c:strCache>
            </c:strRef>
          </c:cat>
          <c:val>
            <c:numRef>
              <c:f>'30'!$AE$6:$AE$21</c:f>
              <c:numCache>
                <c:formatCode>0%</c:formatCode>
                <c:ptCount val="16"/>
                <c:pt idx="0">
                  <c:v>0.53888888888888897</c:v>
                </c:pt>
                <c:pt idx="1">
                  <c:v>0.53888888888888897</c:v>
                </c:pt>
                <c:pt idx="2">
                  <c:v>0.53888888888888897</c:v>
                </c:pt>
                <c:pt idx="3">
                  <c:v>0.53888888888888897</c:v>
                </c:pt>
                <c:pt idx="4">
                  <c:v>0.53888888888888897</c:v>
                </c:pt>
                <c:pt idx="5">
                  <c:v>0.53888888888888897</c:v>
                </c:pt>
                <c:pt idx="6">
                  <c:v>0.53888888888888897</c:v>
                </c:pt>
                <c:pt idx="7">
                  <c:v>0.53888888888888897</c:v>
                </c:pt>
                <c:pt idx="8">
                  <c:v>0.53888888888888897</c:v>
                </c:pt>
                <c:pt idx="9">
                  <c:v>0.53888888888888897</c:v>
                </c:pt>
                <c:pt idx="10">
                  <c:v>0.53888888888888897</c:v>
                </c:pt>
                <c:pt idx="11">
                  <c:v>0.53888888888888897</c:v>
                </c:pt>
                <c:pt idx="12">
                  <c:v>0.53888888888888897</c:v>
                </c:pt>
                <c:pt idx="13">
                  <c:v>0.53888888888888897</c:v>
                </c:pt>
                <c:pt idx="14">
                  <c:v>0.53888888888888897</c:v>
                </c:pt>
                <c:pt idx="15">
                  <c:v>0.53888888888888897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9-494D-B931-CBE86E7DB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0E4A-4EAD-8E62-68F983450F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4A-4EAD-8E62-68F983450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4A-4EAD-8E62-68F983450F7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4A-4EAD-8E62-68F983450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3">
                  <c:v>2500</c:v>
                </c:pt>
                <c:pt idx="4">
                  <c:v>5143</c:v>
                </c:pt>
                <c:pt idx="5">
                  <c:v>4992</c:v>
                </c:pt>
                <c:pt idx="6">
                  <c:v>2673</c:v>
                </c:pt>
                <c:pt idx="7">
                  <c:v>1890</c:v>
                </c:pt>
                <c:pt idx="8">
                  <c:v>3411</c:v>
                </c:pt>
                <c:pt idx="10">
                  <c:v>5157</c:v>
                </c:pt>
                <c:pt idx="12">
                  <c:v>4399</c:v>
                </c:pt>
                <c:pt idx="13">
                  <c:v>3030</c:v>
                </c:pt>
                <c:pt idx="14">
                  <c:v>40040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1-4F78-8CAA-14D2CC68A8A2}"/>
            </c:ext>
          </c:extLst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4294</c:v>
                </c:pt>
                <c:pt idx="3">
                  <c:v>2500</c:v>
                </c:pt>
                <c:pt idx="4">
                  <c:v>5143</c:v>
                </c:pt>
                <c:pt idx="5">
                  <c:v>4992</c:v>
                </c:pt>
                <c:pt idx="6">
                  <c:v>2673</c:v>
                </c:pt>
                <c:pt idx="7">
                  <c:v>1890</c:v>
                </c:pt>
                <c:pt idx="8">
                  <c:v>3411</c:v>
                </c:pt>
                <c:pt idx="9">
                  <c:v>2517</c:v>
                </c:pt>
                <c:pt idx="10">
                  <c:v>5157</c:v>
                </c:pt>
                <c:pt idx="11">
                  <c:v>3450</c:v>
                </c:pt>
                <c:pt idx="12">
                  <c:v>4399</c:v>
                </c:pt>
                <c:pt idx="13">
                  <c:v>3030</c:v>
                </c:pt>
                <c:pt idx="14">
                  <c:v>40040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C1-4F78-8CAA-14D2CC68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464"/>
        <c:axId val="383750080"/>
      </c:lineChart>
      <c:catAx>
        <c:axId val="306174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3750080"/>
        <c:crosses val="autoZero"/>
        <c:auto val="1"/>
        <c:lblAlgn val="ctr"/>
        <c:lblOffset val="100"/>
        <c:noMultiLvlLbl val="0"/>
      </c:catAx>
      <c:valAx>
        <c:axId val="3837500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4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83%</c:v>
                </c:pt>
                <c:pt idx="5">
                  <c:v>58%</c:v>
                </c:pt>
                <c:pt idx="6">
                  <c:v>71%</c:v>
                </c:pt>
                <c:pt idx="7">
                  <c:v>42%</c:v>
                </c:pt>
                <c:pt idx="8">
                  <c:v>75%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67%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0.83333333333333337</c:v>
                </c:pt>
                <c:pt idx="5">
                  <c:v>0.58333333333333337</c:v>
                </c:pt>
                <c:pt idx="6">
                  <c:v>0.70833333333333337</c:v>
                </c:pt>
                <c:pt idx="7">
                  <c:v>0.41666666666666669</c:v>
                </c:pt>
                <c:pt idx="8">
                  <c:v>0.75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0.66666666666666663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16-41BB-B414-7418EE583D32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116-41BB-B414-7418EE583D3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0.46944444444444444</c:v>
                </c:pt>
                <c:pt idx="1">
                  <c:v>0.46944444444444444</c:v>
                </c:pt>
                <c:pt idx="2">
                  <c:v>0.46944444444444444</c:v>
                </c:pt>
                <c:pt idx="3">
                  <c:v>0.46944444444444444</c:v>
                </c:pt>
                <c:pt idx="4">
                  <c:v>0.46944444444444444</c:v>
                </c:pt>
                <c:pt idx="5">
                  <c:v>0.46944444444444444</c:v>
                </c:pt>
                <c:pt idx="6">
                  <c:v>0.46944444444444444</c:v>
                </c:pt>
                <c:pt idx="7">
                  <c:v>0.46944444444444444</c:v>
                </c:pt>
                <c:pt idx="8">
                  <c:v>0.46944444444444444</c:v>
                </c:pt>
                <c:pt idx="9">
                  <c:v>0.46944444444444444</c:v>
                </c:pt>
                <c:pt idx="10">
                  <c:v>0.46944444444444444</c:v>
                </c:pt>
                <c:pt idx="11">
                  <c:v>0.46944444444444444</c:v>
                </c:pt>
                <c:pt idx="12">
                  <c:v>0.46944444444444444</c:v>
                </c:pt>
                <c:pt idx="13">
                  <c:v>0.46944444444444444</c:v>
                </c:pt>
                <c:pt idx="14">
                  <c:v>0.46944444444444444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16-41BB-B414-7418EE583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4976"/>
        <c:axId val="306264832"/>
      </c:lineChart>
      <c:catAx>
        <c:axId val="3061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306264832"/>
        <c:crosses val="autoZero"/>
        <c:auto val="1"/>
        <c:lblAlgn val="ctr"/>
        <c:lblOffset val="100"/>
        <c:noMultiLvlLbl val="0"/>
      </c:catAx>
      <c:valAx>
        <c:axId val="306264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306174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'31'!$L$6:$L$20</c:f>
              <c:numCache>
                <c:formatCode>_(* #,##0_);_(* \(#,##0\);_(* "-"_);_(@_)</c:formatCode>
                <c:ptCount val="15"/>
                <c:pt idx="3">
                  <c:v>2500</c:v>
                </c:pt>
                <c:pt idx="4">
                  <c:v>5143</c:v>
                </c:pt>
                <c:pt idx="5">
                  <c:v>4992</c:v>
                </c:pt>
                <c:pt idx="6">
                  <c:v>2673</c:v>
                </c:pt>
                <c:pt idx="7">
                  <c:v>1890</c:v>
                </c:pt>
                <c:pt idx="8">
                  <c:v>3411</c:v>
                </c:pt>
                <c:pt idx="10">
                  <c:v>5157</c:v>
                </c:pt>
                <c:pt idx="12">
                  <c:v>4399</c:v>
                </c:pt>
                <c:pt idx="13">
                  <c:v>3030</c:v>
                </c:pt>
                <c:pt idx="14">
                  <c:v>40040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D7-4FAC-8F31-D1A3EE95D8BB}"/>
            </c:ext>
          </c:extLst>
        </c:ser>
        <c:ser>
          <c:idx val="1"/>
          <c:order val="1"/>
          <c:tx>
            <c:v>계획</c:v>
          </c:tx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'31'!$J$6:$J$20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2061</c:v>
                </c:pt>
                <c:pt idx="2">
                  <c:v>4294</c:v>
                </c:pt>
                <c:pt idx="3">
                  <c:v>2500</c:v>
                </c:pt>
                <c:pt idx="4">
                  <c:v>5143</c:v>
                </c:pt>
                <c:pt idx="5">
                  <c:v>4992</c:v>
                </c:pt>
                <c:pt idx="6">
                  <c:v>2673</c:v>
                </c:pt>
                <c:pt idx="7">
                  <c:v>1890</c:v>
                </c:pt>
                <c:pt idx="8">
                  <c:v>3411</c:v>
                </c:pt>
                <c:pt idx="9">
                  <c:v>2517</c:v>
                </c:pt>
                <c:pt idx="10">
                  <c:v>5157</c:v>
                </c:pt>
                <c:pt idx="11">
                  <c:v>3450</c:v>
                </c:pt>
                <c:pt idx="12">
                  <c:v>4399</c:v>
                </c:pt>
                <c:pt idx="13">
                  <c:v>3030</c:v>
                </c:pt>
                <c:pt idx="14">
                  <c:v>40040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D7-4FAC-8F31-D1A3EE95D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1904"/>
        <c:axId val="1197607168"/>
      </c:lineChart>
      <c:catAx>
        <c:axId val="30617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7607168"/>
        <c:crosses val="autoZero"/>
        <c:auto val="1"/>
        <c:lblAlgn val="ctr"/>
        <c:lblOffset val="100"/>
        <c:noMultiLvlLbl val="0"/>
      </c:catAx>
      <c:valAx>
        <c:axId val="1197607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3061719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'31'!$AD$6:$AD$20</c:f>
              <c:strCache>
                <c:ptCount val="15"/>
                <c:pt idx="0">
                  <c:v>0%</c:v>
                </c:pt>
                <c:pt idx="1">
                  <c:v>0%</c:v>
                </c:pt>
                <c:pt idx="2">
                  <c:v>0%</c:v>
                </c:pt>
                <c:pt idx="3">
                  <c:v>58%</c:v>
                </c:pt>
                <c:pt idx="4">
                  <c:v>83%</c:v>
                </c:pt>
                <c:pt idx="5">
                  <c:v>58%</c:v>
                </c:pt>
                <c:pt idx="6">
                  <c:v>71%</c:v>
                </c:pt>
                <c:pt idx="7">
                  <c:v>42%</c:v>
                </c:pt>
                <c:pt idx="8">
                  <c:v>75%</c:v>
                </c:pt>
                <c:pt idx="9">
                  <c:v>0%</c:v>
                </c:pt>
                <c:pt idx="10">
                  <c:v>100%</c:v>
                </c:pt>
                <c:pt idx="11">
                  <c:v>0%</c:v>
                </c:pt>
                <c:pt idx="12">
                  <c:v>92%</c:v>
                </c:pt>
                <c:pt idx="13">
                  <c:v>67%</c:v>
                </c:pt>
                <c:pt idx="14">
                  <c:v>58%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0.58333333333333337</c:v>
                </c:pt>
                <c:pt idx="4">
                  <c:v>0.83333333333333337</c:v>
                </c:pt>
                <c:pt idx="5">
                  <c:v>0.58333333333333337</c:v>
                </c:pt>
                <c:pt idx="6">
                  <c:v>0.70833333333333337</c:v>
                </c:pt>
                <c:pt idx="7">
                  <c:v>0.41666666666666669</c:v>
                </c:pt>
                <c:pt idx="8">
                  <c:v>0.75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0.91666666666666663</c:v>
                </c:pt>
                <c:pt idx="13">
                  <c:v>0.66666666666666663</c:v>
                </c:pt>
                <c:pt idx="14">
                  <c:v>0.58333333333333337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7-451B-AB9F-D27A92462ACE}"/>
            </c:ext>
          </c:extLst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57-451B-AB9F-D27A92462AC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'31'!$D$6:$D$20</c:f>
              <c:strCache>
                <c:ptCount val="14"/>
                <c:pt idx="1">
                  <c:v>88P</c:v>
                </c:pt>
                <c:pt idx="2">
                  <c:v>LATCH</c:v>
                </c:pt>
                <c:pt idx="3">
                  <c:v>ACTUATOR</c:v>
                </c:pt>
                <c:pt idx="4">
                  <c:v>SP</c:v>
                </c:pt>
                <c:pt idx="5">
                  <c:v>HOUSING</c:v>
                </c:pt>
                <c:pt idx="6">
                  <c:v>BASE</c:v>
                </c:pt>
                <c:pt idx="7">
                  <c:v>COVER</c:v>
                </c:pt>
                <c:pt idx="8">
                  <c:v>ADAPTER</c:v>
                </c:pt>
                <c:pt idx="9">
                  <c:v>ADAPTER</c:v>
                </c:pt>
                <c:pt idx="10">
                  <c:v>COVER</c:v>
                </c:pt>
                <c:pt idx="11">
                  <c:v>F/ADAPTER</c:v>
                </c:pt>
                <c:pt idx="12">
                  <c:v>STOPPER</c:v>
                </c:pt>
                <c:pt idx="13">
                  <c:v>BASE</c:v>
                </c:pt>
              </c:strCache>
            </c:strRef>
          </c:cat>
          <c:val>
            <c:numRef>
              <c:f>'31'!$AE$6:$AE$20</c:f>
              <c:numCache>
                <c:formatCode>0%</c:formatCode>
                <c:ptCount val="15"/>
                <c:pt idx="0">
                  <c:v>0.46944444444444444</c:v>
                </c:pt>
                <c:pt idx="1">
                  <c:v>0.46944444444444444</c:v>
                </c:pt>
                <c:pt idx="2">
                  <c:v>0.46944444444444444</c:v>
                </c:pt>
                <c:pt idx="3">
                  <c:v>0.46944444444444444</c:v>
                </c:pt>
                <c:pt idx="4">
                  <c:v>0.46944444444444444</c:v>
                </c:pt>
                <c:pt idx="5">
                  <c:v>0.46944444444444444</c:v>
                </c:pt>
                <c:pt idx="6">
                  <c:v>0.46944444444444444</c:v>
                </c:pt>
                <c:pt idx="7">
                  <c:v>0.46944444444444444</c:v>
                </c:pt>
                <c:pt idx="8">
                  <c:v>0.46944444444444444</c:v>
                </c:pt>
                <c:pt idx="9">
                  <c:v>0.46944444444444444</c:v>
                </c:pt>
                <c:pt idx="10">
                  <c:v>0.46944444444444444</c:v>
                </c:pt>
                <c:pt idx="11">
                  <c:v>0.46944444444444444</c:v>
                </c:pt>
                <c:pt idx="12">
                  <c:v>0.46944444444444444</c:v>
                </c:pt>
                <c:pt idx="13">
                  <c:v>0.46944444444444444</c:v>
                </c:pt>
                <c:pt idx="14">
                  <c:v>0.46944444444444444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7-451B-AB9F-D27A92462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0520320"/>
        <c:axId val="1197609472"/>
      </c:lineChart>
      <c:catAx>
        <c:axId val="119052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197609472"/>
        <c:crosses val="autoZero"/>
        <c:auto val="1"/>
        <c:lblAlgn val="ctr"/>
        <c:lblOffset val="100"/>
        <c:noMultiLvlLbl val="0"/>
      </c:catAx>
      <c:valAx>
        <c:axId val="1197609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190520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10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618B-4A4D-884C-AE77AFB610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0.56111111111111112</c:v>
                </c:pt>
                <c:pt idx="1">
                  <c:v>0.56944444444444453</c:v>
                </c:pt>
                <c:pt idx="2">
                  <c:v>0.54166666666666663</c:v>
                </c:pt>
                <c:pt idx="3">
                  <c:v>0.60555555555555551</c:v>
                </c:pt>
                <c:pt idx="4">
                  <c:v>0.53055555555555556</c:v>
                </c:pt>
                <c:pt idx="6">
                  <c:v>0.46666666666666673</c:v>
                </c:pt>
                <c:pt idx="7">
                  <c:v>0.47101299060254292</c:v>
                </c:pt>
                <c:pt idx="8">
                  <c:v>0.36111111111111105</c:v>
                </c:pt>
                <c:pt idx="9">
                  <c:v>0.52222222222222225</c:v>
                </c:pt>
                <c:pt idx="10">
                  <c:v>0.51944444444444438</c:v>
                </c:pt>
                <c:pt idx="11">
                  <c:v>0.46666666666666662</c:v>
                </c:pt>
                <c:pt idx="12">
                  <c:v>0.13055555555555556</c:v>
                </c:pt>
                <c:pt idx="13">
                  <c:v>0.40555555555555556</c:v>
                </c:pt>
                <c:pt idx="14">
                  <c:v>0.53333333333333333</c:v>
                </c:pt>
                <c:pt idx="15">
                  <c:v>0.49040427999156655</c:v>
                </c:pt>
                <c:pt idx="16">
                  <c:v>0.42222222222222222</c:v>
                </c:pt>
                <c:pt idx="17">
                  <c:v>0.47222222222222221</c:v>
                </c:pt>
                <c:pt idx="18">
                  <c:v>0.45598701183168766</c:v>
                </c:pt>
                <c:pt idx="19">
                  <c:v>0.1444444444444444</c:v>
                </c:pt>
                <c:pt idx="20">
                  <c:v>0.51111111111111118</c:v>
                </c:pt>
                <c:pt idx="21">
                  <c:v>0.51111111111111118</c:v>
                </c:pt>
                <c:pt idx="22">
                  <c:v>0.51111111111111107</c:v>
                </c:pt>
                <c:pt idx="23">
                  <c:v>0.44166666666666665</c:v>
                </c:pt>
                <c:pt idx="24">
                  <c:v>0.44722222222222219</c:v>
                </c:pt>
                <c:pt idx="25">
                  <c:v>0.45833333333333331</c:v>
                </c:pt>
                <c:pt idx="26">
                  <c:v>0.1277777777777778</c:v>
                </c:pt>
                <c:pt idx="27">
                  <c:v>0.32500000000000001</c:v>
                </c:pt>
                <c:pt idx="28">
                  <c:v>0.35277777777777775</c:v>
                </c:pt>
                <c:pt idx="29">
                  <c:v>0.53888888888888897</c:v>
                </c:pt>
                <c:pt idx="30">
                  <c:v>0.46944444444444444</c:v>
                </c:pt>
                <c:pt idx="31">
                  <c:v>0.43111698402090393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8B-4A4D-884C-AE77AFB61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6172416"/>
        <c:axId val="119807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tx>
                <c:rich>
                  <a:bodyPr/>
                  <a:lstStyle/>
                  <a:p>
                    <a:pPr>
                      <a:defRPr sz="2000" b="1"/>
                    </a:pPr>
                    <a:r>
                      <a:rPr lang="en-US" altLang="ko-KR"/>
                      <a:t>62%</a:t>
                    </a:r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8B-4A4D-884C-AE77AFB6101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총괄!$B$19:$AG$19</c:f>
              <c:numCache>
                <c:formatCode>0%</c:formatCode>
                <c:ptCount val="32"/>
                <c:pt idx="0">
                  <c:v>0.62</c:v>
                </c:pt>
                <c:pt idx="1">
                  <c:v>0.62</c:v>
                </c:pt>
                <c:pt idx="2">
                  <c:v>0.62</c:v>
                </c:pt>
                <c:pt idx="3">
                  <c:v>0.62</c:v>
                </c:pt>
                <c:pt idx="4">
                  <c:v>0.62</c:v>
                </c:pt>
                <c:pt idx="5">
                  <c:v>0.62</c:v>
                </c:pt>
                <c:pt idx="6">
                  <c:v>0.62</c:v>
                </c:pt>
                <c:pt idx="7">
                  <c:v>0.62</c:v>
                </c:pt>
                <c:pt idx="8">
                  <c:v>0.62</c:v>
                </c:pt>
                <c:pt idx="9">
                  <c:v>0.62</c:v>
                </c:pt>
                <c:pt idx="10">
                  <c:v>0.62</c:v>
                </c:pt>
                <c:pt idx="11">
                  <c:v>0.62</c:v>
                </c:pt>
                <c:pt idx="12">
                  <c:v>0.62</c:v>
                </c:pt>
                <c:pt idx="13">
                  <c:v>0.62</c:v>
                </c:pt>
                <c:pt idx="14">
                  <c:v>0.62</c:v>
                </c:pt>
                <c:pt idx="15">
                  <c:v>0.62</c:v>
                </c:pt>
                <c:pt idx="16">
                  <c:v>0.62</c:v>
                </c:pt>
                <c:pt idx="17">
                  <c:v>0.62</c:v>
                </c:pt>
                <c:pt idx="18">
                  <c:v>0.62</c:v>
                </c:pt>
                <c:pt idx="19">
                  <c:v>0.62</c:v>
                </c:pt>
                <c:pt idx="20">
                  <c:v>0.62</c:v>
                </c:pt>
                <c:pt idx="21">
                  <c:v>0.62</c:v>
                </c:pt>
                <c:pt idx="22">
                  <c:v>0.62</c:v>
                </c:pt>
                <c:pt idx="23">
                  <c:v>0.62</c:v>
                </c:pt>
                <c:pt idx="24">
                  <c:v>0.62</c:v>
                </c:pt>
                <c:pt idx="25">
                  <c:v>0.62</c:v>
                </c:pt>
                <c:pt idx="26">
                  <c:v>0.62</c:v>
                </c:pt>
                <c:pt idx="27">
                  <c:v>0.62</c:v>
                </c:pt>
                <c:pt idx="28">
                  <c:v>0.62</c:v>
                </c:pt>
                <c:pt idx="29">
                  <c:v>0.62</c:v>
                </c:pt>
                <c:pt idx="30">
                  <c:v>0.62</c:v>
                </c:pt>
                <c:pt idx="31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8B-4A4D-884C-AE77AFB61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172416"/>
        <c:axId val="1198071808"/>
      </c:lineChart>
      <c:catAx>
        <c:axId val="3061724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198071808"/>
        <c:crosses val="autoZero"/>
        <c:auto val="1"/>
        <c:lblAlgn val="ctr"/>
        <c:lblOffset val="100"/>
        <c:noMultiLvlLbl val="0"/>
      </c:catAx>
      <c:valAx>
        <c:axId val="119807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3061724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4.xml"/><Relationship Id="rId1" Type="http://schemas.openxmlformats.org/officeDocument/2006/relationships/chart" Target="../charts/chart123.xml"/><Relationship Id="rId6" Type="http://schemas.openxmlformats.org/officeDocument/2006/relationships/chart" Target="../charts/chart127.xml"/><Relationship Id="rId5" Type="http://schemas.openxmlformats.org/officeDocument/2006/relationships/chart" Target="../charts/chart126.xml"/><Relationship Id="rId4" Type="http://schemas.openxmlformats.org/officeDocument/2006/relationships/chart" Target="../charts/chart125.xml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9.xml"/><Relationship Id="rId1" Type="http://schemas.openxmlformats.org/officeDocument/2006/relationships/chart" Target="../charts/chart128.xml"/><Relationship Id="rId6" Type="http://schemas.openxmlformats.org/officeDocument/2006/relationships/chart" Target="../charts/chart132.xml"/><Relationship Id="rId5" Type="http://schemas.openxmlformats.org/officeDocument/2006/relationships/chart" Target="../charts/chart131.xml"/><Relationship Id="rId4" Type="http://schemas.openxmlformats.org/officeDocument/2006/relationships/chart" Target="../charts/chart13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4.xml"/><Relationship Id="rId1" Type="http://schemas.openxmlformats.org/officeDocument/2006/relationships/chart" Target="../charts/chart133.xml"/><Relationship Id="rId6" Type="http://schemas.openxmlformats.org/officeDocument/2006/relationships/chart" Target="../charts/chart137.xml"/><Relationship Id="rId5" Type="http://schemas.openxmlformats.org/officeDocument/2006/relationships/chart" Target="../charts/chart136.xml"/><Relationship Id="rId4" Type="http://schemas.openxmlformats.org/officeDocument/2006/relationships/chart" Target="../charts/chart135.xml"/></Relationships>
</file>

<file path=xl/drawings/_rels/drawing5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9.xml"/><Relationship Id="rId1" Type="http://schemas.openxmlformats.org/officeDocument/2006/relationships/chart" Target="../charts/chart138.xml"/><Relationship Id="rId6" Type="http://schemas.openxmlformats.org/officeDocument/2006/relationships/chart" Target="../charts/chart142.xml"/><Relationship Id="rId5" Type="http://schemas.openxmlformats.org/officeDocument/2006/relationships/chart" Target="../charts/chart141.xml"/><Relationship Id="rId4" Type="http://schemas.openxmlformats.org/officeDocument/2006/relationships/chart" Target="../charts/chart140.xml"/></Relationships>
</file>

<file path=xl/drawings/_rels/drawing5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4.xml"/><Relationship Id="rId1" Type="http://schemas.openxmlformats.org/officeDocument/2006/relationships/chart" Target="../charts/chart143.xml"/><Relationship Id="rId6" Type="http://schemas.openxmlformats.org/officeDocument/2006/relationships/chart" Target="../charts/chart147.xml"/><Relationship Id="rId5" Type="http://schemas.openxmlformats.org/officeDocument/2006/relationships/chart" Target="../charts/chart146.xml"/><Relationship Id="rId4" Type="http://schemas.openxmlformats.org/officeDocument/2006/relationships/chart" Target="../charts/chart145.xml"/></Relationships>
</file>

<file path=xl/drawings/_rels/drawing6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9.xml"/><Relationship Id="rId1" Type="http://schemas.openxmlformats.org/officeDocument/2006/relationships/chart" Target="../charts/chart148.xml"/><Relationship Id="rId6" Type="http://schemas.openxmlformats.org/officeDocument/2006/relationships/chart" Target="../charts/chart152.xml"/><Relationship Id="rId5" Type="http://schemas.openxmlformats.org/officeDocument/2006/relationships/chart" Target="../charts/chart151.xml"/><Relationship Id="rId4" Type="http://schemas.openxmlformats.org/officeDocument/2006/relationships/chart" Target="../charts/chart15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C45E299-0C4A-4122-BE92-BC081BAB4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8EDFFFF-7BC1-4D4D-847F-9D7AAC54D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82D3A00-EE09-4020-96D9-F955437ED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ED78FCB2-9181-476E-AB24-7487AAB57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48FF4489-3C48-44A0-B4C2-0C819F393C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30C5944-D483-493F-8CA8-EA005DA8A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2A56D7E-B677-445C-BA63-1301F8FEB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8CA01AC-100F-4CDC-9242-1E3E465D48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1798567-56F7-4231-A28A-1CF5C406FF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81FB5CA-F34F-49FD-AB5A-1A31153B6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13E3674-7948-489F-B7AB-F8FF1A1BE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6DEDE09-9B7E-4674-AC14-AFDF170BD2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E8ED583-58F7-469B-BC1E-D75B9DFA0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4A18CAD7-3DE6-4D84-8475-9D6E679E79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A4DCF40-C572-45D3-A658-F7ECDA9B1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54E041A7-903B-498D-AE3C-E2CB7714E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C3A5F017-C8E3-4FA7-AE13-883C538E5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2D13410-DA15-4901-A5DE-2679C3BDA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159D132-9C12-4ACF-A394-7C67AE2E6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B15663F-24B7-42F4-98D8-8F973EEF8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FBFD87A-1F5A-4795-A625-E37BE4D00C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2DAB3A-79E0-4549-B3FC-B2422B269F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BE5210A-F99E-415E-9D82-6A8737E0EB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A85BC2B7-3AEF-4FD1-8DC6-1DD6C945B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BC3FF14-580A-41DE-ACED-5702CEBD9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D04B1CA-EAC8-4D63-980A-01DE0D317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F3BA4DA-F795-42CA-82AF-D10FF2CE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C771DF7-A1A3-45BB-87F4-FF29B0974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291042</xdr:colOff>
      <xdr:row>52</xdr:row>
      <xdr:rowOff>264584</xdr:rowOff>
    </xdr:from>
    <xdr:to>
      <xdr:col>22</xdr:col>
      <xdr:colOff>304271</xdr:colOff>
      <xdr:row>55</xdr:row>
      <xdr:rowOff>185209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0CB0ED-1D8E-4F8B-9731-2FE518768CCE}"/>
            </a:ext>
          </a:extLst>
        </xdr:cNvPr>
        <xdr:cNvSpPr txBox="1"/>
      </xdr:nvSpPr>
      <xdr:spPr>
        <a:xfrm>
          <a:off x="13970000" y="16629063"/>
          <a:ext cx="5040313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/>
            <a:t>SST </a:t>
          </a:r>
          <a:r>
            <a:rPr lang="ko-KR" altLang="en-US" sz="2000"/>
            <a:t>신작 셈플 </a:t>
          </a:r>
          <a:r>
            <a:rPr lang="en-US" altLang="ko-KR" sz="2000"/>
            <a:t>10</a:t>
          </a:r>
          <a:r>
            <a:rPr lang="ko-KR" altLang="en-US" sz="2000"/>
            <a:t>벌 예정</a:t>
          </a: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759084-1C5F-4B1F-9FAE-131283305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D407CE6-121A-4554-864D-626D46BFBF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52872A9-D7DE-4F4C-BCCD-938160842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C5865CB1-72C4-4CDA-91AA-F642D94848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BB4C278-3FA9-41E3-B3EA-3C230A4C9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B63525C-E906-43CC-BAFD-AD5E2F53F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B421010-DB9B-45A9-9104-35BBAF8146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291042</xdr:colOff>
      <xdr:row>51</xdr:row>
      <xdr:rowOff>264584</xdr:rowOff>
    </xdr:from>
    <xdr:to>
      <xdr:col>22</xdr:col>
      <xdr:colOff>304271</xdr:colOff>
      <xdr:row>54</xdr:row>
      <xdr:rowOff>185209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BEDED32-9843-452E-B595-560C52529243}"/>
            </a:ext>
          </a:extLst>
        </xdr:cNvPr>
        <xdr:cNvSpPr txBox="1"/>
      </xdr:nvSpPr>
      <xdr:spPr>
        <a:xfrm>
          <a:off x="13949892" y="16552334"/>
          <a:ext cx="5032904" cy="949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/>
            <a:t>SST </a:t>
          </a:r>
          <a:r>
            <a:rPr lang="ko-KR" altLang="en-US" sz="2000"/>
            <a:t>신작 셈플 </a:t>
          </a:r>
          <a:r>
            <a:rPr lang="en-US" altLang="ko-KR" sz="2000"/>
            <a:t>10</a:t>
          </a:r>
          <a:r>
            <a:rPr lang="ko-KR" altLang="en-US" sz="2000"/>
            <a:t>벌 예정</a:t>
          </a:r>
        </a:p>
      </xdr:txBody>
    </xdr:sp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C4BAD5-77D7-40C4-862D-F2EB29913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184FE9F-2079-40F1-BB96-346A522633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987095E-ED58-4F11-84BF-D8A50F921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D5EDA7E-23DD-46B2-8E4F-25052D19A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43AE516-36CD-4DBF-842B-8EF654C7C6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034BA34-9980-43F1-A610-593DF1F3F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B7588C4B-12A6-4F35-9D15-716775B4C6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92604</xdr:colOff>
      <xdr:row>57</xdr:row>
      <xdr:rowOff>52918</xdr:rowOff>
    </xdr:from>
    <xdr:to>
      <xdr:col>24</xdr:col>
      <xdr:colOff>185208</xdr:colOff>
      <xdr:row>59</xdr:row>
      <xdr:rowOff>317501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3A3C7E8-242A-45AB-9491-A81259F055E6}"/>
            </a:ext>
          </a:extLst>
        </xdr:cNvPr>
        <xdr:cNvSpPr txBox="1"/>
      </xdr:nvSpPr>
      <xdr:spPr>
        <a:xfrm>
          <a:off x="15107708" y="18176876"/>
          <a:ext cx="5040313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2000"/>
            <a:t>SST </a:t>
          </a:r>
          <a:r>
            <a:rPr lang="ko-KR" altLang="en-US" sz="2000"/>
            <a:t>신작 셈플 </a:t>
          </a:r>
          <a:r>
            <a:rPr lang="en-US" altLang="ko-KR" sz="2000"/>
            <a:t>10</a:t>
          </a:r>
          <a:r>
            <a:rPr lang="ko-KR" altLang="en-US" sz="2000"/>
            <a:t>벌 예정</a:t>
          </a:r>
        </a:p>
      </xdr:txBody>
    </xdr:sp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F7A8B0E-805F-4DE4-837B-300091B08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7D90186B-AE70-452D-81A5-AA7E39441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12C3368E-C5D8-4226-A13F-2CB161BC6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3DAF3DC-1524-42ED-9A97-23BB8DE26F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D66C806-82AD-4F6B-B6F3-069F51909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9849B68A-FD79-4D74-884F-986BE7AC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88D8782-AFCA-4DE3-877B-128303DECC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BA98EA-52E5-4D13-986B-6B4C356B07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CCC2644-3B5C-4648-9EFE-BD939074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538452D-3E7D-4890-AF4F-F4A82D13B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AB25783-D310-44C5-A229-3A1EEDB909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A34C769-98C7-4CE2-B418-DCFC57996E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737899C2-0F35-4F21-9E4E-7AA939D63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C4C8858-F1D8-4E1C-AFC3-77E6CD801E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C98CB28-C299-41F7-A098-A16FA3710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9C7BF20-B89C-4840-86BA-BDE5D84A6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184CB48-53BB-4EFB-B227-418815F2A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3C45FA2F-FD7A-43C0-B24A-8F3E0F2C4A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97B16BE-4D8F-438E-8145-ADD88F2158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178E37C-BF63-471E-BACE-9C215C1FF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50FA8AE-8393-4E2F-9255-EC58C1B57C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C1D11AC-9433-48FE-AFA4-1C505F0B34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D754A28-867D-4382-B2F7-23D2F1D477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2FE5DD44-41E8-4EFC-AB50-6D96E8254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6891EC5-59AB-4247-A207-5770D69CEA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8EFD5AE-2B90-4F08-910C-B9CA96A450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BA30864-F8B1-45DF-9A4E-AE620B732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B4454BF-3223-4316-A7E4-23FEFD0B1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9CCC150-ABC3-4469-BC43-0F182B35B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8C46E4F-4896-4B2C-98EE-FA584BF7F7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9F4EA88-4774-473F-B394-350860E1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DD1E473-F7FA-4E5A-A1B4-248B559B4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218D7DF-C549-42F6-85C0-13662D24C9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B9D4BB7A-0EA2-4783-8E2C-E0D296E54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D16EC5D9-3BE3-492A-9BF0-877A9B33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4B46649-5ACE-4450-BD2F-06B96809C1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B6EDCD0-914E-41E1-9A52-20A4D64B94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4C4B120-8208-49FB-8236-A0EF71DAB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D8B9E2-341A-4987-A038-76B3C79FFD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1AF4DD6-7D91-4128-8135-EFF5AD4F33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1156879-7249-4DC5-9C02-6EB13ADD9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AB13161-61DC-4736-95BE-6567BD1E90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38C92E-F4E5-4763-9319-BEBB0F94FA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6CFF1B6-8032-4DA7-A8A1-8CBC34481E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16177F2-C656-440D-A6A1-7C76E4DF2E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E9F1EEF-75C6-4560-9C80-9F80CA9D6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DB2549E-0A3C-472D-AD64-CEB42036B3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A5FB208-FFB6-4112-9044-02A28D740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23C6909-38A8-4B63-A0B1-0500BC38E7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EF2F0C-0FF0-4060-B864-54075732B2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3821E85-6ECB-49FA-9DEC-D762A77724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07BBBC55-B220-4CDE-91E7-7CB1080CE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8162789-F690-4E4E-9D72-7628B7D1C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6892CD5E-4295-4AD5-B2BC-8E765F4FCF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9EADADC-ABD8-4691-A275-3E219C61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1D4DA26-6D67-4493-ACCD-89343750B3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26823A4-CA56-4840-BECD-21A92E78AA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C36B149-98A2-4E73-AB66-70CB64BF1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89153BA6-DC54-40D8-A308-793884342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77D210-978B-446F-BABE-67085E688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81D869B3-7807-4799-B2FD-787725E4B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FB3E2DD7-5EDA-4182-977F-60ABE9E26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C15E1A7-2F08-47E0-9FA8-96C0AAB41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E4ED29C-2611-4B32-B213-F98D0A46C7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A15AC3E-1425-474C-AA37-75C33AB0E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BCD594A6-1779-41E1-A52E-793369CF8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9CCC888-91AF-4BA0-9D39-5433B953E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6E09162-9760-4DAF-8058-8FADAB6427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D76F2E4F-52D2-46B1-B609-7005E5FE0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D989541-F05C-47C9-B55F-B9A2D4888C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73E6D09-38D6-4210-A9E6-C62E7FE5F4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D49E8BAC-F3E1-4B2B-8F6E-FEEED5DC6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EEAAC0D-7462-4409-BFA1-317F5E3B01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4AAF9B22-6B8E-4AC8-AF64-BCD61E72D9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E1BF442-46B5-450C-BC3E-5FCE1967C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B9244E1-D0FB-4188-AFA8-CD197DB17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21662E4-67F4-4A1E-86E7-879B5DBB1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6FE3DA8-8653-453D-B619-4C3E577F0E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F35566-B5C0-4BD8-970F-D398363F08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2964EB4-3551-4F44-A366-F6DAD9C72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00830BA-C988-4BB6-8D30-0ABA08C37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1B755D79-2248-4BC6-BCEF-2BF7D06E7E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65E4F31-DA84-4428-94A2-E45F141BB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B50A15C-E8FB-4CE3-8232-8A6D1D12C6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C1EFC41-EED7-437F-B4D4-59A889200A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0B659CE-E3DD-4ECE-B000-9D09C10B7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174DDEF-70A2-4287-8A69-5D8F954E5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781D070-1FBA-46C6-8F55-5AEA89C1A3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6DE7DE0-E2FE-470C-A3C3-B5162715D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39C20D21-044C-4848-BECD-DD8455F1D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64B95CE2-25E2-4D78-91F4-B7C96F1EB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63A167E-F7EB-4FDC-B0CB-8491D5345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305B30E-C171-4BB6-BA0E-488CE17792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B39DCB8-40E1-4D7B-822D-2F18E1A29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2F87A1E-07D2-4371-90E0-5753FCC785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2E36E479-C99B-4758-A0B3-B7246D63FB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81B510F3-34B9-4310-8ECB-EE386D6D4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21083446-55BD-44C0-B9B1-F6F3089AF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F800DB-5882-481C-9FBB-59C20D8C3F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EAB3198-12F1-40CE-A55A-BCB372D764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3E8740E-16D6-4BEB-9F21-7DCA33ABF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7661C3B9-2396-48AE-A77E-C9C5E49F7F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212BE99-30DF-40A5-B5DF-D7F573814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2DDFF7BB-8C4E-4FF2-9645-5FF10E9C7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C83A847B-C0E3-4FF2-96C2-125B19538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F99BFCC-CDAA-4801-B386-0947A64152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C4A685E-AF2B-44EB-9F14-6F7A03C725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210F70C-3D7B-4379-8AFA-AC402B389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9BCB1B10-7C27-45CD-A8AD-973A815746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6D7B2E6-EA22-4C93-9B1B-81D21D361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6BA03F2-5E29-4F43-B360-83602BA6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263E7AB-F8C3-4EEA-A0AD-729F74E1B4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7813E1F-D911-4658-95B0-7DE3FC3731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6027853-D1CA-4462-A4F7-F7AC243E3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E0D0C0F3-EF5D-4249-A312-124840EDA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EB1BCD8-75BD-40AD-9C3B-B7D67EF38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5572CC59-2AAD-426E-9F5C-65C036449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1CF5F61B-30BC-4606-94B3-D0B03ED18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AE3E6C64-99C2-4156-AEF9-54C578A165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7C7588D4-B1A4-4C8D-A694-CAF94EC5D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C70187-9326-4568-85CF-02880CDBAC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9F3744A2-EBF5-456E-BD4A-FD466EAA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6FD2C6F-EB7E-469F-9EE3-9715B2FE56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4F39C9B-8575-4145-A1CE-885D505F8F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480AADDB-6359-43EA-A51E-C94CD4FF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4477B01-B7A6-4407-9029-925478F1D6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FC756C1-DEB1-4279-AA50-8C5E9489A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813943-AEA2-44EF-B66A-9BEA4B6D4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4DA40679-31AA-4D69-B0B1-DB7B174BE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5C763759-A0F1-4CAC-8AAF-ACC2EA9E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DCD7304B-46F0-4F82-B39D-DAC3358F7D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669B65E-DD1D-4B44-9160-EE8EB56AA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384F899-54EB-4BFE-AADA-E60AF925C8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0EBD6DD-4673-4624-8EC9-29A96B3571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2857F77-ED28-4326-BCAF-B103C3F11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63E03981-2532-4B31-BB84-F264EE5F9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DED8A71-7A4E-49C3-9FDF-067F9632E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AF499983-E142-4FD8-9BCA-A59A429E1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AA3ACA8D-657B-4050-B9BD-8369204A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3C433BB7-CFB6-43B5-8F00-0402E09460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5B02639-82F0-4D40-B17B-7433DB38D5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E1674FBF-9EB1-46CD-A68E-B388574D6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5F801A00-0ACE-4E9F-8EE5-BECD598D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26</xdr:row>
      <xdr:rowOff>0</xdr:rowOff>
    </xdr:from>
    <xdr:to>
      <xdr:col>12</xdr:col>
      <xdr:colOff>1199028</xdr:colOff>
      <xdr:row>39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DA59546-C493-41BF-ABD9-90F05D0CB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29</xdr:col>
      <xdr:colOff>457200</xdr:colOff>
      <xdr:row>39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09CE297-9CF8-48AE-84AE-B781E556C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07943F76-EE36-4C92-A2A0-1AA6C088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40</xdr:row>
      <xdr:rowOff>13607</xdr:rowOff>
    </xdr:from>
    <xdr:to>
      <xdr:col>29</xdr:col>
      <xdr:colOff>476250</xdr:colOff>
      <xdr:row>48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7EB038F-39DA-4B0F-AFD7-95695DB0D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A35F5D3-A5BE-4238-92A7-D5D230F504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3D1D04-E727-4FF4-B9EF-C9241CE24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7D84567B-8391-4387-815C-2C26861F6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FC08A076-3C01-411C-839E-A9B2DB6521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EB6856A2-D762-4A4B-AC24-ACE0E45B5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55906EDB-C1FB-4821-91E0-22196190B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971F2978-5B16-4F54-AC98-1818059DBF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62A7C1-D177-460D-86DC-82FC4DEA1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DFC5EE5-65D9-4648-8DE4-5B4088C638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D2F79CD3-ACF8-44E7-A704-85C984E5F5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55C6E40-4183-46F6-8C72-5D32B9C11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372E8D94-9B0B-4948-B7EE-194A96EDE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E187B7A2-B4A2-4987-A7A7-EC1EE3DE0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512C605-C60E-42B5-9D66-D58A9A4D2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43F0466-5434-43C7-BCC1-8C0298606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1DBEFC7-016A-4F63-AD6C-972F07CF35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>
          <a:extLst>
            <a:ext uri="{FF2B5EF4-FFF2-40B4-BE49-F238E27FC236}">
              <a16:creationId xmlns:a16="http://schemas.microsoft.com/office/drawing/2014/main" id="{FC2FB70D-72AB-480E-86F2-EF72425EB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8D92641-2646-419E-B069-6D87504016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0794119C-74DC-4FF8-91F7-892674AF4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>
          <a:extLst>
            <a:ext uri="{FF2B5EF4-FFF2-40B4-BE49-F238E27FC236}">
              <a16:creationId xmlns:a16="http://schemas.microsoft.com/office/drawing/2014/main" id="{6E1C2C26-9671-445D-80C3-30BF1B1BF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0728" y="54428"/>
          <a:ext cx="3178628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5DFBE17F-E55B-4309-9942-1567B1AC9A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8" sqref="AI8"/>
    </sheetView>
  </sheetViews>
  <sheetFormatPr defaultRowHeight="13.5"/>
  <cols>
    <col min="1" max="1" width="7.5" style="68" bestFit="1" customWidth="1"/>
    <col min="2" max="17" width="5.5" style="68" bestFit="1" customWidth="1"/>
    <col min="18" max="18" width="6" style="68" customWidth="1"/>
    <col min="19" max="33" width="5.5" style="68" bestFit="1" customWidth="1"/>
    <col min="34" max="16384" width="9" style="68"/>
  </cols>
  <sheetData>
    <row r="1" spans="1:33" ht="33.75" customHeight="1" thickBot="1">
      <c r="A1" s="425" t="s">
        <v>189</v>
      </c>
      <c r="B1" s="425"/>
      <c r="C1" s="425"/>
      <c r="D1" s="425"/>
      <c r="E1" s="425"/>
      <c r="F1" s="425"/>
      <c r="G1" s="425"/>
      <c r="H1" s="425"/>
    </row>
    <row r="2" spans="1:33" ht="21.75" customHeight="1" thickBot="1">
      <c r="A2" s="89" t="s">
        <v>59</v>
      </c>
      <c r="B2" s="91" t="s">
        <v>74</v>
      </c>
      <c r="C2" s="92" t="s">
        <v>75</v>
      </c>
      <c r="D2" s="92" t="s">
        <v>76</v>
      </c>
      <c r="E2" s="92" t="s">
        <v>77</v>
      </c>
      <c r="F2" s="92" t="s">
        <v>78</v>
      </c>
      <c r="G2" s="92" t="s">
        <v>79</v>
      </c>
      <c r="H2" s="92" t="s">
        <v>80</v>
      </c>
      <c r="I2" s="92" t="s">
        <v>81</v>
      </c>
      <c r="J2" s="92" t="s">
        <v>82</v>
      </c>
      <c r="K2" s="92" t="s">
        <v>83</v>
      </c>
      <c r="L2" s="92" t="s">
        <v>84</v>
      </c>
      <c r="M2" s="92" t="s">
        <v>85</v>
      </c>
      <c r="N2" s="92" t="s">
        <v>86</v>
      </c>
      <c r="O2" s="92" t="s">
        <v>87</v>
      </c>
      <c r="P2" s="92" t="s">
        <v>88</v>
      </c>
      <c r="Q2" s="92" t="s">
        <v>89</v>
      </c>
      <c r="R2" s="92" t="s">
        <v>90</v>
      </c>
      <c r="S2" s="92" t="s">
        <v>91</v>
      </c>
      <c r="T2" s="92" t="s">
        <v>92</v>
      </c>
      <c r="U2" s="92" t="s">
        <v>93</v>
      </c>
      <c r="V2" s="92" t="s">
        <v>94</v>
      </c>
      <c r="W2" s="92" t="s">
        <v>95</v>
      </c>
      <c r="X2" s="92" t="s">
        <v>96</v>
      </c>
      <c r="Y2" s="92" t="s">
        <v>97</v>
      </c>
      <c r="Z2" s="92" t="s">
        <v>98</v>
      </c>
      <c r="AA2" s="92" t="s">
        <v>99</v>
      </c>
      <c r="AB2" s="92" t="s">
        <v>100</v>
      </c>
      <c r="AC2" s="92" t="s">
        <v>101</v>
      </c>
      <c r="AD2" s="92" t="s">
        <v>102</v>
      </c>
      <c r="AE2" s="92" t="s">
        <v>103</v>
      </c>
      <c r="AF2" s="93" t="s">
        <v>104</v>
      </c>
      <c r="AG2" s="89" t="s">
        <v>106</v>
      </c>
    </row>
    <row r="3" spans="1:33" ht="21.75" customHeight="1">
      <c r="A3" s="109" t="s">
        <v>60</v>
      </c>
      <c r="B3" s="104">
        <f>'01'!AD6</f>
        <v>0</v>
      </c>
      <c r="C3" s="104">
        <f>'02'!AD6</f>
        <v>0</v>
      </c>
      <c r="D3" s="97">
        <f>'03'!AD6</f>
        <v>0</v>
      </c>
      <c r="E3" s="97">
        <f>'04'!AD6</f>
        <v>0</v>
      </c>
      <c r="F3" s="97">
        <f>'05'!AD6</f>
        <v>0</v>
      </c>
      <c r="G3" s="97"/>
      <c r="H3" s="97">
        <f>'07'!AD6</f>
        <v>0</v>
      </c>
      <c r="I3" s="97">
        <f>'08'!AD6</f>
        <v>0</v>
      </c>
      <c r="J3" s="97">
        <f>'09'!AD6</f>
        <v>0</v>
      </c>
      <c r="K3" s="97">
        <f>'10'!AD6</f>
        <v>0</v>
      </c>
      <c r="L3" s="97">
        <f>'11'!AD6</f>
        <v>0</v>
      </c>
      <c r="M3" s="97">
        <f>'12'!AD6</f>
        <v>0</v>
      </c>
      <c r="N3" s="115">
        <f>'13'!AD6</f>
        <v>0</v>
      </c>
      <c r="O3" s="97">
        <f>'14'!AD6</f>
        <v>0</v>
      </c>
      <c r="P3" s="97">
        <f>'15'!AD6</f>
        <v>0</v>
      </c>
      <c r="Q3" s="97">
        <f>'16'!AD6</f>
        <v>0</v>
      </c>
      <c r="R3" s="97">
        <f>'17'!AD6</f>
        <v>0</v>
      </c>
      <c r="S3" s="97">
        <f>'18'!AD6</f>
        <v>0</v>
      </c>
      <c r="T3" s="97">
        <f>'19'!AD6</f>
        <v>0</v>
      </c>
      <c r="U3" s="97">
        <f>'20'!AD6</f>
        <v>0</v>
      </c>
      <c r="V3" s="97">
        <f>'21'!AD6</f>
        <v>0</v>
      </c>
      <c r="W3" s="115">
        <f>'22'!AD6</f>
        <v>0</v>
      </c>
      <c r="X3" s="97">
        <f>'23'!AD6</f>
        <v>0</v>
      </c>
      <c r="Y3" s="97">
        <f>'24'!AD6</f>
        <v>0</v>
      </c>
      <c r="Z3" s="97">
        <f>'25'!AD6</f>
        <v>0</v>
      </c>
      <c r="AA3" s="97">
        <f>'26'!AD6</f>
        <v>0</v>
      </c>
      <c r="AB3" s="97">
        <f>'27'!AD6</f>
        <v>0</v>
      </c>
      <c r="AC3" s="97">
        <f>'28'!AD6</f>
        <v>0</v>
      </c>
      <c r="AD3" s="97">
        <f>'29'!AD6</f>
        <v>0</v>
      </c>
      <c r="AE3" s="97">
        <f>'30'!AD6</f>
        <v>0</v>
      </c>
      <c r="AF3" s="98">
        <f>'31'!AD6</f>
        <v>0</v>
      </c>
      <c r="AG3" s="100">
        <f>SUM(B3:AF3)/31</f>
        <v>0</v>
      </c>
    </row>
    <row r="4" spans="1:33" ht="21.75" customHeight="1">
      <c r="A4" s="110" t="s">
        <v>61</v>
      </c>
      <c r="B4" s="105">
        <f>'01'!AD7</f>
        <v>0</v>
      </c>
      <c r="C4" s="105">
        <f>'02'!AD7</f>
        <v>0</v>
      </c>
      <c r="D4" s="74">
        <f>'03'!AD7</f>
        <v>0</v>
      </c>
      <c r="E4" s="74">
        <f>'04'!AD7</f>
        <v>0</v>
      </c>
      <c r="F4" s="74">
        <f>'05'!AD7</f>
        <v>0</v>
      </c>
      <c r="G4" s="74"/>
      <c r="H4" s="74">
        <f>'07'!AD7</f>
        <v>0</v>
      </c>
      <c r="I4" s="74">
        <f>'08'!AD7</f>
        <v>0</v>
      </c>
      <c r="J4" s="74">
        <f>'09'!AD7</f>
        <v>0</v>
      </c>
      <c r="K4" s="74">
        <f>'10'!AD7</f>
        <v>0</v>
      </c>
      <c r="L4" s="74">
        <f>'11'!AD7</f>
        <v>0</v>
      </c>
      <c r="M4" s="74">
        <f>'12'!AD7</f>
        <v>0</v>
      </c>
      <c r="N4" s="74">
        <f>'13'!AD7</f>
        <v>0</v>
      </c>
      <c r="O4" s="74">
        <f>'14'!AD7</f>
        <v>0</v>
      </c>
      <c r="P4" s="74">
        <f>'15'!AD7</f>
        <v>0</v>
      </c>
      <c r="Q4" s="74">
        <f>'16'!AD7</f>
        <v>0</v>
      </c>
      <c r="R4" s="74">
        <f>'17'!AD7</f>
        <v>0</v>
      </c>
      <c r="S4" s="74">
        <f>'18'!AD7</f>
        <v>0</v>
      </c>
      <c r="T4" s="74">
        <f>'19'!AD7</f>
        <v>0</v>
      </c>
      <c r="U4" s="74">
        <f>'20'!AD7</f>
        <v>0</v>
      </c>
      <c r="V4" s="74">
        <f>'21'!AD7</f>
        <v>0</v>
      </c>
      <c r="W4" s="74">
        <f>'22'!AD7</f>
        <v>0</v>
      </c>
      <c r="X4" s="74">
        <f>'23'!AD7</f>
        <v>0</v>
      </c>
      <c r="Y4" s="74">
        <f>'24'!AD7</f>
        <v>0</v>
      </c>
      <c r="Z4" s="74">
        <f>'25'!AD7</f>
        <v>0</v>
      </c>
      <c r="AA4" s="74">
        <f>'26'!AD7</f>
        <v>0</v>
      </c>
      <c r="AB4" s="74">
        <f>'27'!AD7</f>
        <v>0</v>
      </c>
      <c r="AC4" s="74">
        <f>'28'!AD7</f>
        <v>0</v>
      </c>
      <c r="AD4" s="74">
        <f>'29'!AD7</f>
        <v>0</v>
      </c>
      <c r="AE4" s="74">
        <f>'30'!AD7</f>
        <v>0</v>
      </c>
      <c r="AF4" s="75">
        <f>'31'!AD7</f>
        <v>0</v>
      </c>
      <c r="AG4" s="76">
        <f t="shared" ref="AG4:AG17" si="0">SUM(B4:AF4)/31</f>
        <v>0</v>
      </c>
    </row>
    <row r="5" spans="1:33" ht="21.75" customHeight="1">
      <c r="A5" s="111" t="s">
        <v>62</v>
      </c>
      <c r="B5" s="106">
        <f>'01'!AD8</f>
        <v>1</v>
      </c>
      <c r="C5" s="106">
        <f>'02'!AD8</f>
        <v>1</v>
      </c>
      <c r="D5" s="77">
        <f>'03'!AD8</f>
        <v>1</v>
      </c>
      <c r="E5" s="77">
        <f>'04'!AD8</f>
        <v>1</v>
      </c>
      <c r="F5" s="77">
        <f>'05'!AD8</f>
        <v>1</v>
      </c>
      <c r="G5" s="77"/>
      <c r="H5" s="77">
        <f>'07'!AD8</f>
        <v>1</v>
      </c>
      <c r="I5" s="77">
        <f>'08'!AD8</f>
        <v>1</v>
      </c>
      <c r="J5" s="77">
        <f>'09'!AD8</f>
        <v>1</v>
      </c>
      <c r="K5" s="77">
        <f>'10'!AD8</f>
        <v>1</v>
      </c>
      <c r="L5" s="77">
        <f>'11'!AD8</f>
        <v>1</v>
      </c>
      <c r="M5" s="77">
        <f>'12'!AD8</f>
        <v>0.58333333333333337</v>
      </c>
      <c r="N5" s="77">
        <f>'13'!AD8</f>
        <v>0</v>
      </c>
      <c r="O5" s="77">
        <f>'14'!AD8</f>
        <v>0.875</v>
      </c>
      <c r="P5" s="77">
        <f>'15'!AD8</f>
        <v>1</v>
      </c>
      <c r="Q5" s="77">
        <f>'16'!AD8</f>
        <v>1</v>
      </c>
      <c r="R5" s="77">
        <f>'17'!AD8</f>
        <v>1</v>
      </c>
      <c r="S5" s="77">
        <f>'18'!AD8</f>
        <v>1</v>
      </c>
      <c r="T5" s="77">
        <f>'19'!AD8</f>
        <v>0.91666666666666663</v>
      </c>
      <c r="U5" s="77">
        <f>'20'!AD8</f>
        <v>0.5</v>
      </c>
      <c r="V5" s="77">
        <f>'21'!AD8</f>
        <v>0.625</v>
      </c>
      <c r="W5" s="116">
        <f>'22'!AD8</f>
        <v>1</v>
      </c>
      <c r="X5" s="77">
        <f>'23'!AD8</f>
        <v>0.625</v>
      </c>
      <c r="Y5" s="77">
        <f>'24'!AD8</f>
        <v>0.25</v>
      </c>
      <c r="Z5" s="77">
        <f>'25'!AD8</f>
        <v>0.58333333333333337</v>
      </c>
      <c r="AA5" s="77">
        <f>'26'!AD8</f>
        <v>0.91666666666666663</v>
      </c>
      <c r="AB5" s="77">
        <f>'27'!AD8</f>
        <v>0.29166666666666669</v>
      </c>
      <c r="AC5" s="77">
        <f>'28'!AD8+'28'!AD9</f>
        <v>0.91666666666666674</v>
      </c>
      <c r="AD5" s="77">
        <f>'29'!AD8</f>
        <v>0.79166666666666663</v>
      </c>
      <c r="AE5" s="77">
        <f>'30'!AD8</f>
        <v>0.5</v>
      </c>
      <c r="AF5" s="78">
        <f>'31'!AD8</f>
        <v>0</v>
      </c>
      <c r="AG5" s="79">
        <f t="shared" si="0"/>
        <v>0.75403225806451624</v>
      </c>
    </row>
    <row r="6" spans="1:33" ht="21.75" customHeight="1">
      <c r="A6" s="112" t="s">
        <v>63</v>
      </c>
      <c r="B6" s="107">
        <f>'01'!AD9</f>
        <v>0.75</v>
      </c>
      <c r="C6" s="107">
        <f>'02'!AD9</f>
        <v>0.70833333333333337</v>
      </c>
      <c r="D6" s="80">
        <f>'03'!AD9</f>
        <v>0.95833333333333337</v>
      </c>
      <c r="E6" s="80">
        <f>'04'!AD9</f>
        <v>1</v>
      </c>
      <c r="F6" s="80">
        <f>'05'!AD9</f>
        <v>0.91666666666666663</v>
      </c>
      <c r="G6" s="80"/>
      <c r="H6" s="80">
        <f>'07'!AD9</f>
        <v>0.41666666666666669</v>
      </c>
      <c r="I6" s="80">
        <f>'08'!AD9</f>
        <v>0.625</v>
      </c>
      <c r="J6" s="80">
        <f>'09'!AD9</f>
        <v>1</v>
      </c>
      <c r="K6" s="80">
        <f>'10'!AD9</f>
        <v>0.91666666666666663</v>
      </c>
      <c r="L6" s="80">
        <f>'11'!AD9</f>
        <v>0.91666666666666663</v>
      </c>
      <c r="M6" s="80">
        <f>'12'!AD9</f>
        <v>0.91666666666666663</v>
      </c>
      <c r="N6" s="80">
        <f>'13'!AD9</f>
        <v>0.41666666666666669</v>
      </c>
      <c r="O6" s="80">
        <f>'14'!AD9</f>
        <v>1</v>
      </c>
      <c r="P6" s="80">
        <f>'15'!AD9</f>
        <v>0.875</v>
      </c>
      <c r="Q6" s="80">
        <f>'16'!AD9+'16'!AD10</f>
        <v>0.43939753320683111</v>
      </c>
      <c r="R6" s="80">
        <f>'17'!AD9</f>
        <v>0.33333333333333331</v>
      </c>
      <c r="S6" s="80">
        <f>'18'!AD9</f>
        <v>0.33333333333333331</v>
      </c>
      <c r="T6" s="80">
        <f>'19'!AD9</f>
        <v>0</v>
      </c>
      <c r="U6" s="80">
        <f>'20'!AD9</f>
        <v>0.16666666666666666</v>
      </c>
      <c r="V6" s="80">
        <f>'21'!AD9</f>
        <v>0.375</v>
      </c>
      <c r="W6" s="80">
        <f>'22'!AD9</f>
        <v>0.41666666666666669</v>
      </c>
      <c r="X6" s="80">
        <f>'23'!AD9</f>
        <v>0.625</v>
      </c>
      <c r="Y6" s="80">
        <f>'24'!AD9</f>
        <v>0.41666666666666669</v>
      </c>
      <c r="Z6" s="80">
        <f>'25'!AD9</f>
        <v>0.625</v>
      </c>
      <c r="AA6" s="80">
        <f>'26'!AD9+'26'!AD10</f>
        <v>0.91666666666666663</v>
      </c>
      <c r="AB6" s="80">
        <f>'27'!AD9</f>
        <v>0.29166666666666669</v>
      </c>
      <c r="AC6" s="80">
        <f>'28'!AD10</f>
        <v>0</v>
      </c>
      <c r="AD6" s="80">
        <f>'29'!AD9</f>
        <v>0</v>
      </c>
      <c r="AE6" s="80">
        <f>'30'!AD9</f>
        <v>0.25</v>
      </c>
      <c r="AF6" s="81">
        <f>'31'!AD9</f>
        <v>0.58333333333333337</v>
      </c>
      <c r="AG6" s="82">
        <f t="shared" si="0"/>
        <v>0.55449669461957518</v>
      </c>
    </row>
    <row r="7" spans="1:33" ht="21.75" customHeight="1">
      <c r="A7" s="112" t="s">
        <v>64</v>
      </c>
      <c r="B7" s="107">
        <f>'01'!AD10+'01'!AD11</f>
        <v>0.91666666666666674</v>
      </c>
      <c r="C7" s="107">
        <f>'02'!AD10</f>
        <v>0.83333333333333337</v>
      </c>
      <c r="D7" s="80">
        <f>'03'!AD10</f>
        <v>0.83333333333333337</v>
      </c>
      <c r="E7" s="80">
        <f>'04'!AD10</f>
        <v>0.91666666666666663</v>
      </c>
      <c r="F7" s="80">
        <f>'05'!AD10</f>
        <v>1</v>
      </c>
      <c r="G7" s="80"/>
      <c r="H7" s="80">
        <f>'07'!AD10</f>
        <v>0.66666666666666663</v>
      </c>
      <c r="I7" s="80">
        <f>'08'!AD10</f>
        <v>1</v>
      </c>
      <c r="J7" s="80">
        <f>'09'!AD10+'09'!AD11</f>
        <v>0.25</v>
      </c>
      <c r="K7" s="80">
        <f>'10'!AD10</f>
        <v>0.25</v>
      </c>
      <c r="L7" s="80">
        <f>'11'!AD10</f>
        <v>0.45833333333333331</v>
      </c>
      <c r="M7" s="80">
        <f>'12'!AD10+'12'!AD11</f>
        <v>0.5</v>
      </c>
      <c r="N7" s="80">
        <f>'13'!AD10+'13'!AD11</f>
        <v>0.41666666666666669</v>
      </c>
      <c r="O7" s="80">
        <f>'14'!AD10+'14'!AD11</f>
        <v>0.875</v>
      </c>
      <c r="P7" s="80">
        <f>'15'!AD10</f>
        <v>8.3333333333333329E-2</v>
      </c>
      <c r="Q7" s="80">
        <f>'16'!AD11+'16'!AD12</f>
        <v>0.41666666666666669</v>
      </c>
      <c r="R7" s="80">
        <f>'17'!AD10</f>
        <v>0.79166666666666663</v>
      </c>
      <c r="S7" s="80">
        <f>'18'!AD10</f>
        <v>1</v>
      </c>
      <c r="T7" s="80">
        <f>'19'!AD10</f>
        <v>0</v>
      </c>
      <c r="U7" s="80">
        <f>'20'!AD10</f>
        <v>0</v>
      </c>
      <c r="V7" s="80">
        <f>'21'!AD10</f>
        <v>0</v>
      </c>
      <c r="W7" s="80">
        <f>'22'!AD10</f>
        <v>0</v>
      </c>
      <c r="X7" s="80">
        <f>'23'!AD10</f>
        <v>0.58333333333333337</v>
      </c>
      <c r="Y7" s="80">
        <f>'24'!AD10</f>
        <v>0.375</v>
      </c>
      <c r="Z7" s="80">
        <f>'25'!AD10</f>
        <v>0.91666666666666663</v>
      </c>
      <c r="AA7" s="80">
        <f>'26'!AD11</f>
        <v>0.91666666666666663</v>
      </c>
      <c r="AB7" s="80">
        <f>'27'!AD10</f>
        <v>0.25</v>
      </c>
      <c r="AC7" s="80">
        <f>'28'!AD11</f>
        <v>1</v>
      </c>
      <c r="AD7" s="80">
        <f>'29'!AD10</f>
        <v>0.75</v>
      </c>
      <c r="AE7" s="80">
        <f>'30'!AD10</f>
        <v>0.875</v>
      </c>
      <c r="AF7" s="81">
        <f>'31'!AD10</f>
        <v>0.83333333333333337</v>
      </c>
      <c r="AG7" s="82">
        <f t="shared" si="0"/>
        <v>0.57123655913978488</v>
      </c>
    </row>
    <row r="8" spans="1:33" ht="21.75" customHeight="1">
      <c r="A8" s="112" t="s">
        <v>65</v>
      </c>
      <c r="B8" s="107">
        <f>'01'!AD12+'01'!AD13</f>
        <v>0.625</v>
      </c>
      <c r="C8" s="107">
        <f>'02'!AD11+'02'!AD12</f>
        <v>0.70833333333333337</v>
      </c>
      <c r="D8" s="80">
        <f>'03'!AD11</f>
        <v>0</v>
      </c>
      <c r="E8" s="80">
        <f>'04'!AD11</f>
        <v>0</v>
      </c>
      <c r="F8" s="80">
        <f>'05'!AD11</f>
        <v>0.875</v>
      </c>
      <c r="G8" s="80"/>
      <c r="H8" s="80">
        <f>'07'!AD11</f>
        <v>1</v>
      </c>
      <c r="I8" s="80">
        <f>'08'!AD11</f>
        <v>1</v>
      </c>
      <c r="J8" s="80">
        <f>'09'!AD12</f>
        <v>0.375</v>
      </c>
      <c r="K8" s="80">
        <f>'10'!AD11</f>
        <v>0.5</v>
      </c>
      <c r="L8" s="80">
        <f>'11'!AD11</f>
        <v>0.20833333333333334</v>
      </c>
      <c r="M8" s="80">
        <f>'12'!AD12</f>
        <v>0.16666666666666666</v>
      </c>
      <c r="N8" s="80">
        <f>'13'!AD12</f>
        <v>0.125</v>
      </c>
      <c r="O8" s="80">
        <f>'14'!AD12</f>
        <v>0.25</v>
      </c>
      <c r="P8" s="80">
        <f>'15'!AD11</f>
        <v>0.58333333333333337</v>
      </c>
      <c r="Q8" s="80">
        <f>'16'!AD13</f>
        <v>0</v>
      </c>
      <c r="R8" s="80">
        <f>'17'!AD11</f>
        <v>0.79166666666666663</v>
      </c>
      <c r="S8" s="80">
        <f>'18'!AD11</f>
        <v>0.25</v>
      </c>
      <c r="T8" s="80">
        <f>'19'!AD11</f>
        <v>0</v>
      </c>
      <c r="U8" s="80">
        <f>'20'!AD11</f>
        <v>0</v>
      </c>
      <c r="V8" s="80">
        <f>'21'!AD11</f>
        <v>0.41666666666666669</v>
      </c>
      <c r="W8" s="80">
        <f>'22'!AD11</f>
        <v>0.83333333333333337</v>
      </c>
      <c r="X8" s="80">
        <f>'23'!AD11</f>
        <v>0.16666666666666666</v>
      </c>
      <c r="Y8" s="80">
        <f>'24'!AD11</f>
        <v>0.29166666666666669</v>
      </c>
      <c r="Z8" s="80">
        <f>'25'!AD11</f>
        <v>0.125</v>
      </c>
      <c r="AA8" s="80">
        <f>'26'!AD12</f>
        <v>0</v>
      </c>
      <c r="AB8" s="80">
        <f>'27'!AD11</f>
        <v>0</v>
      </c>
      <c r="AC8" s="80">
        <f>'28'!AD12</f>
        <v>0.29166666666666669</v>
      </c>
      <c r="AD8" s="80">
        <f>'29'!AD11</f>
        <v>0</v>
      </c>
      <c r="AE8" s="80">
        <f>'30'!AD11</f>
        <v>0</v>
      </c>
      <c r="AF8" s="81">
        <f>'31'!AD11</f>
        <v>0.58333333333333337</v>
      </c>
      <c r="AG8" s="82">
        <f t="shared" si="0"/>
        <v>0.32795698924731181</v>
      </c>
    </row>
    <row r="9" spans="1:33" ht="21.75" customHeight="1">
      <c r="A9" s="112" t="s">
        <v>66</v>
      </c>
      <c r="B9" s="107">
        <f>'01'!AD14</f>
        <v>0.875</v>
      </c>
      <c r="C9" s="107">
        <f>'02'!AD13</f>
        <v>0.875</v>
      </c>
      <c r="D9" s="80">
        <f>'03'!AD12</f>
        <v>1</v>
      </c>
      <c r="E9" s="80">
        <f>'04'!AD12</f>
        <v>0.83333333333333337</v>
      </c>
      <c r="F9" s="80">
        <f>'05'!AD12</f>
        <v>1</v>
      </c>
      <c r="G9" s="80"/>
      <c r="H9" s="80">
        <f>'07'!AD12</f>
        <v>1</v>
      </c>
      <c r="I9" s="80">
        <f>'08'!AD12</f>
        <v>1</v>
      </c>
      <c r="J9" s="80">
        <f>'09'!AD13</f>
        <v>1</v>
      </c>
      <c r="K9" s="80">
        <f>'10'!AD12</f>
        <v>1</v>
      </c>
      <c r="L9" s="80">
        <f>'11'!AD12</f>
        <v>0.75</v>
      </c>
      <c r="M9" s="80">
        <f>'12'!AD13</f>
        <v>1</v>
      </c>
      <c r="N9" s="80">
        <f>'13'!AD13</f>
        <v>0.41666666666666669</v>
      </c>
      <c r="O9" s="80">
        <f>'14'!AD13</f>
        <v>0.16666666666666666</v>
      </c>
      <c r="P9" s="80">
        <f>'15'!AD12</f>
        <v>0.45833333333333331</v>
      </c>
      <c r="Q9" s="80">
        <f>'16'!AD14</f>
        <v>0.16666666666666666</v>
      </c>
      <c r="R9" s="80">
        <f>'17'!AD12</f>
        <v>0.58333333333333337</v>
      </c>
      <c r="S9" s="80">
        <f>'18'!AD12</f>
        <v>0.5</v>
      </c>
      <c r="T9" s="80">
        <f>'19'!AD12</f>
        <v>0.83333333333333337</v>
      </c>
      <c r="U9" s="80">
        <f>'20'!AD12</f>
        <v>0.5</v>
      </c>
      <c r="V9" s="80">
        <f>'21'!AD12</f>
        <v>1</v>
      </c>
      <c r="W9" s="80">
        <f>'22'!AD12+'22'!AD13</f>
        <v>0.625</v>
      </c>
      <c r="X9" s="80">
        <f>'23'!AD12</f>
        <v>0.66666666666666663</v>
      </c>
      <c r="Y9" s="80">
        <f>'24'!AD12</f>
        <v>0.625</v>
      </c>
      <c r="Z9" s="80">
        <f>'25'!AD12</f>
        <v>0.16666666666666666</v>
      </c>
      <c r="AA9" s="80">
        <f>'26'!AD13</f>
        <v>0.70833333333333337</v>
      </c>
      <c r="AB9" s="80">
        <f>'27'!AD12</f>
        <v>0.41666666666666669</v>
      </c>
      <c r="AC9" s="80">
        <f>'28'!AD13</f>
        <v>0</v>
      </c>
      <c r="AD9" s="80">
        <f>'29'!AD12</f>
        <v>0.5</v>
      </c>
      <c r="AE9" s="80">
        <f>'30'!AD12</f>
        <v>0.75</v>
      </c>
      <c r="AF9" s="81">
        <f>'31'!AD12</f>
        <v>0.70833333333333337</v>
      </c>
      <c r="AG9" s="82">
        <f t="shared" si="0"/>
        <v>0.64919354838709675</v>
      </c>
    </row>
    <row r="10" spans="1:33" ht="21.75" customHeight="1">
      <c r="A10" s="112" t="s">
        <v>67</v>
      </c>
      <c r="B10" s="107">
        <f>'01'!AD15</f>
        <v>0.875</v>
      </c>
      <c r="C10" s="107">
        <f>'02'!AD14+'02'!AD15</f>
        <v>0.83333333333333326</v>
      </c>
      <c r="D10" s="80">
        <f>'03'!AD13</f>
        <v>0.75</v>
      </c>
      <c r="E10" s="80">
        <f>'04'!AD13+'04'!AD14</f>
        <v>0.91666666666666663</v>
      </c>
      <c r="F10" s="80">
        <f>'05'!AD13</f>
        <v>0</v>
      </c>
      <c r="G10" s="80"/>
      <c r="H10" s="80">
        <f>'07'!AD13</f>
        <v>0.58333333333333337</v>
      </c>
      <c r="I10" s="80">
        <f>'08'!AD13</f>
        <v>0</v>
      </c>
      <c r="J10" s="80">
        <f>'09'!AD14</f>
        <v>0.16666666666666666</v>
      </c>
      <c r="K10" s="80">
        <f>'10'!AD13+'10'!AD14</f>
        <v>0.375</v>
      </c>
      <c r="L10" s="80">
        <f>'11'!AD13</f>
        <v>0.29166666666666669</v>
      </c>
      <c r="M10" s="80">
        <f>'12'!AD14</f>
        <v>0.91666666666666663</v>
      </c>
      <c r="N10" s="80">
        <f>'13'!AD14</f>
        <v>0</v>
      </c>
      <c r="O10" s="80">
        <f>'14'!AD14</f>
        <v>0</v>
      </c>
      <c r="P10" s="80">
        <f>'15'!AD13</f>
        <v>0.58333333333333337</v>
      </c>
      <c r="Q10" s="80">
        <f>'16'!AD15</f>
        <v>0.41666666666666669</v>
      </c>
      <c r="R10" s="80">
        <f>'17'!AD13</f>
        <v>0</v>
      </c>
      <c r="S10" s="80">
        <f>'18'!AD13</f>
        <v>8.3333333333333329E-2</v>
      </c>
      <c r="T10" s="80">
        <f>'19'!AD13</f>
        <v>0.58333333333333337</v>
      </c>
      <c r="U10" s="80">
        <f>'20'!AD13</f>
        <v>0.33333333333333331</v>
      </c>
      <c r="V10" s="80">
        <f>'21'!AD13</f>
        <v>0.91666666666666663</v>
      </c>
      <c r="W10" s="80">
        <f>'22'!AD14+'22'!AD15</f>
        <v>0.58333333333333337</v>
      </c>
      <c r="X10" s="80">
        <f>'23'!AD13</f>
        <v>0</v>
      </c>
      <c r="Y10" s="80">
        <f>'24'!AD13</f>
        <v>0.83333333333333337</v>
      </c>
      <c r="Z10" s="80">
        <f>'25'!AD13</f>
        <v>0.91666666666666663</v>
      </c>
      <c r="AA10" s="80">
        <f>'26'!AD14</f>
        <v>0.91666666666666663</v>
      </c>
      <c r="AB10" s="80">
        <f>'27'!AD13</f>
        <v>0.25</v>
      </c>
      <c r="AC10" s="80">
        <f>'28'!AD14</f>
        <v>0.66666666666666663</v>
      </c>
      <c r="AD10" s="80">
        <f>'29'!AD13</f>
        <v>1</v>
      </c>
      <c r="AE10" s="80">
        <f>'30'!AD13+'30'!AD14</f>
        <v>0.875</v>
      </c>
      <c r="AF10" s="81">
        <f>'31'!AD13</f>
        <v>0.41666666666666669</v>
      </c>
      <c r="AG10" s="82">
        <f t="shared" si="0"/>
        <v>0.48655913978494619</v>
      </c>
    </row>
    <row r="11" spans="1:33" ht="21.75" customHeight="1">
      <c r="A11" s="119" t="s">
        <v>68</v>
      </c>
      <c r="B11" s="120">
        <f>'01'!AD16</f>
        <v>0</v>
      </c>
      <c r="C11" s="120">
        <f>'02'!AD16</f>
        <v>0.16666666666666666</v>
      </c>
      <c r="D11" s="121">
        <f>'03'!AD14</f>
        <v>0</v>
      </c>
      <c r="E11" s="121">
        <f>'04'!AD15</f>
        <v>0.33333333333333331</v>
      </c>
      <c r="F11" s="121">
        <f>'05'!AD14</f>
        <v>0.25</v>
      </c>
      <c r="G11" s="121"/>
      <c r="H11" s="121">
        <f>'07'!AD14</f>
        <v>0</v>
      </c>
      <c r="I11" s="121">
        <f>'08'!AD14</f>
        <v>0</v>
      </c>
      <c r="J11" s="121">
        <f>'09'!AD15</f>
        <v>0</v>
      </c>
      <c r="K11" s="121">
        <f>'10'!AD15</f>
        <v>0</v>
      </c>
      <c r="L11" s="121">
        <f>'11'!AD14</f>
        <v>0</v>
      </c>
      <c r="M11" s="121">
        <f>'12'!AD15</f>
        <v>0</v>
      </c>
      <c r="N11" s="121">
        <f>'13'!AD15</f>
        <v>0</v>
      </c>
      <c r="O11" s="121">
        <f>'14'!AD15</f>
        <v>0.25</v>
      </c>
      <c r="P11" s="121">
        <f>'15'!AD14</f>
        <v>0</v>
      </c>
      <c r="Q11" s="121">
        <f>'16'!AD16</f>
        <v>0</v>
      </c>
      <c r="R11" s="121">
        <f>'17'!AD14</f>
        <v>0</v>
      </c>
      <c r="S11" s="121">
        <f>'18'!AD14</f>
        <v>0</v>
      </c>
      <c r="T11" s="121">
        <f>'19'!AD14</f>
        <v>0</v>
      </c>
      <c r="U11" s="121">
        <f>'20'!AD14</f>
        <v>0</v>
      </c>
      <c r="V11" s="121">
        <f>'21'!AD14</f>
        <v>0</v>
      </c>
      <c r="W11" s="121">
        <f>'22'!AD16</f>
        <v>0</v>
      </c>
      <c r="X11" s="121">
        <f>'23'!AD14</f>
        <v>0</v>
      </c>
      <c r="Y11" s="121">
        <f>'24'!AD14</f>
        <v>0</v>
      </c>
      <c r="Z11" s="121">
        <f>'25'!AD14</f>
        <v>0</v>
      </c>
      <c r="AA11" s="121">
        <f>'26'!AD15</f>
        <v>0</v>
      </c>
      <c r="AB11" s="121">
        <f>'27'!AD14</f>
        <v>0</v>
      </c>
      <c r="AC11" s="121">
        <f>'28'!AD15</f>
        <v>0</v>
      </c>
      <c r="AD11" s="121">
        <f>'29'!AD14</f>
        <v>0</v>
      </c>
      <c r="AE11" s="121">
        <f>'30'!AD15</f>
        <v>0.58333333333333337</v>
      </c>
      <c r="AF11" s="122">
        <f>'31'!AD14</f>
        <v>0.75</v>
      </c>
      <c r="AG11" s="123">
        <f t="shared" si="0"/>
        <v>7.5268817204301078E-2</v>
      </c>
    </row>
    <row r="12" spans="1:33" ht="21.75" customHeight="1">
      <c r="A12" s="111" t="s">
        <v>69</v>
      </c>
      <c r="B12" s="106">
        <f>'01'!AD17</f>
        <v>0.29166666666666669</v>
      </c>
      <c r="C12" s="106">
        <f>'02'!AD17</f>
        <v>0</v>
      </c>
      <c r="D12" s="77">
        <f>'03'!AD15</f>
        <v>0.58333333333333337</v>
      </c>
      <c r="E12" s="77">
        <f>'04'!AD16</f>
        <v>1</v>
      </c>
      <c r="F12" s="77">
        <f>'05'!AD15</f>
        <v>0.41666666666666669</v>
      </c>
      <c r="G12" s="77"/>
      <c r="H12" s="77">
        <f>'07'!AD15</f>
        <v>0</v>
      </c>
      <c r="I12" s="77">
        <f>'08'!AD15</f>
        <v>0</v>
      </c>
      <c r="J12" s="77">
        <f>'09'!AD16</f>
        <v>0</v>
      </c>
      <c r="K12" s="77">
        <f>'10'!AD16</f>
        <v>0.58333333333333337</v>
      </c>
      <c r="L12" s="77">
        <f>'11'!AD15</f>
        <v>1</v>
      </c>
      <c r="M12" s="77">
        <f>'12'!AD16</f>
        <v>0.58333333333333337</v>
      </c>
      <c r="N12" s="77">
        <f>'13'!AD16</f>
        <v>0</v>
      </c>
      <c r="O12" s="77">
        <f>'14'!AD16</f>
        <v>1</v>
      </c>
      <c r="P12" s="77">
        <f>'15'!AD15</f>
        <v>1</v>
      </c>
      <c r="Q12" s="77">
        <f>'16'!AD17</f>
        <v>1</v>
      </c>
      <c r="R12" s="77">
        <f>'17'!AD15</f>
        <v>0.16666666666666666</v>
      </c>
      <c r="S12" s="77">
        <f>'18'!AD15</f>
        <v>1</v>
      </c>
      <c r="T12" s="77">
        <f>'19'!AD15</f>
        <v>0.92313851080864695</v>
      </c>
      <c r="U12" s="77">
        <f>'20'!AD15</f>
        <v>0.33333333333333331</v>
      </c>
      <c r="V12" s="77">
        <f>'21'!AD15</f>
        <v>0.79166666666666663</v>
      </c>
      <c r="W12" s="77">
        <f>'22'!AD17</f>
        <v>0.79166666666666663</v>
      </c>
      <c r="X12" s="77">
        <f>'23'!AD15</f>
        <v>1</v>
      </c>
      <c r="Y12" s="77">
        <f>'24'!AD15</f>
        <v>1</v>
      </c>
      <c r="Z12" s="77">
        <f>'25'!AD15</f>
        <v>0.25</v>
      </c>
      <c r="AA12" s="77">
        <f>'26'!AD16</f>
        <v>0</v>
      </c>
      <c r="AB12" s="77">
        <f>'27'!AD15</f>
        <v>0</v>
      </c>
      <c r="AC12" s="77">
        <f>'28'!AD16</f>
        <v>0.5</v>
      </c>
      <c r="AD12" s="77">
        <f>'29'!AD15</f>
        <v>0</v>
      </c>
      <c r="AE12" s="77">
        <f>'30'!AD16</f>
        <v>0</v>
      </c>
      <c r="AF12" s="78">
        <f>'31'!AD15</f>
        <v>0</v>
      </c>
      <c r="AG12" s="79">
        <f t="shared" si="0"/>
        <v>0.45854210249920363</v>
      </c>
    </row>
    <row r="13" spans="1:33" ht="21.75" customHeight="1">
      <c r="A13" s="111" t="s">
        <v>70</v>
      </c>
      <c r="B13" s="106">
        <f>'01'!AD18</f>
        <v>1</v>
      </c>
      <c r="C13" s="106">
        <f>'02'!AD18</f>
        <v>1</v>
      </c>
      <c r="D13" s="77">
        <f>'03'!AD16</f>
        <v>1</v>
      </c>
      <c r="E13" s="77">
        <f>'04'!AD17</f>
        <v>1</v>
      </c>
      <c r="F13" s="77">
        <f>'05'!AD16</f>
        <v>1</v>
      </c>
      <c r="G13" s="77"/>
      <c r="H13" s="77">
        <f>'07'!AD16+'07'!AD17</f>
        <v>0.91666666666666663</v>
      </c>
      <c r="I13" s="77">
        <f>'08'!AD16+'08'!AD17</f>
        <v>0.95833333333333326</v>
      </c>
      <c r="J13" s="77">
        <f>'09'!AD17+'09'!AD18</f>
        <v>0.66666666666666674</v>
      </c>
      <c r="K13" s="77">
        <f>'10'!AD17</f>
        <v>0.45833333333333331</v>
      </c>
      <c r="L13" s="77">
        <f>'11'!AD16</f>
        <v>0</v>
      </c>
      <c r="M13" s="77">
        <f>'12'!AD17</f>
        <v>0</v>
      </c>
      <c r="N13" s="77">
        <f>'13'!AD17</f>
        <v>0</v>
      </c>
      <c r="O13" s="77">
        <f>'14'!AD17</f>
        <v>0.16666666666666666</v>
      </c>
      <c r="P13" s="77">
        <f>'15'!AD16</f>
        <v>0.83333333333333337</v>
      </c>
      <c r="Q13" s="77">
        <f>'16'!AD18</f>
        <v>1</v>
      </c>
      <c r="R13" s="77">
        <f>'17'!AD16+'17'!AD17</f>
        <v>0.75</v>
      </c>
      <c r="S13" s="77">
        <f>'18'!AD16</f>
        <v>0.83333333333333337</v>
      </c>
      <c r="T13" s="77">
        <f>'19'!AD16</f>
        <v>0.58333333333333337</v>
      </c>
      <c r="U13" s="77">
        <f>'20'!AD16</f>
        <v>0.29166666666666669</v>
      </c>
      <c r="V13" s="77">
        <f>'21'!AD16</f>
        <v>0.83333333333333337</v>
      </c>
      <c r="W13" s="77">
        <f>'22'!AD18</f>
        <v>0</v>
      </c>
      <c r="X13" s="77">
        <f>'23'!AD16</f>
        <v>0.875</v>
      </c>
      <c r="Y13" s="77">
        <f>'24'!AD16</f>
        <v>1</v>
      </c>
      <c r="Z13" s="77">
        <f>'25'!AD16</f>
        <v>1</v>
      </c>
      <c r="AA13" s="77">
        <f>'26'!AD17</f>
        <v>0.20833333333333334</v>
      </c>
      <c r="AB13" s="77">
        <f>'27'!AD16</f>
        <v>0</v>
      </c>
      <c r="AC13" s="77">
        <f>'28'!AD17</f>
        <v>0</v>
      </c>
      <c r="AD13" s="77">
        <f>'29'!AD16+'29'!AD17</f>
        <v>0.75</v>
      </c>
      <c r="AE13" s="77">
        <f>'30'!AD17</f>
        <v>1</v>
      </c>
      <c r="AF13" s="78">
        <f>'31'!AD16</f>
        <v>1</v>
      </c>
      <c r="AG13" s="79">
        <f t="shared" si="0"/>
        <v>0.61693548387096775</v>
      </c>
    </row>
    <row r="14" spans="1:33" ht="21.75" customHeight="1">
      <c r="A14" s="111" t="s">
        <v>71</v>
      </c>
      <c r="B14" s="106">
        <f>'01'!AD19</f>
        <v>0</v>
      </c>
      <c r="C14" s="106">
        <f>'02'!AD19</f>
        <v>0</v>
      </c>
      <c r="D14" s="77">
        <f>'03'!AD17</f>
        <v>0</v>
      </c>
      <c r="E14" s="77">
        <f>'04'!AD18</f>
        <v>0</v>
      </c>
      <c r="F14" s="77">
        <f>'05'!AD17</f>
        <v>0</v>
      </c>
      <c r="G14" s="77"/>
      <c r="H14" s="77">
        <f>'07'!AD18</f>
        <v>0.41666666666666669</v>
      </c>
      <c r="I14" s="77">
        <f>'08'!AD18+'08'!AD19</f>
        <v>0.48186152570480933</v>
      </c>
      <c r="J14" s="77">
        <f>'09'!AD19</f>
        <v>0</v>
      </c>
      <c r="K14" s="77">
        <f>'10'!AD18</f>
        <v>0.91666666666666663</v>
      </c>
      <c r="L14" s="77">
        <f>'11'!AD17</f>
        <v>0.58333333333333337</v>
      </c>
      <c r="M14" s="77">
        <f>'12'!AD18</f>
        <v>0</v>
      </c>
      <c r="N14" s="77">
        <f>'13'!AD18</f>
        <v>0</v>
      </c>
      <c r="O14" s="77">
        <f>'14'!AD18</f>
        <v>0</v>
      </c>
      <c r="P14" s="77">
        <f>'15'!AD17</f>
        <v>0</v>
      </c>
      <c r="Q14" s="77">
        <f>'16'!AD19</f>
        <v>0</v>
      </c>
      <c r="R14" s="77">
        <f>'17'!AD18</f>
        <v>0</v>
      </c>
      <c r="S14" s="77">
        <f>'18'!AD17</f>
        <v>0.16666666666666666</v>
      </c>
      <c r="T14" s="77">
        <f>'19'!AD17</f>
        <v>0.375</v>
      </c>
      <c r="U14" s="77">
        <f>'20'!AD17</f>
        <v>0</v>
      </c>
      <c r="V14" s="77">
        <f>'21'!AD17</f>
        <v>0.91666666666666663</v>
      </c>
      <c r="W14" s="77">
        <f>'22'!AD19</f>
        <v>1</v>
      </c>
      <c r="X14" s="77">
        <f>'23'!AD17+'23'!AD18</f>
        <v>0.95833333333333337</v>
      </c>
      <c r="Y14" s="77">
        <f>'24'!AD17</f>
        <v>0.33333333333333331</v>
      </c>
      <c r="Z14" s="77">
        <f>'25'!AD17</f>
        <v>1</v>
      </c>
      <c r="AA14" s="77">
        <f>'26'!AD18</f>
        <v>1</v>
      </c>
      <c r="AB14" s="77">
        <f>'27'!AD17</f>
        <v>0</v>
      </c>
      <c r="AC14" s="77">
        <f>'28'!AD18</f>
        <v>0</v>
      </c>
      <c r="AD14" s="77">
        <f>'29'!AD18</f>
        <v>0</v>
      </c>
      <c r="AE14" s="77">
        <f>'30'!AD18</f>
        <v>0.75</v>
      </c>
      <c r="AF14" s="78">
        <f>'31'!AD17</f>
        <v>0</v>
      </c>
      <c r="AG14" s="79">
        <f t="shared" si="0"/>
        <v>0.28704929652811212</v>
      </c>
    </row>
    <row r="15" spans="1:33" ht="21.75" customHeight="1">
      <c r="A15" s="112" t="s">
        <v>72</v>
      </c>
      <c r="B15" s="107">
        <f>'01'!AD20</f>
        <v>0.625</v>
      </c>
      <c r="C15" s="107">
        <f>'02'!AD20+'02'!AD21</f>
        <v>0.95833333333333326</v>
      </c>
      <c r="D15" s="80">
        <f>'03'!AD18+'03'!AD19</f>
        <v>0.95833333333333337</v>
      </c>
      <c r="E15" s="80">
        <f>'04'!AD19</f>
        <v>0.58333333333333337</v>
      </c>
      <c r="F15" s="80">
        <f>'05'!AD18</f>
        <v>0</v>
      </c>
      <c r="G15" s="80"/>
      <c r="H15" s="80">
        <f>'07'!AD19</f>
        <v>0</v>
      </c>
      <c r="I15" s="80">
        <f>'08'!AD20</f>
        <v>0</v>
      </c>
      <c r="J15" s="80">
        <f>'09'!AD20</f>
        <v>0</v>
      </c>
      <c r="K15" s="80">
        <f>'10'!AD19+'10'!AD20</f>
        <v>0.83333333333333337</v>
      </c>
      <c r="L15" s="80">
        <f>'11'!AD18</f>
        <v>1</v>
      </c>
      <c r="M15" s="80">
        <f>'12'!AD19</f>
        <v>1</v>
      </c>
      <c r="N15" s="80">
        <f>'13'!AD19</f>
        <v>0.16666666666666666</v>
      </c>
      <c r="O15" s="80">
        <f>'14'!AD19+'14'!AD20</f>
        <v>0.625</v>
      </c>
      <c r="P15" s="80">
        <f>'15'!AD18</f>
        <v>0.58333333333333337</v>
      </c>
      <c r="Q15" s="80">
        <f>'16'!AD20</f>
        <v>1</v>
      </c>
      <c r="R15" s="80">
        <f>'17'!AD19</f>
        <v>1</v>
      </c>
      <c r="S15" s="80">
        <f>'18'!AD18</f>
        <v>1</v>
      </c>
      <c r="T15" s="80">
        <f>'19'!AD18</f>
        <v>1</v>
      </c>
      <c r="U15" s="80">
        <f>'20'!AD18</f>
        <v>0</v>
      </c>
      <c r="V15" s="80">
        <f>'21'!AD18</f>
        <v>0.5</v>
      </c>
      <c r="W15" s="80">
        <f>'22'!AD20</f>
        <v>1</v>
      </c>
      <c r="X15" s="80">
        <f>'23'!AD19+'23'!AD20</f>
        <v>0.66666666666666674</v>
      </c>
      <c r="Y15" s="80">
        <f>'24'!AD18</f>
        <v>1</v>
      </c>
      <c r="Z15" s="80">
        <f>'25'!AD18</f>
        <v>0.625</v>
      </c>
      <c r="AA15" s="80">
        <f>'26'!AD19</f>
        <v>0.79166666666666663</v>
      </c>
      <c r="AB15" s="80">
        <f>'27'!AD18</f>
        <v>0.41666666666666669</v>
      </c>
      <c r="AC15" s="80">
        <f>'28'!AD19+'28'!AD21</f>
        <v>0.41666666666666669</v>
      </c>
      <c r="AD15" s="80">
        <f>'29'!AD19</f>
        <v>0</v>
      </c>
      <c r="AE15" s="80">
        <f>'30'!AD19</f>
        <v>0.91666666666666663</v>
      </c>
      <c r="AF15" s="81">
        <f>'31'!AD18</f>
        <v>0.91666666666666663</v>
      </c>
      <c r="AG15" s="82">
        <f t="shared" si="0"/>
        <v>0.59946236559139787</v>
      </c>
    </row>
    <row r="16" spans="1:33" ht="21.75" customHeight="1">
      <c r="A16" s="112" t="s">
        <v>73</v>
      </c>
      <c r="B16" s="107">
        <f>'01'!AD21</f>
        <v>1</v>
      </c>
      <c r="C16" s="107">
        <f>'02'!AD22</f>
        <v>1</v>
      </c>
      <c r="D16" s="80">
        <f>'03'!AD20</f>
        <v>0.58333333333333337</v>
      </c>
      <c r="E16" s="80">
        <f>'04'!AD20</f>
        <v>1</v>
      </c>
      <c r="F16" s="80">
        <f>'05'!AD19</f>
        <v>1</v>
      </c>
      <c r="G16" s="80"/>
      <c r="H16" s="80">
        <f>'07'!AD20</f>
        <v>1</v>
      </c>
      <c r="I16" s="80">
        <f>'08'!AD21</f>
        <v>1</v>
      </c>
      <c r="J16" s="80">
        <f>'09'!AD21</f>
        <v>0.95833333333333337</v>
      </c>
      <c r="K16" s="80">
        <f>'10'!AD21</f>
        <v>1</v>
      </c>
      <c r="L16" s="80">
        <f>'11'!AD19</f>
        <v>1</v>
      </c>
      <c r="M16" s="80">
        <f>'12'!AD20</f>
        <v>0.83333333333333337</v>
      </c>
      <c r="N16" s="80">
        <f>'13'!AD20</f>
        <v>0.41666666666666669</v>
      </c>
      <c r="O16" s="80">
        <f>'14'!AD21</f>
        <v>0.875</v>
      </c>
      <c r="P16" s="80">
        <f>'15'!AD19</f>
        <v>1</v>
      </c>
      <c r="Q16" s="80">
        <f>'16'!AD21</f>
        <v>0.91666666666666663</v>
      </c>
      <c r="R16" s="80">
        <f>'17'!AD20</f>
        <v>0.91666666666666663</v>
      </c>
      <c r="S16" s="80">
        <f>'18'!AD19</f>
        <v>0.5</v>
      </c>
      <c r="T16" s="80">
        <f>'19'!AD19</f>
        <v>0.625</v>
      </c>
      <c r="U16" s="80">
        <f>'20'!AD19</f>
        <v>4.1666666666666664E-2</v>
      </c>
      <c r="V16" s="80">
        <f>'21'!AD19+'21'!AD20</f>
        <v>0.91666666666666663</v>
      </c>
      <c r="W16" s="80">
        <f>'22'!AD21</f>
        <v>1</v>
      </c>
      <c r="X16" s="80">
        <f>'23'!AD21</f>
        <v>1</v>
      </c>
      <c r="Y16" s="80">
        <f>'24'!AD19</f>
        <v>0</v>
      </c>
      <c r="Z16" s="80">
        <f>'25'!AD19</f>
        <v>0</v>
      </c>
      <c r="AA16" s="80">
        <f>'26'!AD20</f>
        <v>0</v>
      </c>
      <c r="AB16" s="80">
        <f>'27'!AD19</f>
        <v>0</v>
      </c>
      <c r="AC16" s="80">
        <f>'28'!AD22</f>
        <v>0</v>
      </c>
      <c r="AD16" s="80">
        <f>'29'!AD20</f>
        <v>0.91666666666666663</v>
      </c>
      <c r="AE16" s="80">
        <f>'30'!AD20</f>
        <v>1</v>
      </c>
      <c r="AF16" s="81">
        <f>'31'!AD19</f>
        <v>0.66666666666666663</v>
      </c>
      <c r="AG16" s="82">
        <f t="shared" si="0"/>
        <v>0.68279569892473124</v>
      </c>
    </row>
    <row r="17" spans="1:33" ht="21.75" customHeight="1" thickBot="1">
      <c r="A17" s="113" t="s">
        <v>111</v>
      </c>
      <c r="B17" s="108">
        <f>'01'!AD22</f>
        <v>0.45833333333333331</v>
      </c>
      <c r="C17" s="108">
        <f>'02'!AD23</f>
        <v>0.45833333333333331</v>
      </c>
      <c r="D17" s="83">
        <f>'03'!AD21</f>
        <v>0.45833333333333331</v>
      </c>
      <c r="E17" s="83">
        <f>'04'!AD21</f>
        <v>0.5</v>
      </c>
      <c r="F17" s="83">
        <f>'05'!AD20</f>
        <v>0.5</v>
      </c>
      <c r="G17" s="83"/>
      <c r="H17" s="83">
        <f>'07'!AD21</f>
        <v>0</v>
      </c>
      <c r="I17" s="83">
        <f>'08'!AD22</f>
        <v>0</v>
      </c>
      <c r="J17" s="83">
        <f>'09'!AD22</f>
        <v>0</v>
      </c>
      <c r="K17" s="83">
        <f>'10'!AD22</f>
        <v>0</v>
      </c>
      <c r="L17" s="83">
        <f>'11'!AD20</f>
        <v>0.58333333333333337</v>
      </c>
      <c r="M17" s="83">
        <f>'12'!AD21</f>
        <v>0.5</v>
      </c>
      <c r="N17" s="83">
        <f>'13'!AD21</f>
        <v>0</v>
      </c>
      <c r="O17" s="83">
        <f>'14'!AD22</f>
        <v>0</v>
      </c>
      <c r="P17" s="83">
        <f>'15'!AD20</f>
        <v>1</v>
      </c>
      <c r="Q17" s="83">
        <f>'16'!AD22</f>
        <v>1</v>
      </c>
      <c r="R17" s="83">
        <f>'17'!AD21</f>
        <v>0</v>
      </c>
      <c r="S17" s="83">
        <f>'18'!AD20</f>
        <v>0.41666666666666669</v>
      </c>
      <c r="T17" s="83">
        <f>'19'!AD20</f>
        <v>1</v>
      </c>
      <c r="U17" s="83">
        <f>'20'!AD20</f>
        <v>0</v>
      </c>
      <c r="V17" s="83">
        <f>'21'!AD21</f>
        <v>0.375</v>
      </c>
      <c r="W17" s="83">
        <f>'22'!AD22</f>
        <v>0.41666666666666669</v>
      </c>
      <c r="X17" s="83">
        <f>'23'!AD22</f>
        <v>0.5</v>
      </c>
      <c r="Y17" s="83">
        <f>'24'!AD20</f>
        <v>0.5</v>
      </c>
      <c r="Z17" s="83">
        <f>'25'!AD20</f>
        <v>0.5</v>
      </c>
      <c r="AA17" s="83">
        <f>'26'!AD21</f>
        <v>0.5</v>
      </c>
      <c r="AB17" s="83">
        <f>'27'!AD20</f>
        <v>0</v>
      </c>
      <c r="AC17" s="83">
        <f>'28'!AD23</f>
        <v>0.91666666666666663</v>
      </c>
      <c r="AD17" s="83">
        <f>'29'!AD21</f>
        <v>0.58333333333333337</v>
      </c>
      <c r="AE17" s="83">
        <f>'30'!AD21</f>
        <v>0.58333333333333337</v>
      </c>
      <c r="AF17" s="84">
        <f>'31'!AD20</f>
        <v>0.58333333333333337</v>
      </c>
      <c r="AG17" s="85">
        <f t="shared" si="0"/>
        <v>0.39784946236559149</v>
      </c>
    </row>
    <row r="18" spans="1:33" s="86" customFormat="1" ht="21.75" customHeight="1">
      <c r="A18" s="90" t="s">
        <v>105</v>
      </c>
      <c r="B18" s="94">
        <f>'01'!AD23</f>
        <v>0.56111111111111112</v>
      </c>
      <c r="C18" s="94">
        <f>'02'!AD24</f>
        <v>0.56944444444444453</v>
      </c>
      <c r="D18" s="95">
        <f>'03'!AD22</f>
        <v>0.54166666666666663</v>
      </c>
      <c r="E18" s="95">
        <f>'04'!AD22</f>
        <v>0.60555555555555551</v>
      </c>
      <c r="F18" s="95">
        <f>'05'!AD21</f>
        <v>0.53055555555555556</v>
      </c>
      <c r="G18" s="95"/>
      <c r="H18" s="95">
        <f>'07'!AD22</f>
        <v>0.46666666666666673</v>
      </c>
      <c r="I18" s="95">
        <f>'08'!AD23</f>
        <v>0.47101299060254292</v>
      </c>
      <c r="J18" s="95">
        <f>'09'!AD23</f>
        <v>0.36111111111111105</v>
      </c>
      <c r="K18" s="95">
        <f>'10'!AD23</f>
        <v>0.52222222222222225</v>
      </c>
      <c r="L18" s="95">
        <f>'11'!AD21</f>
        <v>0.51944444444444438</v>
      </c>
      <c r="M18" s="95">
        <f>'12'!AD22</f>
        <v>0.46666666666666662</v>
      </c>
      <c r="N18" s="95">
        <f>'13'!AD22</f>
        <v>0.13055555555555556</v>
      </c>
      <c r="O18" s="95">
        <f>'14'!AD23</f>
        <v>0.40555555555555556</v>
      </c>
      <c r="P18" s="95">
        <f>'15'!AD21</f>
        <v>0.53333333333333333</v>
      </c>
      <c r="Q18" s="95">
        <f>'16'!AD23</f>
        <v>0.49040427999156655</v>
      </c>
      <c r="R18" s="95">
        <f>'17'!AD22</f>
        <v>0.42222222222222222</v>
      </c>
      <c r="S18" s="95">
        <f>'18'!AD21</f>
        <v>0.47222222222222221</v>
      </c>
      <c r="T18" s="95">
        <f>'19'!AD21</f>
        <v>0.45598701183168766</v>
      </c>
      <c r="U18" s="95">
        <f>'20'!AD21</f>
        <v>0.1444444444444444</v>
      </c>
      <c r="V18" s="95">
        <f>'21'!AD22</f>
        <v>0.51111111111111118</v>
      </c>
      <c r="W18" s="95">
        <f>'22'!AD23</f>
        <v>0.51111111111111118</v>
      </c>
      <c r="X18" s="95">
        <f>'23'!AD23</f>
        <v>0.51111111111111107</v>
      </c>
      <c r="Y18" s="95">
        <f>'24'!AD21</f>
        <v>0.44166666666666665</v>
      </c>
      <c r="Z18" s="95">
        <f>'25'!AD21</f>
        <v>0.44722222222222219</v>
      </c>
      <c r="AA18" s="95">
        <f>'26'!AD22</f>
        <v>0.45833333333333331</v>
      </c>
      <c r="AB18" s="95">
        <f>'27'!AD21</f>
        <v>0.1277777777777778</v>
      </c>
      <c r="AC18" s="95">
        <f>'28'!AD24</f>
        <v>0.32500000000000001</v>
      </c>
      <c r="AD18" s="95">
        <f>'29'!AD22</f>
        <v>0.35277777777777775</v>
      </c>
      <c r="AE18" s="95">
        <f>'30'!AD22</f>
        <v>0.53888888888888897</v>
      </c>
      <c r="AF18" s="96">
        <f>'31'!AD21</f>
        <v>0.46944444444444444</v>
      </c>
      <c r="AG18" s="99">
        <f>SUM(B18:AF18)/31</f>
        <v>0.43111698402090393</v>
      </c>
    </row>
    <row r="19" spans="1:33" ht="21.75" customHeight="1" thickBot="1">
      <c r="A19" s="69" t="s">
        <v>109</v>
      </c>
      <c r="B19" s="70">
        <v>0.62</v>
      </c>
      <c r="C19" s="71">
        <v>0.62</v>
      </c>
      <c r="D19" s="71">
        <v>0.62</v>
      </c>
      <c r="E19" s="71">
        <v>0.62</v>
      </c>
      <c r="F19" s="71">
        <v>0.62</v>
      </c>
      <c r="G19" s="71">
        <v>0.62</v>
      </c>
      <c r="H19" s="71">
        <v>0.62</v>
      </c>
      <c r="I19" s="71">
        <v>0.62</v>
      </c>
      <c r="J19" s="71">
        <v>0.62</v>
      </c>
      <c r="K19" s="71">
        <v>0.62</v>
      </c>
      <c r="L19" s="71">
        <v>0.62</v>
      </c>
      <c r="M19" s="71">
        <v>0.62</v>
      </c>
      <c r="N19" s="71">
        <v>0.62</v>
      </c>
      <c r="O19" s="71">
        <v>0.62</v>
      </c>
      <c r="P19" s="71">
        <v>0.62</v>
      </c>
      <c r="Q19" s="71">
        <v>0.62</v>
      </c>
      <c r="R19" s="71">
        <v>0.62</v>
      </c>
      <c r="S19" s="71">
        <v>0.62</v>
      </c>
      <c r="T19" s="71">
        <v>0.62</v>
      </c>
      <c r="U19" s="71">
        <v>0.62</v>
      </c>
      <c r="V19" s="71">
        <v>0.62</v>
      </c>
      <c r="W19" s="71">
        <v>0.62</v>
      </c>
      <c r="X19" s="71">
        <v>0.62</v>
      </c>
      <c r="Y19" s="71">
        <v>0.62</v>
      </c>
      <c r="Z19" s="71">
        <v>0.62</v>
      </c>
      <c r="AA19" s="71">
        <v>0.62</v>
      </c>
      <c r="AB19" s="71">
        <v>0.62</v>
      </c>
      <c r="AC19" s="71">
        <v>0.62</v>
      </c>
      <c r="AD19" s="71">
        <v>0.62</v>
      </c>
      <c r="AE19" s="71">
        <v>0.62</v>
      </c>
      <c r="AF19" s="72">
        <v>0.62</v>
      </c>
      <c r="AG19" s="73">
        <v>0.62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8546D-0822-4A16-8D99-4FF920DAC75B}">
  <sheetPr codeName="Sheet2"/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164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25" t="s">
        <v>17</v>
      </c>
      <c r="L5" s="125" t="s">
        <v>18</v>
      </c>
      <c r="M5" s="125" t="s">
        <v>19</v>
      </c>
      <c r="N5" s="1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19" si="7">AC6*AB6*(1-O6)</f>
        <v>0</v>
      </c>
      <c r="AE6" s="36">
        <f t="shared" ref="AE6:AE22" si="8">$AD$23</f>
        <v>0.56111111111111112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0.56111111111111112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159</v>
      </c>
      <c r="F8" s="30" t="s">
        <v>123</v>
      </c>
      <c r="G8" s="33">
        <v>1</v>
      </c>
      <c r="H8" s="35">
        <v>24</v>
      </c>
      <c r="I8" s="7">
        <v>38000</v>
      </c>
      <c r="J8" s="14">
        <v>6367</v>
      </c>
      <c r="K8" s="15">
        <f>L8+6174+6474+4784</f>
        <v>23799</v>
      </c>
      <c r="L8" s="15">
        <f>3357+3010</f>
        <v>6367</v>
      </c>
      <c r="M8" s="15">
        <f t="shared" si="1"/>
        <v>6367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0.56111111111111112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3718</v>
      </c>
      <c r="K9" s="15">
        <f>L9+1593+1896+2807+1401+3459+1160+3830+650+1584+2358+4249+584+4731+3038+1149+1391+2345+2572+1276+2512+3429+1210</f>
        <v>52942</v>
      </c>
      <c r="L9" s="15">
        <f>2532+1186</f>
        <v>3718</v>
      </c>
      <c r="M9" s="15">
        <f t="shared" si="1"/>
        <v>3718</v>
      </c>
      <c r="N9" s="15">
        <v>0</v>
      </c>
      <c r="O9" s="58">
        <f t="shared" si="2"/>
        <v>0</v>
      </c>
      <c r="P9" s="39">
        <f t="shared" si="3"/>
        <v>18</v>
      </c>
      <c r="Q9" s="40">
        <f t="shared" si="4"/>
        <v>6</v>
      </c>
      <c r="R9" s="7"/>
      <c r="S9" s="6">
        <v>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0.75</v>
      </c>
      <c r="AD9" s="10">
        <f t="shared" si="7"/>
        <v>0.75</v>
      </c>
      <c r="AE9" s="36">
        <f t="shared" si="8"/>
        <v>0.56111111111111112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166</v>
      </c>
      <c r="F10" s="30" t="s">
        <v>123</v>
      </c>
      <c r="G10" s="33">
        <v>1</v>
      </c>
      <c r="H10" s="35">
        <v>24</v>
      </c>
      <c r="I10" s="7">
        <v>9000</v>
      </c>
      <c r="J10" s="5">
        <v>3176</v>
      </c>
      <c r="K10" s="15">
        <f>L10</f>
        <v>3176</v>
      </c>
      <c r="L10" s="15">
        <v>3176</v>
      </c>
      <c r="M10" s="15">
        <f t="shared" si="1"/>
        <v>3176</v>
      </c>
      <c r="N10" s="15">
        <v>0</v>
      </c>
      <c r="O10" s="58">
        <f t="shared" si="2"/>
        <v>0</v>
      </c>
      <c r="P10" s="39">
        <f t="shared" si="3"/>
        <v>15</v>
      </c>
      <c r="Q10" s="40">
        <f t="shared" si="4"/>
        <v>9</v>
      </c>
      <c r="R10" s="7"/>
      <c r="S10" s="6"/>
      <c r="T10" s="16">
        <v>9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0.625</v>
      </c>
      <c r="AD10" s="10">
        <f>AC10*AB10*(1-O10)</f>
        <v>0.625</v>
      </c>
      <c r="AE10" s="36">
        <f t="shared" si="8"/>
        <v>0.56111111111111112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153</v>
      </c>
      <c r="D11" s="52" t="s">
        <v>125</v>
      </c>
      <c r="E11" s="53" t="s">
        <v>162</v>
      </c>
      <c r="F11" s="30" t="s">
        <v>127</v>
      </c>
      <c r="G11" s="33">
        <v>1</v>
      </c>
      <c r="H11" s="35">
        <v>24</v>
      </c>
      <c r="I11" s="7">
        <v>1000</v>
      </c>
      <c r="J11" s="5">
        <v>1056</v>
      </c>
      <c r="K11" s="15">
        <f>L11</f>
        <v>1056</v>
      </c>
      <c r="L11" s="15">
        <f>1056</f>
        <v>1056</v>
      </c>
      <c r="M11" s="15">
        <f t="shared" si="1"/>
        <v>1056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 t="shared" ref="AD11:AD12" si="10">AC11*AB11*(1-O11)</f>
        <v>0.29166666666666669</v>
      </c>
      <c r="AE11" s="36">
        <f t="shared" si="8"/>
        <v>0.56111111111111112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11" t="s">
        <v>130</v>
      </c>
      <c r="D12" s="52" t="s">
        <v>138</v>
      </c>
      <c r="E12" s="53" t="s">
        <v>156</v>
      </c>
      <c r="F12" s="30" t="s">
        <v>126</v>
      </c>
      <c r="G12" s="33">
        <v>2</v>
      </c>
      <c r="H12" s="35">
        <v>24</v>
      </c>
      <c r="I12" s="7">
        <v>2000</v>
      </c>
      <c r="J12" s="14">
        <v>2140</v>
      </c>
      <c r="K12" s="15">
        <f>L12</f>
        <v>2140</v>
      </c>
      <c r="L12" s="15">
        <f>1070*2</f>
        <v>2140</v>
      </c>
      <c r="M12" s="15">
        <f t="shared" si="1"/>
        <v>2140</v>
      </c>
      <c r="N12" s="15">
        <v>0</v>
      </c>
      <c r="O12" s="58">
        <f t="shared" si="2"/>
        <v>0</v>
      </c>
      <c r="P12" s="39">
        <f t="shared" si="3"/>
        <v>7</v>
      </c>
      <c r="Q12" s="40">
        <f t="shared" si="4"/>
        <v>17</v>
      </c>
      <c r="R12" s="7"/>
      <c r="S12" s="6"/>
      <c r="T12" s="16"/>
      <c r="U12" s="16"/>
      <c r="V12" s="17"/>
      <c r="W12" s="5">
        <v>17</v>
      </c>
      <c r="X12" s="16"/>
      <c r="Y12" s="16"/>
      <c r="Z12" s="16"/>
      <c r="AA12" s="18"/>
      <c r="AB12" s="8">
        <f t="shared" si="5"/>
        <v>1</v>
      </c>
      <c r="AC12" s="9">
        <f t="shared" si="6"/>
        <v>0.29166666666666669</v>
      </c>
      <c r="AD12" s="10">
        <f t="shared" si="10"/>
        <v>0.29166666666666669</v>
      </c>
      <c r="AE12" s="36">
        <f t="shared" si="8"/>
        <v>0.56111111111111112</v>
      </c>
      <c r="AF12" s="87">
        <f t="shared" si="9"/>
        <v>6</v>
      </c>
    </row>
    <row r="13" spans="1:32" ht="27" customHeight="1">
      <c r="A13" s="103">
        <v>6</v>
      </c>
      <c r="B13" s="11" t="s">
        <v>57</v>
      </c>
      <c r="C13" s="11" t="s">
        <v>130</v>
      </c>
      <c r="D13" s="52" t="s">
        <v>125</v>
      </c>
      <c r="E13" s="53" t="s">
        <v>139</v>
      </c>
      <c r="F13" s="30" t="s">
        <v>126</v>
      </c>
      <c r="G13" s="33">
        <v>1</v>
      </c>
      <c r="H13" s="35">
        <v>24</v>
      </c>
      <c r="I13" s="7">
        <v>1000</v>
      </c>
      <c r="J13" s="14">
        <v>1191</v>
      </c>
      <c r="K13" s="15">
        <f>L13</f>
        <v>1191</v>
      </c>
      <c r="L13" s="15">
        <v>1191</v>
      </c>
      <c r="M13" s="15">
        <f t="shared" ref="M13:M14" si="11">L13-N13</f>
        <v>1191</v>
      </c>
      <c r="N13" s="15">
        <v>0</v>
      </c>
      <c r="O13" s="58">
        <f t="shared" ref="O13:O14" si="12">IF(L13=0,"0",N13/L13)</f>
        <v>0</v>
      </c>
      <c r="P13" s="39">
        <f t="shared" ref="P13:P14" si="13">IF(L13=0,"0",(24-Q13))</f>
        <v>8</v>
      </c>
      <c r="Q13" s="40">
        <f t="shared" ref="Q13:Q14" si="14">SUM(R13:AA13)</f>
        <v>16</v>
      </c>
      <c r="R13" s="7"/>
      <c r="S13" s="6"/>
      <c r="T13" s="16"/>
      <c r="U13" s="16"/>
      <c r="V13" s="17"/>
      <c r="W13" s="5">
        <v>16</v>
      </c>
      <c r="X13" s="16"/>
      <c r="Y13" s="16"/>
      <c r="Z13" s="16"/>
      <c r="AA13" s="18"/>
      <c r="AB13" s="8">
        <f t="shared" ref="AB13:AB14" si="15">IF(J13=0,"0",(L13/J13))</f>
        <v>1</v>
      </c>
      <c r="AC13" s="9">
        <f t="shared" ref="AC13:AC14" si="16">IF(P13=0,"0",(P13/24))</f>
        <v>0.33333333333333331</v>
      </c>
      <c r="AD13" s="10">
        <f t="shared" ref="AD13:AD14" si="17">AC13*AB13*(1-O13)</f>
        <v>0.33333333333333331</v>
      </c>
      <c r="AE13" s="36">
        <f t="shared" si="8"/>
        <v>0.56111111111111112</v>
      </c>
      <c r="AF13" s="87">
        <f t="shared" ref="AF13:AF14" si="18">A13</f>
        <v>6</v>
      </c>
    </row>
    <row r="14" spans="1:32" ht="27" customHeight="1">
      <c r="A14" s="103">
        <v>7</v>
      </c>
      <c r="B14" s="11" t="s">
        <v>57</v>
      </c>
      <c r="C14" s="11" t="s">
        <v>124</v>
      </c>
      <c r="D14" s="52" t="s">
        <v>117</v>
      </c>
      <c r="E14" s="53" t="s">
        <v>140</v>
      </c>
      <c r="F14" s="30" t="s">
        <v>121</v>
      </c>
      <c r="G14" s="33">
        <v>1</v>
      </c>
      <c r="H14" s="35">
        <v>20</v>
      </c>
      <c r="I14" s="7">
        <v>50000</v>
      </c>
      <c r="J14" s="14">
        <v>4211</v>
      </c>
      <c r="K14" s="15">
        <f>L14+2445+4101+2795+3910+4765</f>
        <v>22227</v>
      </c>
      <c r="L14" s="15">
        <f>2507+1704</f>
        <v>4211</v>
      </c>
      <c r="M14" s="15">
        <f t="shared" si="11"/>
        <v>4211</v>
      </c>
      <c r="N14" s="15">
        <v>0</v>
      </c>
      <c r="O14" s="58">
        <f t="shared" si="12"/>
        <v>0</v>
      </c>
      <c r="P14" s="39">
        <f t="shared" si="13"/>
        <v>21</v>
      </c>
      <c r="Q14" s="40">
        <f t="shared" si="14"/>
        <v>3</v>
      </c>
      <c r="R14" s="7"/>
      <c r="S14" s="6">
        <v>3</v>
      </c>
      <c r="T14" s="16"/>
      <c r="U14" s="16"/>
      <c r="V14" s="17"/>
      <c r="W14" s="5"/>
      <c r="X14" s="16"/>
      <c r="Y14" s="16"/>
      <c r="Z14" s="16"/>
      <c r="AA14" s="18"/>
      <c r="AB14" s="8">
        <f t="shared" si="15"/>
        <v>1</v>
      </c>
      <c r="AC14" s="9">
        <f t="shared" si="16"/>
        <v>0.875</v>
      </c>
      <c r="AD14" s="10">
        <f t="shared" si="17"/>
        <v>0.875</v>
      </c>
      <c r="AE14" s="36">
        <f t="shared" si="8"/>
        <v>0.56111111111111112</v>
      </c>
      <c r="AF14" s="87">
        <f t="shared" si="18"/>
        <v>7</v>
      </c>
    </row>
    <row r="15" spans="1:32" ht="27" customHeight="1">
      <c r="A15" s="103">
        <v>8</v>
      </c>
      <c r="B15" s="11" t="s">
        <v>57</v>
      </c>
      <c r="C15" s="11" t="s">
        <v>130</v>
      </c>
      <c r="D15" s="52" t="s">
        <v>117</v>
      </c>
      <c r="E15" s="53" t="s">
        <v>161</v>
      </c>
      <c r="F15" s="30" t="s">
        <v>135</v>
      </c>
      <c r="G15" s="33">
        <v>2</v>
      </c>
      <c r="H15" s="35">
        <v>24</v>
      </c>
      <c r="I15" s="7">
        <v>15000</v>
      </c>
      <c r="J15" s="14">
        <v>10148</v>
      </c>
      <c r="K15" s="15">
        <f>L15+5104</f>
        <v>15252</v>
      </c>
      <c r="L15" s="15">
        <f>2473*2+2601*2</f>
        <v>10148</v>
      </c>
      <c r="M15" s="15">
        <f t="shared" si="1"/>
        <v>10148</v>
      </c>
      <c r="N15" s="15">
        <v>0</v>
      </c>
      <c r="O15" s="58">
        <f t="shared" si="2"/>
        <v>0</v>
      </c>
      <c r="P15" s="39">
        <f t="shared" si="3"/>
        <v>21</v>
      </c>
      <c r="Q15" s="40">
        <f t="shared" si="4"/>
        <v>3</v>
      </c>
      <c r="R15" s="7"/>
      <c r="S15" s="6">
        <v>3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0.875</v>
      </c>
      <c r="AD15" s="10">
        <f t="shared" si="7"/>
        <v>0.875</v>
      </c>
      <c r="AE15" s="36">
        <f t="shared" si="8"/>
        <v>0.56111111111111112</v>
      </c>
      <c r="AF15" s="87">
        <f t="shared" si="9"/>
        <v>8</v>
      </c>
    </row>
    <row r="16" spans="1:32" ht="27" customHeight="1">
      <c r="A16" s="118">
        <v>9</v>
      </c>
      <c r="B16" s="11" t="s">
        <v>57</v>
      </c>
      <c r="C16" s="34" t="s">
        <v>114</v>
      </c>
      <c r="D16" s="52" t="s">
        <v>147</v>
      </c>
      <c r="E16" s="53" t="s">
        <v>145</v>
      </c>
      <c r="F16" s="30" t="s">
        <v>148</v>
      </c>
      <c r="G16" s="12">
        <v>1</v>
      </c>
      <c r="H16" s="13">
        <v>28</v>
      </c>
      <c r="I16" s="7">
        <v>2000</v>
      </c>
      <c r="J16" s="5">
        <v>1045</v>
      </c>
      <c r="K16" s="15">
        <f>L16+620+500+1045</f>
        <v>2165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0.56111111111111112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130</v>
      </c>
      <c r="D17" s="52" t="s">
        <v>167</v>
      </c>
      <c r="E17" s="53" t="s">
        <v>168</v>
      </c>
      <c r="F17" s="12">
        <v>8301</v>
      </c>
      <c r="G17" s="12">
        <v>1</v>
      </c>
      <c r="H17" s="13">
        <v>24</v>
      </c>
      <c r="I17" s="31">
        <v>1000</v>
      </c>
      <c r="J17" s="14">
        <v>1087</v>
      </c>
      <c r="K17" s="15">
        <f>L17</f>
        <v>1087</v>
      </c>
      <c r="L17" s="15">
        <v>1087</v>
      </c>
      <c r="M17" s="15">
        <f t="shared" si="1"/>
        <v>1087</v>
      </c>
      <c r="N17" s="15">
        <v>0</v>
      </c>
      <c r="O17" s="58">
        <f t="shared" si="2"/>
        <v>0</v>
      </c>
      <c r="P17" s="39">
        <f t="shared" si="3"/>
        <v>7</v>
      </c>
      <c r="Q17" s="40">
        <f t="shared" si="4"/>
        <v>17</v>
      </c>
      <c r="R17" s="7"/>
      <c r="S17" s="6"/>
      <c r="T17" s="16"/>
      <c r="U17" s="16"/>
      <c r="V17" s="17"/>
      <c r="W17" s="5">
        <v>17</v>
      </c>
      <c r="X17" s="16"/>
      <c r="Y17" s="16"/>
      <c r="Z17" s="16"/>
      <c r="AA17" s="18"/>
      <c r="AB17" s="8">
        <f t="shared" si="5"/>
        <v>1</v>
      </c>
      <c r="AC17" s="9">
        <f t="shared" si="6"/>
        <v>0.29166666666666669</v>
      </c>
      <c r="AD17" s="10">
        <f t="shared" si="7"/>
        <v>0.29166666666666669</v>
      </c>
      <c r="AE17" s="36">
        <f t="shared" si="8"/>
        <v>0.56111111111111112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34" t="s">
        <v>124</v>
      </c>
      <c r="D18" s="52" t="s">
        <v>125</v>
      </c>
      <c r="E18" s="53" t="s">
        <v>158</v>
      </c>
      <c r="F18" s="30" t="s">
        <v>126</v>
      </c>
      <c r="G18" s="12">
        <v>1</v>
      </c>
      <c r="H18" s="13">
        <v>28</v>
      </c>
      <c r="I18" s="7">
        <v>36000</v>
      </c>
      <c r="J18" s="14">
        <v>5348</v>
      </c>
      <c r="K18" s="15">
        <f>L18+2340+5002+5386+4999</f>
        <v>23075</v>
      </c>
      <c r="L18" s="15">
        <f>2767+2581</f>
        <v>5348</v>
      </c>
      <c r="M18" s="15">
        <f t="shared" si="1"/>
        <v>5348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0.56111111111111112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124</v>
      </c>
      <c r="D19" s="52" t="s">
        <v>141</v>
      </c>
      <c r="E19" s="53" t="s">
        <v>142</v>
      </c>
      <c r="F19" s="30" t="s">
        <v>137</v>
      </c>
      <c r="G19" s="33">
        <v>1</v>
      </c>
      <c r="H19" s="35">
        <v>20</v>
      </c>
      <c r="I19" s="7">
        <v>20000</v>
      </c>
      <c r="J19" s="14">
        <v>4085</v>
      </c>
      <c r="K19" s="15">
        <f>L19+5181+6332+4085</f>
        <v>15598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0.56111111111111112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124</v>
      </c>
      <c r="D20" s="52" t="s">
        <v>117</v>
      </c>
      <c r="E20" s="53" t="s">
        <v>155</v>
      </c>
      <c r="F20" s="30" t="s">
        <v>150</v>
      </c>
      <c r="G20" s="33">
        <v>1</v>
      </c>
      <c r="H20" s="35">
        <v>24</v>
      </c>
      <c r="I20" s="7">
        <v>20000</v>
      </c>
      <c r="J20" s="5">
        <v>3016</v>
      </c>
      <c r="K20" s="15">
        <f>L20+2947+5119+4868</f>
        <v>15950</v>
      </c>
      <c r="L20" s="15">
        <f>563+2453</f>
        <v>3016</v>
      </c>
      <c r="M20" s="15">
        <f t="shared" si="1"/>
        <v>3016</v>
      </c>
      <c r="N20" s="15">
        <v>0</v>
      </c>
      <c r="O20" s="58">
        <f t="shared" si="2"/>
        <v>0</v>
      </c>
      <c r="P20" s="39">
        <f t="shared" si="3"/>
        <v>15</v>
      </c>
      <c r="Q20" s="40">
        <f t="shared" si="4"/>
        <v>9</v>
      </c>
      <c r="R20" s="7"/>
      <c r="S20" s="6"/>
      <c r="T20" s="16"/>
      <c r="U20" s="16"/>
      <c r="V20" s="17"/>
      <c r="W20" s="5">
        <v>9</v>
      </c>
      <c r="X20" s="16"/>
      <c r="Y20" s="16"/>
      <c r="Z20" s="16"/>
      <c r="AA20" s="18"/>
      <c r="AB20" s="8">
        <f t="shared" si="5"/>
        <v>1</v>
      </c>
      <c r="AC20" s="9">
        <f t="shared" si="6"/>
        <v>0.625</v>
      </c>
      <c r="AD20" s="10">
        <f>AC20*AB20*(1-O20)</f>
        <v>0.625</v>
      </c>
      <c r="AE20" s="36">
        <f t="shared" si="8"/>
        <v>0.56111111111111112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160</v>
      </c>
      <c r="F21" s="30" t="s">
        <v>151</v>
      </c>
      <c r="G21" s="33">
        <v>1</v>
      </c>
      <c r="H21" s="35">
        <v>24</v>
      </c>
      <c r="I21" s="7">
        <v>37000</v>
      </c>
      <c r="J21" s="14">
        <v>4963</v>
      </c>
      <c r="K21" s="15">
        <f>L21+4542+3108</f>
        <v>12613</v>
      </c>
      <c r="L21" s="15">
        <f>2642+2321</f>
        <v>4963</v>
      </c>
      <c r="M21" s="15">
        <f t="shared" si="1"/>
        <v>4963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ref="AD21:AD22" si="19">AC21*AB21*(1-O21)</f>
        <v>1</v>
      </c>
      <c r="AE21" s="36">
        <f t="shared" si="8"/>
        <v>0.56111111111111112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157</v>
      </c>
      <c r="F22" s="12" t="s">
        <v>116</v>
      </c>
      <c r="G22" s="12">
        <v>4</v>
      </c>
      <c r="H22" s="35">
        <v>20</v>
      </c>
      <c r="I22" s="7">
        <v>500000</v>
      </c>
      <c r="J22" s="14">
        <v>49420</v>
      </c>
      <c r="K22" s="15">
        <f>L22+48568+76848</f>
        <v>174836</v>
      </c>
      <c r="L22" s="15">
        <f>12355*4</f>
        <v>49420</v>
      </c>
      <c r="M22" s="15">
        <f t="shared" si="1"/>
        <v>49420</v>
      </c>
      <c r="N22" s="15">
        <v>0</v>
      </c>
      <c r="O22" s="58">
        <f t="shared" si="2"/>
        <v>0</v>
      </c>
      <c r="P22" s="39">
        <f t="shared" si="3"/>
        <v>11</v>
      </c>
      <c r="Q22" s="40">
        <f t="shared" si="4"/>
        <v>13</v>
      </c>
      <c r="R22" s="7"/>
      <c r="S22" s="6"/>
      <c r="T22" s="16"/>
      <c r="U22" s="16"/>
      <c r="V22" s="17">
        <v>13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0.45833333333333331</v>
      </c>
      <c r="AD22" s="10">
        <f t="shared" si="19"/>
        <v>0.45833333333333331</v>
      </c>
      <c r="AE22" s="36">
        <f t="shared" si="8"/>
        <v>0.56111111111111112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20">SUM(I6:I22)</f>
        <v>803000</v>
      </c>
      <c r="J23" s="19">
        <f t="shared" si="20"/>
        <v>103032</v>
      </c>
      <c r="K23" s="20">
        <f t="shared" si="20"/>
        <v>378655</v>
      </c>
      <c r="L23" s="21">
        <f t="shared" si="20"/>
        <v>95841</v>
      </c>
      <c r="M23" s="20">
        <f t="shared" si="20"/>
        <v>95841</v>
      </c>
      <c r="N23" s="21">
        <f t="shared" si="20"/>
        <v>0</v>
      </c>
      <c r="O23" s="41">
        <f t="shared" si="2"/>
        <v>0</v>
      </c>
      <c r="P23" s="42">
        <f t="shared" ref="P23:AA23" si="21">SUM(P6:P22)</f>
        <v>202</v>
      </c>
      <c r="Q23" s="43">
        <f t="shared" si="21"/>
        <v>206</v>
      </c>
      <c r="R23" s="23">
        <f t="shared" si="21"/>
        <v>24</v>
      </c>
      <c r="S23" s="24">
        <f t="shared" si="21"/>
        <v>12</v>
      </c>
      <c r="T23" s="24">
        <f t="shared" si="21"/>
        <v>9</v>
      </c>
      <c r="U23" s="24">
        <f t="shared" si="21"/>
        <v>0</v>
      </c>
      <c r="V23" s="25">
        <f t="shared" si="21"/>
        <v>37</v>
      </c>
      <c r="W23" s="26">
        <f t="shared" si="21"/>
        <v>124</v>
      </c>
      <c r="X23" s="27">
        <f t="shared" si="21"/>
        <v>0</v>
      </c>
      <c r="Y23" s="27">
        <f t="shared" si="21"/>
        <v>0</v>
      </c>
      <c r="Z23" s="27">
        <f t="shared" si="21"/>
        <v>0</v>
      </c>
      <c r="AA23" s="27">
        <f t="shared" si="21"/>
        <v>0</v>
      </c>
      <c r="AB23" s="28">
        <f>SUM(AB6:AB22)/15</f>
        <v>0.8666666666666667</v>
      </c>
      <c r="AC23" s="4">
        <f>SUM(AC6:AC22)/15</f>
        <v>0.56111111111111112</v>
      </c>
      <c r="AD23" s="4">
        <f>SUM(AD6:AD22)/15</f>
        <v>0.56111111111111112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169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179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126" t="s">
        <v>46</v>
      </c>
      <c r="D52" s="126" t="s">
        <v>47</v>
      </c>
      <c r="E52" s="126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126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128" t="s">
        <v>144</v>
      </c>
      <c r="D53" s="128" t="s">
        <v>136</v>
      </c>
      <c r="E53" s="128" t="s">
        <v>146</v>
      </c>
      <c r="F53" s="487" t="s">
        <v>152</v>
      </c>
      <c r="G53" s="488"/>
      <c r="H53" s="488"/>
      <c r="I53" s="488"/>
      <c r="J53" s="488"/>
      <c r="K53" s="488"/>
      <c r="L53" s="488"/>
      <c r="M53" s="489"/>
      <c r="N53" s="127" t="s">
        <v>130</v>
      </c>
      <c r="O53" s="132" t="s">
        <v>143</v>
      </c>
      <c r="P53" s="499" t="s">
        <v>181</v>
      </c>
      <c r="Q53" s="500"/>
      <c r="R53" s="486" t="s">
        <v>180</v>
      </c>
      <c r="S53" s="486"/>
      <c r="T53" s="486"/>
      <c r="U53" s="486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128" t="s">
        <v>128</v>
      </c>
      <c r="D54" s="128" t="s">
        <v>165</v>
      </c>
      <c r="E54" s="128" t="s">
        <v>166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137" t="s">
        <v>153</v>
      </c>
      <c r="O54" s="136" t="s">
        <v>149</v>
      </c>
      <c r="P54" s="499" t="s">
        <v>125</v>
      </c>
      <c r="Q54" s="500"/>
      <c r="R54" s="499" t="s">
        <v>163</v>
      </c>
      <c r="S54" s="501"/>
      <c r="T54" s="501"/>
      <c r="U54" s="500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153</v>
      </c>
      <c r="B55" s="486"/>
      <c r="C55" s="138" t="s">
        <v>128</v>
      </c>
      <c r="D55" s="138" t="s">
        <v>125</v>
      </c>
      <c r="E55" s="138" t="s">
        <v>162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127"/>
      <c r="O55" s="132"/>
      <c r="P55" s="499"/>
      <c r="Q55" s="500"/>
      <c r="R55" s="486"/>
      <c r="S55" s="486"/>
      <c r="T55" s="486"/>
      <c r="U55" s="486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170</v>
      </c>
      <c r="B56" s="486"/>
      <c r="C56" s="128" t="s">
        <v>171</v>
      </c>
      <c r="D56" s="128" t="s">
        <v>125</v>
      </c>
      <c r="E56" s="128" t="s">
        <v>172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127"/>
      <c r="O56" s="132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170</v>
      </c>
      <c r="B57" s="486"/>
      <c r="C57" s="128" t="s">
        <v>149</v>
      </c>
      <c r="D57" s="128" t="s">
        <v>138</v>
      </c>
      <c r="E57" s="128" t="s">
        <v>173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127"/>
      <c r="O57" s="132"/>
      <c r="P57" s="499"/>
      <c r="Q57" s="500"/>
      <c r="R57" s="499"/>
      <c r="S57" s="501"/>
      <c r="T57" s="501"/>
      <c r="U57" s="500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124</v>
      </c>
      <c r="B58" s="486"/>
      <c r="C58" s="128" t="s">
        <v>134</v>
      </c>
      <c r="D58" s="128" t="s">
        <v>117</v>
      </c>
      <c r="E58" s="128" t="s">
        <v>140</v>
      </c>
      <c r="F58" s="487" t="s">
        <v>174</v>
      </c>
      <c r="G58" s="488"/>
      <c r="H58" s="488"/>
      <c r="I58" s="488"/>
      <c r="J58" s="488"/>
      <c r="K58" s="488"/>
      <c r="L58" s="488"/>
      <c r="M58" s="489"/>
      <c r="N58" s="127"/>
      <c r="O58" s="132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170</v>
      </c>
      <c r="B59" s="486"/>
      <c r="C59" s="128" t="s">
        <v>175</v>
      </c>
      <c r="D59" s="128" t="s">
        <v>167</v>
      </c>
      <c r="E59" s="128" t="s">
        <v>168</v>
      </c>
      <c r="F59" s="487" t="s">
        <v>120</v>
      </c>
      <c r="G59" s="488"/>
      <c r="H59" s="488"/>
      <c r="I59" s="488"/>
      <c r="J59" s="488"/>
      <c r="K59" s="488"/>
      <c r="L59" s="488"/>
      <c r="M59" s="489"/>
      <c r="N59" s="127"/>
      <c r="O59" s="132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170</v>
      </c>
      <c r="B60" s="486"/>
      <c r="C60" s="128" t="s">
        <v>178</v>
      </c>
      <c r="D60" s="128" t="s">
        <v>117</v>
      </c>
      <c r="E60" s="128" t="s">
        <v>176</v>
      </c>
      <c r="F60" s="487" t="s">
        <v>177</v>
      </c>
      <c r="G60" s="488"/>
      <c r="H60" s="488"/>
      <c r="I60" s="488"/>
      <c r="J60" s="488"/>
      <c r="K60" s="488"/>
      <c r="L60" s="488"/>
      <c r="M60" s="489"/>
      <c r="N60" s="127"/>
      <c r="O60" s="132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128"/>
      <c r="D61" s="128"/>
      <c r="E61" s="128"/>
      <c r="F61" s="487"/>
      <c r="G61" s="488"/>
      <c r="H61" s="488"/>
      <c r="I61" s="488"/>
      <c r="J61" s="488"/>
      <c r="K61" s="488"/>
      <c r="L61" s="488"/>
      <c r="M61" s="489"/>
      <c r="N61" s="127"/>
      <c r="O61" s="132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129"/>
      <c r="D62" s="129"/>
      <c r="E62" s="129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182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130" t="s">
        <v>2</v>
      </c>
      <c r="D64" s="130" t="s">
        <v>37</v>
      </c>
      <c r="E64" s="130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130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124</v>
      </c>
      <c r="D65" s="134"/>
      <c r="E65" s="131" t="s">
        <v>183</v>
      </c>
      <c r="F65" s="474" t="s">
        <v>184</v>
      </c>
      <c r="G65" s="466"/>
      <c r="H65" s="466"/>
      <c r="I65" s="466"/>
      <c r="J65" s="466"/>
      <c r="K65" s="466" t="s">
        <v>154</v>
      </c>
      <c r="L65" s="466"/>
      <c r="M65" s="51" t="s">
        <v>185</v>
      </c>
      <c r="N65" s="477" t="s">
        <v>132</v>
      </c>
      <c r="O65" s="477"/>
      <c r="P65" s="475">
        <v>50</v>
      </c>
      <c r="Q65" s="475"/>
      <c r="R65" s="476" t="s">
        <v>186</v>
      </c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/>
      <c r="D66" s="134"/>
      <c r="E66" s="131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/>
      <c r="D67" s="134"/>
      <c r="E67" s="131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/>
      <c r="D68" s="134"/>
      <c r="E68" s="131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/>
      <c r="D69" s="134"/>
      <c r="E69" s="131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/>
      <c r="D70" s="134"/>
      <c r="E70" s="131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/>
      <c r="D71" s="134"/>
      <c r="E71" s="131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134"/>
      <c r="E72" s="131"/>
      <c r="F72" s="474"/>
      <c r="G72" s="466"/>
      <c r="H72" s="466"/>
      <c r="I72" s="466"/>
      <c r="J72" s="466"/>
      <c r="K72" s="466"/>
      <c r="L72" s="466"/>
      <c r="M72" s="51"/>
      <c r="N72" s="466"/>
      <c r="O72" s="466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187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133" t="s">
        <v>2</v>
      </c>
      <c r="D74" s="133" t="s">
        <v>37</v>
      </c>
      <c r="E74" s="133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135" t="s">
        <v>114</v>
      </c>
      <c r="D75" s="135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134"/>
      <c r="D76" s="134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2">A76+1</f>
        <v>3</v>
      </c>
      <c r="B77" s="434"/>
      <c r="C77" s="134"/>
      <c r="D77" s="134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2"/>
        <v>4</v>
      </c>
      <c r="B78" s="434"/>
      <c r="C78" s="134"/>
      <c r="D78" s="134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2"/>
        <v>5</v>
      </c>
      <c r="B79" s="434"/>
      <c r="C79" s="134"/>
      <c r="D79" s="134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2"/>
        <v>6</v>
      </c>
      <c r="B80" s="434"/>
      <c r="C80" s="134"/>
      <c r="D80" s="134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2"/>
        <v>7</v>
      </c>
      <c r="B81" s="434"/>
      <c r="C81" s="134"/>
      <c r="D81" s="134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2"/>
        <v>8</v>
      </c>
      <c r="B82" s="434"/>
      <c r="C82" s="134"/>
      <c r="D82" s="134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2"/>
        <v>9</v>
      </c>
      <c r="B83" s="434"/>
      <c r="C83" s="134"/>
      <c r="D83" s="134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188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4FCD-BFFD-4573-AF3F-8C4CC89E1D7E}">
  <sheetPr codeName="Sheet3"/>
  <dimension ref="A1:AF89"/>
  <sheetViews>
    <sheetView topLeftCell="A67" zoomScale="72" zoomScaleNormal="72" zoomScaleSheetLayoutView="70" workbookViewId="0">
      <selection activeCell="F81" sqref="F81:J8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190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39" t="s">
        <v>17</v>
      </c>
      <c r="L5" s="139" t="s">
        <v>18</v>
      </c>
      <c r="M5" s="139" t="s">
        <v>19</v>
      </c>
      <c r="N5" s="13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19" si="7">AC6*AB6*(1-O6)</f>
        <v>0</v>
      </c>
      <c r="AE6" s="36">
        <f t="shared" ref="AE6:AE23" si="8">$AD$24</f>
        <v>0.56944444444444453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0.56944444444444453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159</v>
      </c>
      <c r="F8" s="30" t="s">
        <v>123</v>
      </c>
      <c r="G8" s="33">
        <v>1</v>
      </c>
      <c r="H8" s="35">
        <v>24</v>
      </c>
      <c r="I8" s="7">
        <v>38000</v>
      </c>
      <c r="J8" s="14">
        <v>5785</v>
      </c>
      <c r="K8" s="15">
        <f>L8+6174+6474+4784+6367</f>
        <v>29584</v>
      </c>
      <c r="L8" s="15">
        <f>3181+2604</f>
        <v>5785</v>
      </c>
      <c r="M8" s="15">
        <f t="shared" si="1"/>
        <v>5785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0.56944444444444453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3141</v>
      </c>
      <c r="K9" s="15">
        <f>L9+1593+1896+2807+1401+3459+1160+3830+650+1584+2358+4249+584+4731+3038+1149+1391+2345+2572+1276+2512+3429+1210+3718</f>
        <v>56083</v>
      </c>
      <c r="L9" s="15">
        <f>1211+1930</f>
        <v>3141</v>
      </c>
      <c r="M9" s="15">
        <f t="shared" si="1"/>
        <v>3141</v>
      </c>
      <c r="N9" s="15">
        <v>0</v>
      </c>
      <c r="O9" s="58">
        <f t="shared" si="2"/>
        <v>0</v>
      </c>
      <c r="P9" s="39">
        <f t="shared" si="3"/>
        <v>17</v>
      </c>
      <c r="Q9" s="40">
        <f t="shared" si="4"/>
        <v>7</v>
      </c>
      <c r="R9" s="7"/>
      <c r="S9" s="6">
        <v>7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0.70833333333333337</v>
      </c>
      <c r="AD9" s="10">
        <f t="shared" si="7"/>
        <v>0.70833333333333337</v>
      </c>
      <c r="AE9" s="36">
        <f t="shared" si="8"/>
        <v>0.56944444444444453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166</v>
      </c>
      <c r="F10" s="30" t="s">
        <v>123</v>
      </c>
      <c r="G10" s="33">
        <v>1</v>
      </c>
      <c r="H10" s="35">
        <v>24</v>
      </c>
      <c r="I10" s="7">
        <v>9000</v>
      </c>
      <c r="J10" s="5">
        <v>3982</v>
      </c>
      <c r="K10" s="15">
        <f>L10+3176</f>
        <v>7158</v>
      </c>
      <c r="L10" s="15">
        <f>1061+2921</f>
        <v>3982</v>
      </c>
      <c r="M10" s="15">
        <f t="shared" si="1"/>
        <v>3982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/>
      <c r="T10" s="16"/>
      <c r="U10" s="16"/>
      <c r="V10" s="17"/>
      <c r="W10" s="5">
        <v>4</v>
      </c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 t="shared" si="8"/>
        <v>0.56944444444444453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153</v>
      </c>
      <c r="D11" s="52" t="s">
        <v>125</v>
      </c>
      <c r="E11" s="53" t="s">
        <v>163</v>
      </c>
      <c r="F11" s="30" t="s">
        <v>127</v>
      </c>
      <c r="G11" s="33">
        <v>1</v>
      </c>
      <c r="H11" s="35">
        <v>24</v>
      </c>
      <c r="I11" s="7">
        <v>1000</v>
      </c>
      <c r="J11" s="5">
        <v>1110</v>
      </c>
      <c r="K11" s="15">
        <f>L11</f>
        <v>1110</v>
      </c>
      <c r="L11" s="15">
        <f>550+560</f>
        <v>1110</v>
      </c>
      <c r="M11" s="15">
        <f t="shared" si="1"/>
        <v>1110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/>
      <c r="T11" s="16"/>
      <c r="U11" s="16"/>
      <c r="V11" s="17"/>
      <c r="W11" s="5">
        <v>17</v>
      </c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 t="shared" ref="AD11:AD13" si="10">AC11*AB11*(1-O11)</f>
        <v>0.29166666666666669</v>
      </c>
      <c r="AE11" s="36">
        <f t="shared" si="8"/>
        <v>0.56944444444444453</v>
      </c>
      <c r="AF11" s="87">
        <f t="shared" si="9"/>
        <v>6</v>
      </c>
    </row>
    <row r="12" spans="1:32" ht="27" customHeight="1">
      <c r="A12" s="103">
        <v>6</v>
      </c>
      <c r="B12" s="11" t="s">
        <v>57</v>
      </c>
      <c r="C12" s="11" t="s">
        <v>130</v>
      </c>
      <c r="D12" s="52" t="s">
        <v>193</v>
      </c>
      <c r="E12" s="53" t="s">
        <v>194</v>
      </c>
      <c r="F12" s="30" t="s">
        <v>121</v>
      </c>
      <c r="G12" s="33">
        <v>1</v>
      </c>
      <c r="H12" s="35">
        <v>24</v>
      </c>
      <c r="I12" s="7">
        <v>1000</v>
      </c>
      <c r="J12" s="14">
        <v>1572</v>
      </c>
      <c r="K12" s="15">
        <f>L12</f>
        <v>1572</v>
      </c>
      <c r="L12" s="15">
        <v>1572</v>
      </c>
      <c r="M12" s="15">
        <f t="shared" si="1"/>
        <v>1572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/>
      <c r="T12" s="16"/>
      <c r="U12" s="16"/>
      <c r="V12" s="17"/>
      <c r="W12" s="5">
        <v>14</v>
      </c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si="10"/>
        <v>0.41666666666666669</v>
      </c>
      <c r="AE12" s="36">
        <f t="shared" si="8"/>
        <v>0.56944444444444453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124</v>
      </c>
      <c r="D13" s="52" t="s">
        <v>117</v>
      </c>
      <c r="E13" s="53" t="s">
        <v>140</v>
      </c>
      <c r="F13" s="30" t="s">
        <v>121</v>
      </c>
      <c r="G13" s="33">
        <v>1</v>
      </c>
      <c r="H13" s="35">
        <v>20</v>
      </c>
      <c r="I13" s="7">
        <v>50000</v>
      </c>
      <c r="J13" s="14">
        <v>4276</v>
      </c>
      <c r="K13" s="15">
        <f>L13+2445+4101+2795+3910+4765+4211</f>
        <v>26503</v>
      </c>
      <c r="L13" s="15">
        <f>2033+2243</f>
        <v>4276</v>
      </c>
      <c r="M13" s="15">
        <f t="shared" si="1"/>
        <v>4276</v>
      </c>
      <c r="N13" s="15">
        <v>0</v>
      </c>
      <c r="O13" s="58">
        <f t="shared" si="2"/>
        <v>0</v>
      </c>
      <c r="P13" s="39">
        <f t="shared" si="3"/>
        <v>21</v>
      </c>
      <c r="Q13" s="40">
        <f t="shared" si="4"/>
        <v>3</v>
      </c>
      <c r="R13" s="7"/>
      <c r="S13" s="6">
        <v>3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0.875</v>
      </c>
      <c r="AD13" s="10">
        <f t="shared" si="10"/>
        <v>0.875</v>
      </c>
      <c r="AE13" s="36">
        <f t="shared" si="8"/>
        <v>0.56944444444444453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130</v>
      </c>
      <c r="D14" s="52" t="s">
        <v>117</v>
      </c>
      <c r="E14" s="53" t="s">
        <v>161</v>
      </c>
      <c r="F14" s="30" t="s">
        <v>135</v>
      </c>
      <c r="G14" s="33">
        <v>2</v>
      </c>
      <c r="H14" s="35">
        <v>24</v>
      </c>
      <c r="I14" s="7">
        <v>15000</v>
      </c>
      <c r="J14" s="14">
        <v>3404</v>
      </c>
      <c r="K14" s="15">
        <f>L14+5104+10148</f>
        <v>18656</v>
      </c>
      <c r="L14" s="15">
        <f>1702*2</f>
        <v>3404</v>
      </c>
      <c r="M14" s="15">
        <f t="shared" si="1"/>
        <v>3404</v>
      </c>
      <c r="N14" s="15">
        <v>0</v>
      </c>
      <c r="O14" s="58">
        <f t="shared" si="2"/>
        <v>0</v>
      </c>
      <c r="P14" s="39">
        <f t="shared" si="3"/>
        <v>9</v>
      </c>
      <c r="Q14" s="40">
        <f t="shared" si="4"/>
        <v>15</v>
      </c>
      <c r="R14" s="7"/>
      <c r="S14" s="6">
        <v>15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0.375</v>
      </c>
      <c r="AD14" s="10">
        <f t="shared" si="7"/>
        <v>0.375</v>
      </c>
      <c r="AE14" s="36">
        <f t="shared" si="8"/>
        <v>0.56944444444444453</v>
      </c>
      <c r="AF14" s="87">
        <f t="shared" si="9"/>
        <v>8</v>
      </c>
    </row>
    <row r="15" spans="1:32" ht="27" customHeight="1">
      <c r="A15" s="103">
        <v>8</v>
      </c>
      <c r="B15" s="11" t="s">
        <v>57</v>
      </c>
      <c r="C15" s="11" t="s">
        <v>130</v>
      </c>
      <c r="D15" s="52" t="s">
        <v>117</v>
      </c>
      <c r="E15" s="53"/>
      <c r="F15" s="30" t="s">
        <v>121</v>
      </c>
      <c r="G15" s="33">
        <v>1</v>
      </c>
      <c r="H15" s="35">
        <v>24</v>
      </c>
      <c r="I15" s="7">
        <v>1000</v>
      </c>
      <c r="J15" s="14">
        <v>1402</v>
      </c>
      <c r="K15" s="15">
        <f>L15</f>
        <v>1402</v>
      </c>
      <c r="L15" s="15">
        <v>1402</v>
      </c>
      <c r="M15" s="15">
        <f t="shared" ref="M15" si="11">L15-N15</f>
        <v>1402</v>
      </c>
      <c r="N15" s="15">
        <v>0</v>
      </c>
      <c r="O15" s="58">
        <f t="shared" ref="O15" si="12">IF(L15=0,"0",N15/L15)</f>
        <v>0</v>
      </c>
      <c r="P15" s="39">
        <f t="shared" ref="P15" si="13">IF(L15=0,"0",(24-Q15))</f>
        <v>11</v>
      </c>
      <c r="Q15" s="40">
        <f t="shared" ref="Q15" si="14">SUM(R15:AA15)</f>
        <v>13</v>
      </c>
      <c r="R15" s="7"/>
      <c r="S15" s="6"/>
      <c r="T15" s="16"/>
      <c r="U15" s="16"/>
      <c r="V15" s="17"/>
      <c r="W15" s="5">
        <v>13</v>
      </c>
      <c r="X15" s="16"/>
      <c r="Y15" s="16"/>
      <c r="Z15" s="16"/>
      <c r="AA15" s="18"/>
      <c r="AB15" s="8">
        <f t="shared" ref="AB15" si="15">IF(J15=0,"0",(L15/J15))</f>
        <v>1</v>
      </c>
      <c r="AC15" s="9">
        <f t="shared" ref="AC15" si="16">IF(P15=0,"0",(P15/24))</f>
        <v>0.45833333333333331</v>
      </c>
      <c r="AD15" s="10">
        <f t="shared" ref="AD15" si="17">AC15*AB15*(1-O15)</f>
        <v>0.45833333333333331</v>
      </c>
      <c r="AE15" s="36">
        <f t="shared" si="8"/>
        <v>0.56944444444444453</v>
      </c>
      <c r="AF15" s="87">
        <f t="shared" ref="AF15" si="18">A15</f>
        <v>8</v>
      </c>
    </row>
    <row r="16" spans="1:32" ht="27" customHeight="1">
      <c r="A16" s="118">
        <v>9</v>
      </c>
      <c r="B16" s="11" t="s">
        <v>57</v>
      </c>
      <c r="C16" s="34" t="s">
        <v>124</v>
      </c>
      <c r="D16" s="52" t="s">
        <v>117</v>
      </c>
      <c r="E16" s="53" t="s">
        <v>191</v>
      </c>
      <c r="F16" s="30" t="s">
        <v>151</v>
      </c>
      <c r="G16" s="12">
        <v>1</v>
      </c>
      <c r="H16" s="13">
        <v>45</v>
      </c>
      <c r="I16" s="7">
        <v>300</v>
      </c>
      <c r="J16" s="5">
        <v>336</v>
      </c>
      <c r="K16" s="15">
        <f>L16</f>
        <v>336</v>
      </c>
      <c r="L16" s="15">
        <v>336</v>
      </c>
      <c r="M16" s="15">
        <f t="shared" si="1"/>
        <v>336</v>
      </c>
      <c r="N16" s="15">
        <v>0</v>
      </c>
      <c r="O16" s="58">
        <f t="shared" si="2"/>
        <v>0</v>
      </c>
      <c r="P16" s="39">
        <f t="shared" si="3"/>
        <v>4</v>
      </c>
      <c r="Q16" s="40">
        <f t="shared" si="4"/>
        <v>20</v>
      </c>
      <c r="R16" s="7"/>
      <c r="S16" s="6"/>
      <c r="T16" s="16"/>
      <c r="U16" s="16"/>
      <c r="V16" s="17"/>
      <c r="W16" s="5">
        <v>20</v>
      </c>
      <c r="X16" s="16"/>
      <c r="Y16" s="16"/>
      <c r="Z16" s="16"/>
      <c r="AA16" s="18"/>
      <c r="AB16" s="8">
        <f t="shared" si="5"/>
        <v>1</v>
      </c>
      <c r="AC16" s="9">
        <f t="shared" si="6"/>
        <v>0.16666666666666666</v>
      </c>
      <c r="AD16" s="10">
        <f t="shared" si="7"/>
        <v>0.16666666666666666</v>
      </c>
      <c r="AE16" s="36">
        <f t="shared" si="8"/>
        <v>0.56944444444444453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130</v>
      </c>
      <c r="D17" s="52" t="s">
        <v>167</v>
      </c>
      <c r="E17" s="53" t="s">
        <v>168</v>
      </c>
      <c r="F17" s="12">
        <v>8301</v>
      </c>
      <c r="G17" s="12">
        <v>1</v>
      </c>
      <c r="H17" s="13">
        <v>24</v>
      </c>
      <c r="I17" s="31">
        <v>1000</v>
      </c>
      <c r="J17" s="14">
        <v>1087</v>
      </c>
      <c r="K17" s="15">
        <f>L17+1087</f>
        <v>1087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0.56944444444444453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34" t="s">
        <v>124</v>
      </c>
      <c r="D18" s="52" t="s">
        <v>125</v>
      </c>
      <c r="E18" s="53" t="s">
        <v>158</v>
      </c>
      <c r="F18" s="30" t="s">
        <v>126</v>
      </c>
      <c r="G18" s="12">
        <v>1</v>
      </c>
      <c r="H18" s="13">
        <v>28</v>
      </c>
      <c r="I18" s="7">
        <v>36000</v>
      </c>
      <c r="J18" s="14">
        <v>5303</v>
      </c>
      <c r="K18" s="15">
        <f>L18+2340+5002+5386+4999+5348</f>
        <v>28378</v>
      </c>
      <c r="L18" s="15">
        <f>2835+2468</f>
        <v>5303</v>
      </c>
      <c r="M18" s="15">
        <f t="shared" si="1"/>
        <v>5303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0.56944444444444453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124</v>
      </c>
      <c r="D19" s="52" t="s">
        <v>141</v>
      </c>
      <c r="E19" s="53" t="s">
        <v>142</v>
      </c>
      <c r="F19" s="30" t="s">
        <v>137</v>
      </c>
      <c r="G19" s="33">
        <v>1</v>
      </c>
      <c r="H19" s="35">
        <v>20</v>
      </c>
      <c r="I19" s="7">
        <v>20000</v>
      </c>
      <c r="J19" s="14">
        <v>4085</v>
      </c>
      <c r="K19" s="15">
        <f>L19+5181+6332+4085</f>
        <v>15598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0.56944444444444453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130</v>
      </c>
      <c r="D20" s="52" t="s">
        <v>181</v>
      </c>
      <c r="E20" s="53" t="s">
        <v>180</v>
      </c>
      <c r="F20" s="30" t="s">
        <v>192</v>
      </c>
      <c r="G20" s="33">
        <v>1</v>
      </c>
      <c r="H20" s="35">
        <v>24</v>
      </c>
      <c r="I20" s="7">
        <v>3000</v>
      </c>
      <c r="J20" s="5">
        <v>2765</v>
      </c>
      <c r="K20" s="15">
        <f>L20</f>
        <v>2765</v>
      </c>
      <c r="L20" s="15">
        <f>988+1777</f>
        <v>2765</v>
      </c>
      <c r="M20" s="15">
        <f t="shared" si="1"/>
        <v>2765</v>
      </c>
      <c r="N20" s="15">
        <v>0</v>
      </c>
      <c r="O20" s="58">
        <f t="shared" si="2"/>
        <v>0</v>
      </c>
      <c r="P20" s="39">
        <f t="shared" si="3"/>
        <v>16</v>
      </c>
      <c r="Q20" s="40">
        <f t="shared" si="4"/>
        <v>8</v>
      </c>
      <c r="R20" s="7"/>
      <c r="S20" s="6">
        <v>8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0.66666666666666663</v>
      </c>
      <c r="AD20" s="10">
        <f>AC20*AB20*(1-O20)</f>
        <v>0.66666666666666663</v>
      </c>
      <c r="AE20" s="36">
        <f t="shared" si="8"/>
        <v>0.56944444444444453</v>
      </c>
      <c r="AF20" s="87">
        <f t="shared" si="9"/>
        <v>13</v>
      </c>
    </row>
    <row r="21" spans="1:32" ht="27" customHeight="1">
      <c r="A21" s="103">
        <v>13</v>
      </c>
      <c r="B21" s="11" t="s">
        <v>57</v>
      </c>
      <c r="C21" s="34" t="s">
        <v>195</v>
      </c>
      <c r="D21" s="52"/>
      <c r="E21" s="53" t="s">
        <v>196</v>
      </c>
      <c r="F21" s="30" t="s">
        <v>151</v>
      </c>
      <c r="G21" s="33" t="s">
        <v>197</v>
      </c>
      <c r="H21" s="35">
        <v>24</v>
      </c>
      <c r="I21" s="7">
        <v>3000</v>
      </c>
      <c r="J21" s="5">
        <v>1221</v>
      </c>
      <c r="K21" s="15">
        <f>L21</f>
        <v>1221</v>
      </c>
      <c r="L21" s="15">
        <v>1221</v>
      </c>
      <c r="M21" s="15">
        <f t="shared" ref="M21" si="19">L21-N21</f>
        <v>1221</v>
      </c>
      <c r="N21" s="15">
        <v>0</v>
      </c>
      <c r="O21" s="58">
        <f t="shared" ref="O21" si="20">IF(L21=0,"0",N21/L21)</f>
        <v>0</v>
      </c>
      <c r="P21" s="39">
        <f t="shared" ref="P21" si="21">IF(L21=0,"0",(24-Q21))</f>
        <v>7</v>
      </c>
      <c r="Q21" s="40">
        <f t="shared" ref="Q21" si="22">SUM(R21:AA21)</f>
        <v>17</v>
      </c>
      <c r="R21" s="7"/>
      <c r="S21" s="6"/>
      <c r="T21" s="16">
        <v>17</v>
      </c>
      <c r="U21" s="16"/>
      <c r="V21" s="17"/>
      <c r="W21" s="5"/>
      <c r="X21" s="16"/>
      <c r="Y21" s="16"/>
      <c r="Z21" s="16"/>
      <c r="AA21" s="18"/>
      <c r="AB21" s="8">
        <f t="shared" ref="AB21" si="23">IF(J21=0,"0",(L21/J21))</f>
        <v>1</v>
      </c>
      <c r="AC21" s="9">
        <f t="shared" ref="AC21" si="24">IF(P21=0,"0",(P21/24))</f>
        <v>0.29166666666666669</v>
      </c>
      <c r="AD21" s="10">
        <f>AC21*AB21*(1-O21)</f>
        <v>0.29166666666666669</v>
      </c>
      <c r="AE21" s="36">
        <f t="shared" si="8"/>
        <v>0.56944444444444453</v>
      </c>
      <c r="AF21" s="87">
        <f t="shared" ref="AF21" si="25">A21</f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117</v>
      </c>
      <c r="E22" s="53" t="s">
        <v>160</v>
      </c>
      <c r="F22" s="30" t="s">
        <v>151</v>
      </c>
      <c r="G22" s="33">
        <v>1</v>
      </c>
      <c r="H22" s="35">
        <v>24</v>
      </c>
      <c r="I22" s="7">
        <v>37000</v>
      </c>
      <c r="J22" s="14">
        <v>4995</v>
      </c>
      <c r="K22" s="15">
        <f>L22+4542+3108+4963</f>
        <v>17608</v>
      </c>
      <c r="L22" s="15">
        <f>2644+2351</f>
        <v>4995</v>
      </c>
      <c r="M22" s="15">
        <f t="shared" si="1"/>
        <v>4995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ref="AD22:AD23" si="26">AC22*AB22*(1-O22)</f>
        <v>1</v>
      </c>
      <c r="AE22" s="36">
        <f t="shared" si="8"/>
        <v>0.56944444444444453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157</v>
      </c>
      <c r="F23" s="12" t="s">
        <v>116</v>
      </c>
      <c r="G23" s="12">
        <v>4</v>
      </c>
      <c r="H23" s="35">
        <v>20</v>
      </c>
      <c r="I23" s="7">
        <v>500000</v>
      </c>
      <c r="J23" s="14">
        <v>43344</v>
      </c>
      <c r="K23" s="15">
        <f>L23+48568+76848+49420</f>
        <v>218180</v>
      </c>
      <c r="L23" s="15">
        <f>10836*4</f>
        <v>43344</v>
      </c>
      <c r="M23" s="15">
        <f t="shared" si="1"/>
        <v>43344</v>
      </c>
      <c r="N23" s="15">
        <v>0</v>
      </c>
      <c r="O23" s="58">
        <f t="shared" si="2"/>
        <v>0</v>
      </c>
      <c r="P23" s="39">
        <f t="shared" si="3"/>
        <v>11</v>
      </c>
      <c r="Q23" s="40">
        <f t="shared" si="4"/>
        <v>13</v>
      </c>
      <c r="R23" s="7"/>
      <c r="S23" s="6"/>
      <c r="T23" s="16"/>
      <c r="U23" s="16"/>
      <c r="V23" s="17">
        <v>13</v>
      </c>
      <c r="W23" s="5"/>
      <c r="X23" s="16"/>
      <c r="Y23" s="16"/>
      <c r="Z23" s="16"/>
      <c r="AA23" s="18"/>
      <c r="AB23" s="8">
        <f t="shared" si="5"/>
        <v>1</v>
      </c>
      <c r="AC23" s="9">
        <f t="shared" si="6"/>
        <v>0.45833333333333331</v>
      </c>
      <c r="AD23" s="10">
        <f t="shared" si="26"/>
        <v>0.45833333333333331</v>
      </c>
      <c r="AE23" s="36">
        <f t="shared" si="8"/>
        <v>0.56944444444444453</v>
      </c>
      <c r="AF23" s="87">
        <f t="shared" si="9"/>
        <v>15</v>
      </c>
    </row>
    <row r="24" spans="1:32" ht="31.5" customHeight="1" thickBot="1">
      <c r="A24" s="504" t="s">
        <v>34</v>
      </c>
      <c r="B24" s="505"/>
      <c r="C24" s="505"/>
      <c r="D24" s="505"/>
      <c r="E24" s="505"/>
      <c r="F24" s="505"/>
      <c r="G24" s="505"/>
      <c r="H24" s="506"/>
      <c r="I24" s="22">
        <f t="shared" ref="I24:N24" si="27">SUM(I6:I23)</f>
        <v>786300</v>
      </c>
      <c r="J24" s="19">
        <f t="shared" si="27"/>
        <v>89869</v>
      </c>
      <c r="K24" s="20">
        <f t="shared" si="27"/>
        <v>438789</v>
      </c>
      <c r="L24" s="21">
        <f t="shared" si="27"/>
        <v>82636</v>
      </c>
      <c r="M24" s="20">
        <f t="shared" si="27"/>
        <v>82636</v>
      </c>
      <c r="N24" s="21">
        <f t="shared" si="27"/>
        <v>0</v>
      </c>
      <c r="O24" s="41">
        <f t="shared" si="2"/>
        <v>0</v>
      </c>
      <c r="P24" s="42">
        <f t="shared" ref="P24:AA24" si="28">SUM(P6:P23)</f>
        <v>205</v>
      </c>
      <c r="Q24" s="43">
        <f t="shared" si="28"/>
        <v>227</v>
      </c>
      <c r="R24" s="23">
        <f t="shared" si="28"/>
        <v>24</v>
      </c>
      <c r="S24" s="24">
        <f t="shared" si="28"/>
        <v>33</v>
      </c>
      <c r="T24" s="24">
        <f t="shared" si="28"/>
        <v>17</v>
      </c>
      <c r="U24" s="24">
        <f t="shared" si="28"/>
        <v>0</v>
      </c>
      <c r="V24" s="25">
        <f t="shared" si="28"/>
        <v>37</v>
      </c>
      <c r="W24" s="26">
        <f t="shared" si="28"/>
        <v>116</v>
      </c>
      <c r="X24" s="27">
        <f t="shared" si="28"/>
        <v>0</v>
      </c>
      <c r="Y24" s="27">
        <f t="shared" si="28"/>
        <v>0</v>
      </c>
      <c r="Z24" s="27">
        <f t="shared" si="28"/>
        <v>0</v>
      </c>
      <c r="AA24" s="27">
        <f t="shared" si="28"/>
        <v>0</v>
      </c>
      <c r="AB24" s="28">
        <f>SUM(AB6:AB23)/15</f>
        <v>0.93333333333333335</v>
      </c>
      <c r="AC24" s="4">
        <f>SUM(AC6:AC23)/15</f>
        <v>0.56944444444444453</v>
      </c>
      <c r="AD24" s="4">
        <f>SUM(AD6:AD23)/15</f>
        <v>0.56944444444444453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07" t="s">
        <v>45</v>
      </c>
      <c r="B51" s="507"/>
      <c r="C51" s="507"/>
      <c r="D51" s="507"/>
      <c r="E51" s="50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08" t="s">
        <v>198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10"/>
      <c r="N52" s="511" t="s">
        <v>203</v>
      </c>
      <c r="O52" s="512"/>
      <c r="P52" s="512"/>
      <c r="Q52" s="512"/>
      <c r="R52" s="512"/>
      <c r="S52" s="512"/>
      <c r="T52" s="512"/>
      <c r="U52" s="512"/>
      <c r="V52" s="512"/>
      <c r="W52" s="512"/>
      <c r="X52" s="512"/>
      <c r="Y52" s="512"/>
      <c r="Z52" s="512"/>
      <c r="AA52" s="512"/>
      <c r="AB52" s="512"/>
      <c r="AC52" s="512"/>
      <c r="AD52" s="513"/>
    </row>
    <row r="53" spans="1:32" ht="27" customHeight="1">
      <c r="A53" s="514" t="s">
        <v>2</v>
      </c>
      <c r="B53" s="515"/>
      <c r="C53" s="140" t="s">
        <v>46</v>
      </c>
      <c r="D53" s="140" t="s">
        <v>47</v>
      </c>
      <c r="E53" s="140" t="s">
        <v>108</v>
      </c>
      <c r="F53" s="515" t="s">
        <v>107</v>
      </c>
      <c r="G53" s="515"/>
      <c r="H53" s="515"/>
      <c r="I53" s="515"/>
      <c r="J53" s="515"/>
      <c r="K53" s="515"/>
      <c r="L53" s="515"/>
      <c r="M53" s="516"/>
      <c r="N53" s="67" t="s">
        <v>112</v>
      </c>
      <c r="O53" s="140" t="s">
        <v>46</v>
      </c>
      <c r="P53" s="517" t="s">
        <v>47</v>
      </c>
      <c r="Q53" s="518"/>
      <c r="R53" s="517" t="s">
        <v>38</v>
      </c>
      <c r="S53" s="519"/>
      <c r="T53" s="519"/>
      <c r="U53" s="518"/>
      <c r="V53" s="517" t="s">
        <v>48</v>
      </c>
      <c r="W53" s="519"/>
      <c r="X53" s="519"/>
      <c r="Y53" s="519"/>
      <c r="Z53" s="519"/>
      <c r="AA53" s="519"/>
      <c r="AB53" s="519"/>
      <c r="AC53" s="519"/>
      <c r="AD53" s="520"/>
    </row>
    <row r="54" spans="1:32" ht="27" customHeight="1">
      <c r="A54" s="485" t="s">
        <v>124</v>
      </c>
      <c r="B54" s="486"/>
      <c r="C54" s="142" t="s">
        <v>144</v>
      </c>
      <c r="D54" s="142" t="s">
        <v>136</v>
      </c>
      <c r="E54" s="142" t="s">
        <v>146</v>
      </c>
      <c r="F54" s="487" t="s">
        <v>199</v>
      </c>
      <c r="G54" s="488"/>
      <c r="H54" s="488"/>
      <c r="I54" s="488"/>
      <c r="J54" s="488"/>
      <c r="K54" s="488"/>
      <c r="L54" s="488"/>
      <c r="M54" s="489"/>
      <c r="N54" s="141" t="s">
        <v>130</v>
      </c>
      <c r="O54" s="146" t="s">
        <v>143</v>
      </c>
      <c r="P54" s="499" t="s">
        <v>181</v>
      </c>
      <c r="Q54" s="500"/>
      <c r="R54" s="486" t="s">
        <v>180</v>
      </c>
      <c r="S54" s="486"/>
      <c r="T54" s="486"/>
      <c r="U54" s="486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142" t="s">
        <v>134</v>
      </c>
      <c r="D55" s="142" t="s">
        <v>117</v>
      </c>
      <c r="E55" s="142" t="s">
        <v>140</v>
      </c>
      <c r="F55" s="487" t="s">
        <v>200</v>
      </c>
      <c r="G55" s="488"/>
      <c r="H55" s="488"/>
      <c r="I55" s="488"/>
      <c r="J55" s="488"/>
      <c r="K55" s="488"/>
      <c r="L55" s="488"/>
      <c r="M55" s="489"/>
      <c r="N55" s="141" t="s">
        <v>114</v>
      </c>
      <c r="O55" s="146" t="s">
        <v>128</v>
      </c>
      <c r="P55" s="499" t="s">
        <v>165</v>
      </c>
      <c r="Q55" s="500"/>
      <c r="R55" s="499" t="s">
        <v>207</v>
      </c>
      <c r="S55" s="501"/>
      <c r="T55" s="501"/>
      <c r="U55" s="500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153</v>
      </c>
      <c r="B56" s="486"/>
      <c r="C56" s="142" t="s">
        <v>149</v>
      </c>
      <c r="D56" s="142" t="s">
        <v>125</v>
      </c>
      <c r="E56" s="142" t="s">
        <v>163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141" t="s">
        <v>209</v>
      </c>
      <c r="O56" s="146" t="s">
        <v>210</v>
      </c>
      <c r="P56" s="499"/>
      <c r="Q56" s="500"/>
      <c r="R56" s="486" t="s">
        <v>208</v>
      </c>
      <c r="S56" s="486"/>
      <c r="T56" s="486"/>
      <c r="U56" s="486"/>
      <c r="V56" s="476" t="s">
        <v>120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130</v>
      </c>
      <c r="B57" s="486"/>
      <c r="C57" s="142" t="s">
        <v>149</v>
      </c>
      <c r="D57" s="142" t="s">
        <v>193</v>
      </c>
      <c r="E57" s="142" t="s">
        <v>194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141" t="s">
        <v>124</v>
      </c>
      <c r="O57" s="146" t="s">
        <v>211</v>
      </c>
      <c r="P57" s="499" t="s">
        <v>117</v>
      </c>
      <c r="Q57" s="500"/>
      <c r="R57" s="499" t="s">
        <v>160</v>
      </c>
      <c r="S57" s="501"/>
      <c r="T57" s="501"/>
      <c r="U57" s="500"/>
      <c r="V57" s="476" t="s">
        <v>177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130</v>
      </c>
      <c r="B58" s="486"/>
      <c r="C58" s="142" t="s">
        <v>178</v>
      </c>
      <c r="D58" s="142" t="s">
        <v>117</v>
      </c>
      <c r="E58" s="142" t="s">
        <v>201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141"/>
      <c r="O58" s="146"/>
      <c r="P58" s="499"/>
      <c r="Q58" s="500"/>
      <c r="R58" s="499"/>
      <c r="S58" s="501"/>
      <c r="T58" s="501"/>
      <c r="U58" s="500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124</v>
      </c>
      <c r="B59" s="486"/>
      <c r="C59" s="142" t="s">
        <v>202</v>
      </c>
      <c r="D59" s="142" t="s">
        <v>117</v>
      </c>
      <c r="E59" s="142" t="s">
        <v>191</v>
      </c>
      <c r="F59" s="487" t="s">
        <v>120</v>
      </c>
      <c r="G59" s="488"/>
      <c r="H59" s="488"/>
      <c r="I59" s="488"/>
      <c r="J59" s="488"/>
      <c r="K59" s="488"/>
      <c r="L59" s="488"/>
      <c r="M59" s="489"/>
      <c r="N59" s="141"/>
      <c r="O59" s="146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130</v>
      </c>
      <c r="B60" s="486"/>
      <c r="C60" s="142" t="s">
        <v>143</v>
      </c>
      <c r="D60" s="142" t="s">
        <v>181</v>
      </c>
      <c r="E60" s="142" t="s">
        <v>180</v>
      </c>
      <c r="F60" s="487" t="s">
        <v>205</v>
      </c>
      <c r="G60" s="488"/>
      <c r="H60" s="488"/>
      <c r="I60" s="488"/>
      <c r="J60" s="488"/>
      <c r="K60" s="488"/>
      <c r="L60" s="488"/>
      <c r="M60" s="489"/>
      <c r="N60" s="141"/>
      <c r="O60" s="146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 t="s">
        <v>195</v>
      </c>
      <c r="B61" s="486"/>
      <c r="C61" s="142" t="s">
        <v>143</v>
      </c>
      <c r="D61" s="142"/>
      <c r="E61" s="142" t="s">
        <v>206</v>
      </c>
      <c r="F61" s="487" t="s">
        <v>120</v>
      </c>
      <c r="G61" s="488"/>
      <c r="H61" s="488"/>
      <c r="I61" s="488"/>
      <c r="J61" s="488"/>
      <c r="K61" s="488"/>
      <c r="L61" s="488"/>
      <c r="M61" s="489"/>
      <c r="N61" s="141"/>
      <c r="O61" s="146"/>
      <c r="P61" s="499"/>
      <c r="Q61" s="500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</row>
    <row r="62" spans="1:32" ht="27" customHeight="1">
      <c r="A62" s="485"/>
      <c r="B62" s="486"/>
      <c r="C62" s="142"/>
      <c r="D62" s="142"/>
      <c r="E62" s="142"/>
      <c r="F62" s="487"/>
      <c r="G62" s="488"/>
      <c r="H62" s="488"/>
      <c r="I62" s="488"/>
      <c r="J62" s="488"/>
      <c r="K62" s="488"/>
      <c r="L62" s="488"/>
      <c r="M62" s="489"/>
      <c r="N62" s="141"/>
      <c r="O62" s="146"/>
      <c r="P62" s="486"/>
      <c r="Q62" s="486"/>
      <c r="R62" s="486"/>
      <c r="S62" s="486"/>
      <c r="T62" s="486"/>
      <c r="U62" s="486"/>
      <c r="V62" s="476"/>
      <c r="W62" s="476"/>
      <c r="X62" s="476"/>
      <c r="Y62" s="476"/>
      <c r="Z62" s="476"/>
      <c r="AA62" s="476"/>
      <c r="AB62" s="476"/>
      <c r="AC62" s="476"/>
      <c r="AD62" s="490"/>
      <c r="AF62" s="87">
        <f>8*3000</f>
        <v>24000</v>
      </c>
    </row>
    <row r="63" spans="1:32" ht="27" customHeight="1" thickBot="1">
      <c r="A63" s="491"/>
      <c r="B63" s="492"/>
      <c r="C63" s="143"/>
      <c r="D63" s="143"/>
      <c r="E63" s="143"/>
      <c r="F63" s="493"/>
      <c r="G63" s="494"/>
      <c r="H63" s="494"/>
      <c r="I63" s="494"/>
      <c r="J63" s="494"/>
      <c r="K63" s="494"/>
      <c r="L63" s="494"/>
      <c r="M63" s="495"/>
      <c r="N63" s="124"/>
      <c r="O63" s="114"/>
      <c r="P63" s="496"/>
      <c r="Q63" s="496"/>
      <c r="R63" s="496"/>
      <c r="S63" s="496"/>
      <c r="T63" s="496"/>
      <c r="U63" s="496"/>
      <c r="V63" s="497"/>
      <c r="W63" s="497"/>
      <c r="X63" s="497"/>
      <c r="Y63" s="497"/>
      <c r="Z63" s="497"/>
      <c r="AA63" s="497"/>
      <c r="AB63" s="497"/>
      <c r="AC63" s="497"/>
      <c r="AD63" s="498"/>
      <c r="AF63" s="87">
        <f>16*3000</f>
        <v>48000</v>
      </c>
    </row>
    <row r="64" spans="1:32" ht="27.75" thickBot="1">
      <c r="A64" s="483" t="s">
        <v>212</v>
      </c>
      <c r="B64" s="483"/>
      <c r="C64" s="483"/>
      <c r="D64" s="483"/>
      <c r="E64" s="483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84" t="s">
        <v>113</v>
      </c>
      <c r="B65" s="481"/>
      <c r="C65" s="144" t="s">
        <v>2</v>
      </c>
      <c r="D65" s="144" t="s">
        <v>37</v>
      </c>
      <c r="E65" s="144" t="s">
        <v>3</v>
      </c>
      <c r="F65" s="481" t="s">
        <v>110</v>
      </c>
      <c r="G65" s="481"/>
      <c r="H65" s="481"/>
      <c r="I65" s="481"/>
      <c r="J65" s="481"/>
      <c r="K65" s="481" t="s">
        <v>39</v>
      </c>
      <c r="L65" s="481"/>
      <c r="M65" s="144" t="s">
        <v>40</v>
      </c>
      <c r="N65" s="481" t="s">
        <v>41</v>
      </c>
      <c r="O65" s="481"/>
      <c r="P65" s="478" t="s">
        <v>42</v>
      </c>
      <c r="Q65" s="480"/>
      <c r="R65" s="478" t="s">
        <v>43</v>
      </c>
      <c r="S65" s="479"/>
      <c r="T65" s="479"/>
      <c r="U65" s="479"/>
      <c r="V65" s="479"/>
      <c r="W65" s="479"/>
      <c r="X65" s="479"/>
      <c r="Y65" s="479"/>
      <c r="Z65" s="479"/>
      <c r="AA65" s="480"/>
      <c r="AB65" s="481" t="s">
        <v>44</v>
      </c>
      <c r="AC65" s="481"/>
      <c r="AD65" s="482"/>
      <c r="AF65" s="87">
        <f>SUM(AF62:AF64)</f>
        <v>96000</v>
      </c>
    </row>
    <row r="66" spans="1:32" ht="25.5" customHeight="1">
      <c r="A66" s="472">
        <v>1</v>
      </c>
      <c r="B66" s="473"/>
      <c r="C66" s="117" t="s">
        <v>124</v>
      </c>
      <c r="D66" s="148"/>
      <c r="E66" s="145" t="s">
        <v>117</v>
      </c>
      <c r="F66" s="474" t="s">
        <v>213</v>
      </c>
      <c r="G66" s="466"/>
      <c r="H66" s="466"/>
      <c r="I66" s="466"/>
      <c r="J66" s="466"/>
      <c r="K66" s="466">
        <v>7301</v>
      </c>
      <c r="L66" s="466"/>
      <c r="M66" s="51" t="s">
        <v>214</v>
      </c>
      <c r="N66" s="477" t="s">
        <v>202</v>
      </c>
      <c r="O66" s="477"/>
      <c r="P66" s="475">
        <v>50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2</v>
      </c>
      <c r="B67" s="473"/>
      <c r="C67" s="117" t="s">
        <v>130</v>
      </c>
      <c r="D67" s="148"/>
      <c r="E67" s="145"/>
      <c r="F67" s="474" t="s">
        <v>215</v>
      </c>
      <c r="G67" s="466"/>
      <c r="H67" s="466"/>
      <c r="I67" s="466"/>
      <c r="J67" s="466"/>
      <c r="K67" s="466" t="s">
        <v>123</v>
      </c>
      <c r="L67" s="466"/>
      <c r="M67" s="51" t="s">
        <v>216</v>
      </c>
      <c r="N67" s="477" t="s">
        <v>149</v>
      </c>
      <c r="O67" s="477"/>
      <c r="P67" s="475" t="s">
        <v>217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3</v>
      </c>
      <c r="B68" s="473"/>
      <c r="C68" s="117"/>
      <c r="D68" s="148"/>
      <c r="E68" s="145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4</v>
      </c>
      <c r="B69" s="473"/>
      <c r="C69" s="117"/>
      <c r="D69" s="148"/>
      <c r="E69" s="145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5</v>
      </c>
      <c r="B70" s="473"/>
      <c r="C70" s="117"/>
      <c r="D70" s="148"/>
      <c r="E70" s="145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6</v>
      </c>
      <c r="B71" s="473"/>
      <c r="C71" s="117"/>
      <c r="D71" s="148"/>
      <c r="E71" s="145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7</v>
      </c>
      <c r="B72" s="473"/>
      <c r="C72" s="117"/>
      <c r="D72" s="148"/>
      <c r="E72" s="145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5.5" customHeight="1">
      <c r="A73" s="472">
        <v>8</v>
      </c>
      <c r="B73" s="473"/>
      <c r="C73" s="117"/>
      <c r="D73" s="148"/>
      <c r="E73" s="145"/>
      <c r="F73" s="474"/>
      <c r="G73" s="466"/>
      <c r="H73" s="466"/>
      <c r="I73" s="466"/>
      <c r="J73" s="466"/>
      <c r="K73" s="466"/>
      <c r="L73" s="466"/>
      <c r="M73" s="51"/>
      <c r="N73" s="466"/>
      <c r="O73" s="466"/>
      <c r="P73" s="475"/>
      <c r="Q73" s="475"/>
      <c r="R73" s="476"/>
      <c r="S73" s="476"/>
      <c r="T73" s="476"/>
      <c r="U73" s="476"/>
      <c r="V73" s="476"/>
      <c r="W73" s="476"/>
      <c r="X73" s="476"/>
      <c r="Y73" s="476"/>
      <c r="Z73" s="476"/>
      <c r="AA73" s="476"/>
      <c r="AB73" s="466"/>
      <c r="AC73" s="466"/>
      <c r="AD73" s="467"/>
      <c r="AF73" s="50"/>
    </row>
    <row r="74" spans="1:32" ht="26.25" customHeight="1" thickBot="1">
      <c r="A74" s="446" t="s">
        <v>218</v>
      </c>
      <c r="B74" s="446"/>
      <c r="C74" s="446"/>
      <c r="D74" s="446"/>
      <c r="E74" s="44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7" t="s">
        <v>113</v>
      </c>
      <c r="B75" s="448"/>
      <c r="C75" s="147" t="s">
        <v>2</v>
      </c>
      <c r="D75" s="147" t="s">
        <v>37</v>
      </c>
      <c r="E75" s="147" t="s">
        <v>3</v>
      </c>
      <c r="F75" s="448" t="s">
        <v>38</v>
      </c>
      <c r="G75" s="448"/>
      <c r="H75" s="448"/>
      <c r="I75" s="448"/>
      <c r="J75" s="448"/>
      <c r="K75" s="468" t="s">
        <v>58</v>
      </c>
      <c r="L75" s="469"/>
      <c r="M75" s="469"/>
      <c r="N75" s="469"/>
      <c r="O75" s="469"/>
      <c r="P75" s="469"/>
      <c r="Q75" s="469"/>
      <c r="R75" s="469"/>
      <c r="S75" s="470"/>
      <c r="T75" s="448" t="s">
        <v>49</v>
      </c>
      <c r="U75" s="448"/>
      <c r="V75" s="468" t="s">
        <v>50</v>
      </c>
      <c r="W75" s="470"/>
      <c r="X75" s="469" t="s">
        <v>51</v>
      </c>
      <c r="Y75" s="469"/>
      <c r="Z75" s="469"/>
      <c r="AA75" s="469"/>
      <c r="AB75" s="469"/>
      <c r="AC75" s="469"/>
      <c r="AD75" s="471"/>
      <c r="AF75" s="50"/>
    </row>
    <row r="76" spans="1:32" ht="33.75" customHeight="1">
      <c r="A76" s="440">
        <v>1</v>
      </c>
      <c r="B76" s="441"/>
      <c r="C76" s="149" t="s">
        <v>114</v>
      </c>
      <c r="D76" s="149"/>
      <c r="E76" s="65" t="s">
        <v>119</v>
      </c>
      <c r="F76" s="455" t="s">
        <v>118</v>
      </c>
      <c r="G76" s="456"/>
      <c r="H76" s="456"/>
      <c r="I76" s="456"/>
      <c r="J76" s="457"/>
      <c r="K76" s="458" t="s">
        <v>133</v>
      </c>
      <c r="L76" s="459"/>
      <c r="M76" s="459"/>
      <c r="N76" s="459"/>
      <c r="O76" s="459"/>
      <c r="P76" s="459"/>
      <c r="Q76" s="459"/>
      <c r="R76" s="459"/>
      <c r="S76" s="460"/>
      <c r="T76" s="461">
        <v>43675</v>
      </c>
      <c r="U76" s="462"/>
      <c r="V76" s="463"/>
      <c r="W76" s="463"/>
      <c r="X76" s="464"/>
      <c r="Y76" s="464"/>
      <c r="Z76" s="464"/>
      <c r="AA76" s="464"/>
      <c r="AB76" s="464"/>
      <c r="AC76" s="464"/>
      <c r="AD76" s="465"/>
      <c r="AF76" s="50"/>
    </row>
    <row r="77" spans="1:32" ht="30" customHeight="1">
      <c r="A77" s="433">
        <f>A76+1</f>
        <v>2</v>
      </c>
      <c r="B77" s="434"/>
      <c r="C77" s="148"/>
      <c r="D77" s="148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ref="A78:A84" si="29">A77+1</f>
        <v>3</v>
      </c>
      <c r="B78" s="434"/>
      <c r="C78" s="148"/>
      <c r="D78" s="148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9"/>
        <v>4</v>
      </c>
      <c r="B79" s="434"/>
      <c r="C79" s="148"/>
      <c r="D79" s="148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9"/>
        <v>5</v>
      </c>
      <c r="B80" s="434"/>
      <c r="C80" s="148"/>
      <c r="D80" s="148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9"/>
        <v>6</v>
      </c>
      <c r="B81" s="434"/>
      <c r="C81" s="148"/>
      <c r="D81" s="148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9"/>
        <v>7</v>
      </c>
      <c r="B82" s="434"/>
      <c r="C82" s="148"/>
      <c r="D82" s="148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9"/>
        <v>8</v>
      </c>
      <c r="B83" s="434"/>
      <c r="C83" s="148"/>
      <c r="D83" s="148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0" customHeight="1">
      <c r="A84" s="433">
        <f t="shared" si="29"/>
        <v>9</v>
      </c>
      <c r="B84" s="434"/>
      <c r="C84" s="148"/>
      <c r="D84" s="148"/>
      <c r="E84" s="32"/>
      <c r="F84" s="434"/>
      <c r="G84" s="434"/>
      <c r="H84" s="434"/>
      <c r="I84" s="434"/>
      <c r="J84" s="434"/>
      <c r="K84" s="449"/>
      <c r="L84" s="450"/>
      <c r="M84" s="450"/>
      <c r="N84" s="450"/>
      <c r="O84" s="450"/>
      <c r="P84" s="450"/>
      <c r="Q84" s="450"/>
      <c r="R84" s="450"/>
      <c r="S84" s="451"/>
      <c r="T84" s="452"/>
      <c r="U84" s="452"/>
      <c r="V84" s="452"/>
      <c r="W84" s="452"/>
      <c r="X84" s="453"/>
      <c r="Y84" s="453"/>
      <c r="Z84" s="453"/>
      <c r="AA84" s="453"/>
      <c r="AB84" s="453"/>
      <c r="AC84" s="453"/>
      <c r="AD84" s="454"/>
      <c r="AF84" s="50"/>
    </row>
    <row r="85" spans="1:32" ht="36" thickBot="1">
      <c r="A85" s="446" t="s">
        <v>219</v>
      </c>
      <c r="B85" s="446"/>
      <c r="C85" s="446"/>
      <c r="D85" s="446"/>
      <c r="E85" s="446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47" t="s">
        <v>113</v>
      </c>
      <c r="B86" s="448"/>
      <c r="C86" s="438" t="s">
        <v>52</v>
      </c>
      <c r="D86" s="438"/>
      <c r="E86" s="438" t="s">
        <v>53</v>
      </c>
      <c r="F86" s="438"/>
      <c r="G86" s="438"/>
      <c r="H86" s="438"/>
      <c r="I86" s="438"/>
      <c r="J86" s="438"/>
      <c r="K86" s="438" t="s">
        <v>54</v>
      </c>
      <c r="L86" s="438"/>
      <c r="M86" s="438"/>
      <c r="N86" s="438"/>
      <c r="O86" s="438"/>
      <c r="P86" s="438"/>
      <c r="Q86" s="438"/>
      <c r="R86" s="438"/>
      <c r="S86" s="438"/>
      <c r="T86" s="438" t="s">
        <v>55</v>
      </c>
      <c r="U86" s="438"/>
      <c r="V86" s="438" t="s">
        <v>56</v>
      </c>
      <c r="W86" s="438"/>
      <c r="X86" s="438"/>
      <c r="Y86" s="438" t="s">
        <v>51</v>
      </c>
      <c r="Z86" s="438"/>
      <c r="AA86" s="438"/>
      <c r="AB86" s="438"/>
      <c r="AC86" s="438"/>
      <c r="AD86" s="439"/>
      <c r="AF86" s="50"/>
    </row>
    <row r="87" spans="1:32" ht="30.75" customHeight="1">
      <c r="A87" s="440">
        <v>1</v>
      </c>
      <c r="B87" s="441"/>
      <c r="C87" s="442"/>
      <c r="D87" s="442"/>
      <c r="E87" s="442"/>
      <c r="F87" s="442"/>
      <c r="G87" s="442"/>
      <c r="H87" s="442"/>
      <c r="I87" s="442"/>
      <c r="J87" s="442"/>
      <c r="K87" s="442"/>
      <c r="L87" s="442"/>
      <c r="M87" s="442"/>
      <c r="N87" s="442"/>
      <c r="O87" s="442"/>
      <c r="P87" s="442"/>
      <c r="Q87" s="442"/>
      <c r="R87" s="442"/>
      <c r="S87" s="442"/>
      <c r="T87" s="442"/>
      <c r="U87" s="442"/>
      <c r="V87" s="443"/>
      <c r="W87" s="443"/>
      <c r="X87" s="443"/>
      <c r="Y87" s="444"/>
      <c r="Z87" s="444"/>
      <c r="AA87" s="444"/>
      <c r="AB87" s="444"/>
      <c r="AC87" s="444"/>
      <c r="AD87" s="445"/>
      <c r="AF87" s="50"/>
    </row>
    <row r="88" spans="1:32" ht="30.75" customHeight="1">
      <c r="A88" s="433">
        <v>2</v>
      </c>
      <c r="B88" s="434"/>
      <c r="C88" s="435"/>
      <c r="D88" s="435"/>
      <c r="E88" s="435"/>
      <c r="F88" s="435"/>
      <c r="G88" s="435"/>
      <c r="H88" s="435"/>
      <c r="I88" s="435"/>
      <c r="J88" s="435"/>
      <c r="K88" s="435"/>
      <c r="L88" s="435"/>
      <c r="M88" s="435"/>
      <c r="N88" s="435"/>
      <c r="O88" s="435"/>
      <c r="P88" s="435"/>
      <c r="Q88" s="435"/>
      <c r="R88" s="435"/>
      <c r="S88" s="435"/>
      <c r="T88" s="436"/>
      <c r="U88" s="436"/>
      <c r="V88" s="437"/>
      <c r="W88" s="437"/>
      <c r="X88" s="437"/>
      <c r="Y88" s="426"/>
      <c r="Z88" s="426"/>
      <c r="AA88" s="426"/>
      <c r="AB88" s="426"/>
      <c r="AC88" s="426"/>
      <c r="AD88" s="427"/>
      <c r="AF88" s="50"/>
    </row>
    <row r="89" spans="1:32" ht="30.75" customHeight="1" thickBot="1">
      <c r="A89" s="428">
        <v>3</v>
      </c>
      <c r="B89" s="429"/>
      <c r="C89" s="430"/>
      <c r="D89" s="430"/>
      <c r="E89" s="430"/>
      <c r="F89" s="430"/>
      <c r="G89" s="430"/>
      <c r="H89" s="430"/>
      <c r="I89" s="430"/>
      <c r="J89" s="430"/>
      <c r="K89" s="430"/>
      <c r="L89" s="430"/>
      <c r="M89" s="430"/>
      <c r="N89" s="430"/>
      <c r="O89" s="430"/>
      <c r="P89" s="430"/>
      <c r="Q89" s="430"/>
      <c r="R89" s="430"/>
      <c r="S89" s="430"/>
      <c r="T89" s="430"/>
      <c r="U89" s="430"/>
      <c r="V89" s="430"/>
      <c r="W89" s="430"/>
      <c r="X89" s="430"/>
      <c r="Y89" s="431"/>
      <c r="Z89" s="431"/>
      <c r="AA89" s="431"/>
      <c r="AB89" s="431"/>
      <c r="AC89" s="431"/>
      <c r="AD89" s="432"/>
      <c r="AF89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1620-2DB0-4B10-9FF2-F64B8CCE54D4}">
  <sheetPr codeName="Sheet4"/>
  <dimension ref="A1:AF87"/>
  <sheetViews>
    <sheetView topLeftCell="A67"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220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50" t="s">
        <v>17</v>
      </c>
      <c r="L5" s="150" t="s">
        <v>18</v>
      </c>
      <c r="M5" s="150" t="s">
        <v>19</v>
      </c>
      <c r="N5" s="15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7" si="7">AC6*AB6*(1-O6)</f>
        <v>0</v>
      </c>
      <c r="AE6" s="36">
        <f t="shared" ref="AE6:AE21" si="8">$AD$22</f>
        <v>0.54166666666666663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0.54166666666666663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159</v>
      </c>
      <c r="F8" s="30" t="s">
        <v>123</v>
      </c>
      <c r="G8" s="33">
        <v>1</v>
      </c>
      <c r="H8" s="35">
        <v>24</v>
      </c>
      <c r="I8" s="7">
        <v>38000</v>
      </c>
      <c r="J8" s="14">
        <v>6040</v>
      </c>
      <c r="K8" s="15">
        <f>L8+6174+6474+4784+6367+5785</f>
        <v>35624</v>
      </c>
      <c r="L8" s="15">
        <f>2850+3190</f>
        <v>6040</v>
      </c>
      <c r="M8" s="15">
        <f t="shared" si="1"/>
        <v>6040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0.54166666666666663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5112</v>
      </c>
      <c r="K9" s="15">
        <f>L9+1593+1896+2807+1401+3459+1160+3830+650+1584+2358+4249+584+4731+3038+1149+1391+2345+2572+1276+2512+3429+1210+3718+3141</f>
        <v>61195</v>
      </c>
      <c r="L9" s="15">
        <f>2231+2881</f>
        <v>5112</v>
      </c>
      <c r="M9" s="15">
        <f t="shared" si="1"/>
        <v>5112</v>
      </c>
      <c r="N9" s="15">
        <v>0</v>
      </c>
      <c r="O9" s="58">
        <f t="shared" si="2"/>
        <v>0</v>
      </c>
      <c r="P9" s="39">
        <f t="shared" si="3"/>
        <v>23</v>
      </c>
      <c r="Q9" s="40">
        <f t="shared" si="4"/>
        <v>1</v>
      </c>
      <c r="R9" s="7"/>
      <c r="S9" s="6">
        <v>1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0.95833333333333337</v>
      </c>
      <c r="AD9" s="10">
        <f t="shared" si="7"/>
        <v>0.95833333333333337</v>
      </c>
      <c r="AE9" s="36">
        <f t="shared" si="8"/>
        <v>0.54166666666666663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9000</v>
      </c>
      <c r="J10" s="5">
        <v>4451</v>
      </c>
      <c r="K10" s="15">
        <f>L10</f>
        <v>4451</v>
      </c>
      <c r="L10" s="15">
        <f>1296+3155</f>
        <v>4451</v>
      </c>
      <c r="M10" s="15">
        <f t="shared" si="1"/>
        <v>4451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/>
      <c r="T10" s="16">
        <v>4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 t="shared" si="8"/>
        <v>0.54166666666666663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130</v>
      </c>
      <c r="D11" s="52" t="s">
        <v>193</v>
      </c>
      <c r="E11" s="53" t="s">
        <v>194</v>
      </c>
      <c r="F11" s="30" t="s">
        <v>121</v>
      </c>
      <c r="G11" s="33">
        <v>1</v>
      </c>
      <c r="H11" s="35">
        <v>24</v>
      </c>
      <c r="I11" s="7">
        <v>1000</v>
      </c>
      <c r="J11" s="14">
        <v>1572</v>
      </c>
      <c r="K11" s="15">
        <f>L11+1572</f>
        <v>1572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14</v>
      </c>
      <c r="R11" s="7"/>
      <c r="S11" s="6"/>
      <c r="T11" s="16"/>
      <c r="U11" s="16"/>
      <c r="V11" s="17"/>
      <c r="W11" s="5">
        <v>14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ref="AD11:AD12" si="10">AC11*AB11*(1-O11)</f>
        <v>0</v>
      </c>
      <c r="AE11" s="36">
        <f t="shared" si="8"/>
        <v>0.54166666666666663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140</v>
      </c>
      <c r="F12" s="30" t="s">
        <v>121</v>
      </c>
      <c r="G12" s="33">
        <v>1</v>
      </c>
      <c r="H12" s="35">
        <v>20</v>
      </c>
      <c r="I12" s="7">
        <v>50000</v>
      </c>
      <c r="J12" s="14">
        <v>4747</v>
      </c>
      <c r="K12" s="15">
        <f>L12+2445+4101+2795+3910+4765+4211+4276</f>
        <v>31250</v>
      </c>
      <c r="L12" s="15">
        <f>2505+2242</f>
        <v>4747</v>
      </c>
      <c r="M12" s="15">
        <f t="shared" si="1"/>
        <v>4747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10"/>
        <v>1</v>
      </c>
      <c r="AE12" s="36">
        <f t="shared" si="8"/>
        <v>0.54166666666666663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161</v>
      </c>
      <c r="F13" s="30" t="s">
        <v>135</v>
      </c>
      <c r="G13" s="33">
        <v>2</v>
      </c>
      <c r="H13" s="35">
        <v>24</v>
      </c>
      <c r="I13" s="7">
        <v>15000</v>
      </c>
      <c r="J13" s="14">
        <v>6238</v>
      </c>
      <c r="K13" s="15">
        <f>L13+5104+10148+3404</f>
        <v>24894</v>
      </c>
      <c r="L13" s="15">
        <f>555*2+2564*2</f>
        <v>6238</v>
      </c>
      <c r="M13" s="15">
        <f t="shared" si="1"/>
        <v>6238</v>
      </c>
      <c r="N13" s="15">
        <v>0</v>
      </c>
      <c r="O13" s="58">
        <f t="shared" si="2"/>
        <v>0</v>
      </c>
      <c r="P13" s="39">
        <f t="shared" si="3"/>
        <v>18</v>
      </c>
      <c r="Q13" s="40">
        <f t="shared" si="4"/>
        <v>6</v>
      </c>
      <c r="R13" s="7"/>
      <c r="S13" s="6">
        <v>6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0.75</v>
      </c>
      <c r="AD13" s="10">
        <f t="shared" si="7"/>
        <v>0.75</v>
      </c>
      <c r="AE13" s="36">
        <f t="shared" si="8"/>
        <v>0.54166666666666663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145</v>
      </c>
      <c r="F14" s="30" t="s">
        <v>148</v>
      </c>
      <c r="G14" s="12">
        <v>1</v>
      </c>
      <c r="H14" s="13">
        <v>45</v>
      </c>
      <c r="I14" s="7">
        <v>1000</v>
      </c>
      <c r="J14" s="5">
        <v>336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0.54166666666666663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209</v>
      </c>
      <c r="D15" s="52"/>
      <c r="E15" s="53" t="s">
        <v>208</v>
      </c>
      <c r="F15" s="12" t="s">
        <v>221</v>
      </c>
      <c r="G15" s="12">
        <v>1</v>
      </c>
      <c r="H15" s="13">
        <v>24</v>
      </c>
      <c r="I15" s="31">
        <v>5000</v>
      </c>
      <c r="J15" s="14">
        <v>2307</v>
      </c>
      <c r="K15" s="15">
        <f>L15</f>
        <v>2307</v>
      </c>
      <c r="L15" s="15">
        <f>2307</f>
        <v>2307</v>
      </c>
      <c r="M15" s="15">
        <f t="shared" si="1"/>
        <v>2307</v>
      </c>
      <c r="N15" s="15">
        <v>0</v>
      </c>
      <c r="O15" s="58">
        <f t="shared" si="2"/>
        <v>0</v>
      </c>
      <c r="P15" s="39">
        <f t="shared" si="3"/>
        <v>14</v>
      </c>
      <c r="Q15" s="40">
        <f t="shared" si="4"/>
        <v>10</v>
      </c>
      <c r="R15" s="7"/>
      <c r="S15" s="6">
        <v>10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0.58333333333333337</v>
      </c>
      <c r="AD15" s="10">
        <f t="shared" si="7"/>
        <v>0.58333333333333337</v>
      </c>
      <c r="AE15" s="36">
        <f t="shared" si="8"/>
        <v>0.54166666666666663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125</v>
      </c>
      <c r="E16" s="53" t="s">
        <v>158</v>
      </c>
      <c r="F16" s="30" t="s">
        <v>126</v>
      </c>
      <c r="G16" s="12">
        <v>1</v>
      </c>
      <c r="H16" s="13">
        <v>28</v>
      </c>
      <c r="I16" s="7">
        <v>36000</v>
      </c>
      <c r="J16" s="14">
        <v>5354</v>
      </c>
      <c r="K16" s="15">
        <f>L16+2340+5002+5386+4999+5348+5303</f>
        <v>33732</v>
      </c>
      <c r="L16" s="15">
        <f>2801+2553</f>
        <v>5354</v>
      </c>
      <c r="M16" s="15">
        <f t="shared" si="1"/>
        <v>5354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0.54166666666666663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124</v>
      </c>
      <c r="D17" s="52" t="s">
        <v>141</v>
      </c>
      <c r="E17" s="53" t="s">
        <v>142</v>
      </c>
      <c r="F17" s="30" t="s">
        <v>137</v>
      </c>
      <c r="G17" s="33">
        <v>1</v>
      </c>
      <c r="H17" s="35">
        <v>20</v>
      </c>
      <c r="I17" s="7">
        <v>20000</v>
      </c>
      <c r="J17" s="14">
        <v>4085</v>
      </c>
      <c r="K17" s="15">
        <f>L17+5181+6332+4085</f>
        <v>15598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0.54166666666666663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130</v>
      </c>
      <c r="D18" s="52" t="s">
        <v>181</v>
      </c>
      <c r="E18" s="53" t="s">
        <v>180</v>
      </c>
      <c r="F18" s="30" t="s">
        <v>192</v>
      </c>
      <c r="G18" s="33">
        <v>1</v>
      </c>
      <c r="H18" s="35">
        <v>24</v>
      </c>
      <c r="I18" s="7">
        <v>3000</v>
      </c>
      <c r="J18" s="5">
        <v>2121</v>
      </c>
      <c r="K18" s="15">
        <f>L18+2765</f>
        <v>4886</v>
      </c>
      <c r="L18" s="15">
        <v>2121</v>
      </c>
      <c r="M18" s="15">
        <f t="shared" si="1"/>
        <v>2121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>
        <v>10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>AC18*AB18*(1-O18)</f>
        <v>0.58333333333333337</v>
      </c>
      <c r="AE18" s="36">
        <f t="shared" si="8"/>
        <v>0.54166666666666663</v>
      </c>
      <c r="AF18" s="87">
        <f t="shared" si="9"/>
        <v>13</v>
      </c>
    </row>
    <row r="19" spans="1:32" ht="27" customHeight="1">
      <c r="A19" s="103">
        <v>13</v>
      </c>
      <c r="B19" s="11" t="s">
        <v>57</v>
      </c>
      <c r="C19" s="34" t="s">
        <v>195</v>
      </c>
      <c r="D19" s="52"/>
      <c r="E19" s="53" t="s">
        <v>196</v>
      </c>
      <c r="F19" s="30" t="s">
        <v>151</v>
      </c>
      <c r="G19" s="33" t="s">
        <v>197</v>
      </c>
      <c r="H19" s="35">
        <v>24</v>
      </c>
      <c r="I19" s="7">
        <v>3000</v>
      </c>
      <c r="J19" s="5">
        <v>2109</v>
      </c>
      <c r="K19" s="15">
        <f>L19+1221</f>
        <v>3330</v>
      </c>
      <c r="L19" s="15">
        <f>2109</f>
        <v>2109</v>
      </c>
      <c r="M19" s="15">
        <f t="shared" si="1"/>
        <v>2109</v>
      </c>
      <c r="N19" s="15">
        <v>0</v>
      </c>
      <c r="O19" s="58">
        <f t="shared" si="2"/>
        <v>0</v>
      </c>
      <c r="P19" s="39">
        <f t="shared" si="3"/>
        <v>9</v>
      </c>
      <c r="Q19" s="40">
        <f t="shared" si="4"/>
        <v>15</v>
      </c>
      <c r="R19" s="7"/>
      <c r="S19" s="6"/>
      <c r="T19" s="16"/>
      <c r="U19" s="16"/>
      <c r="V19" s="17"/>
      <c r="W19" s="5">
        <v>15</v>
      </c>
      <c r="X19" s="16"/>
      <c r="Y19" s="16"/>
      <c r="Z19" s="16"/>
      <c r="AA19" s="18"/>
      <c r="AB19" s="8">
        <f t="shared" si="5"/>
        <v>1</v>
      </c>
      <c r="AC19" s="9">
        <f t="shared" si="6"/>
        <v>0.375</v>
      </c>
      <c r="AD19" s="10">
        <f>AC19*AB19*(1-O19)</f>
        <v>0.375</v>
      </c>
      <c r="AE19" s="36">
        <f t="shared" si="8"/>
        <v>0.54166666666666663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160</v>
      </c>
      <c r="F20" s="30" t="s">
        <v>151</v>
      </c>
      <c r="G20" s="33">
        <v>1</v>
      </c>
      <c r="H20" s="35">
        <v>24</v>
      </c>
      <c r="I20" s="7">
        <v>37000</v>
      </c>
      <c r="J20" s="14">
        <v>2442</v>
      </c>
      <c r="K20" s="15">
        <f>L20+4542+3108+4963+4995</f>
        <v>20050</v>
      </c>
      <c r="L20" s="15">
        <f>2442</f>
        <v>2442</v>
      </c>
      <c r="M20" s="15">
        <f t="shared" si="1"/>
        <v>2442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>
        <v>10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ref="AD20:AD21" si="11">AC20*AB20*(1-O20)</f>
        <v>0.58333333333333337</v>
      </c>
      <c r="AE20" s="36">
        <f t="shared" si="8"/>
        <v>0.54166666666666663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157</v>
      </c>
      <c r="F21" s="12" t="s">
        <v>116</v>
      </c>
      <c r="G21" s="12">
        <v>4</v>
      </c>
      <c r="H21" s="35">
        <v>20</v>
      </c>
      <c r="I21" s="7">
        <v>500000</v>
      </c>
      <c r="J21" s="14">
        <v>36856</v>
      </c>
      <c r="K21" s="15">
        <f>L21+48568+76848+49420+43344</f>
        <v>255036</v>
      </c>
      <c r="L21" s="15">
        <f>9214*4</f>
        <v>36856</v>
      </c>
      <c r="M21" s="15">
        <f t="shared" si="1"/>
        <v>36856</v>
      </c>
      <c r="N21" s="15">
        <v>0</v>
      </c>
      <c r="O21" s="58">
        <f t="shared" si="2"/>
        <v>0</v>
      </c>
      <c r="P21" s="39">
        <f t="shared" si="3"/>
        <v>11</v>
      </c>
      <c r="Q21" s="40">
        <f t="shared" si="4"/>
        <v>13</v>
      </c>
      <c r="R21" s="7"/>
      <c r="S21" s="6"/>
      <c r="T21" s="16"/>
      <c r="U21" s="16"/>
      <c r="V21" s="17">
        <v>13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0.45833333333333331</v>
      </c>
      <c r="AD21" s="10">
        <f t="shared" si="11"/>
        <v>0.45833333333333331</v>
      </c>
      <c r="AE21" s="36">
        <f t="shared" si="8"/>
        <v>0.54166666666666663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2">SUM(I6:I21)</f>
        <v>789000</v>
      </c>
      <c r="J22" s="19">
        <f t="shared" si="12"/>
        <v>85831</v>
      </c>
      <c r="K22" s="20">
        <f t="shared" si="12"/>
        <v>505473</v>
      </c>
      <c r="L22" s="21">
        <f t="shared" si="12"/>
        <v>77777</v>
      </c>
      <c r="M22" s="20">
        <f t="shared" si="12"/>
        <v>77777</v>
      </c>
      <c r="N22" s="21">
        <f t="shared" si="12"/>
        <v>0</v>
      </c>
      <c r="O22" s="41">
        <f t="shared" si="2"/>
        <v>0</v>
      </c>
      <c r="P22" s="42">
        <f t="shared" ref="P22:AA22" si="13">SUM(P6:P21)</f>
        <v>195</v>
      </c>
      <c r="Q22" s="43">
        <f t="shared" si="13"/>
        <v>179</v>
      </c>
      <c r="R22" s="23">
        <f t="shared" si="13"/>
        <v>24</v>
      </c>
      <c r="S22" s="24">
        <f t="shared" si="13"/>
        <v>61</v>
      </c>
      <c r="T22" s="24">
        <f t="shared" si="13"/>
        <v>4</v>
      </c>
      <c r="U22" s="24">
        <f t="shared" si="13"/>
        <v>0</v>
      </c>
      <c r="V22" s="25">
        <f t="shared" si="13"/>
        <v>37</v>
      </c>
      <c r="W22" s="26">
        <f t="shared" si="13"/>
        <v>53</v>
      </c>
      <c r="X22" s="27">
        <f t="shared" si="13"/>
        <v>0</v>
      </c>
      <c r="Y22" s="27">
        <f t="shared" si="13"/>
        <v>0</v>
      </c>
      <c r="Z22" s="27">
        <f t="shared" si="13"/>
        <v>0</v>
      </c>
      <c r="AA22" s="27">
        <f t="shared" si="13"/>
        <v>0</v>
      </c>
      <c r="AB22" s="28">
        <f>SUM(AB6:AB21)/15</f>
        <v>0.73333333333333328</v>
      </c>
      <c r="AC22" s="4">
        <f>SUM(AC6:AC21)/15</f>
        <v>0.54166666666666663</v>
      </c>
      <c r="AD22" s="4">
        <f>SUM(AD6:AD21)/15</f>
        <v>0.54166666666666663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222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224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151" t="s">
        <v>46</v>
      </c>
      <c r="D51" s="151" t="s">
        <v>47</v>
      </c>
      <c r="E51" s="151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151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114</v>
      </c>
      <c r="B52" s="486"/>
      <c r="C52" s="153" t="s">
        <v>128</v>
      </c>
      <c r="D52" s="153" t="s">
        <v>165</v>
      </c>
      <c r="E52" s="153" t="s">
        <v>207</v>
      </c>
      <c r="F52" s="487" t="s">
        <v>120</v>
      </c>
      <c r="G52" s="488"/>
      <c r="H52" s="488"/>
      <c r="I52" s="488"/>
      <c r="J52" s="488"/>
      <c r="K52" s="488"/>
      <c r="L52" s="488"/>
      <c r="M52" s="489"/>
      <c r="N52" s="152" t="s">
        <v>124</v>
      </c>
      <c r="O52" s="157" t="s">
        <v>134</v>
      </c>
      <c r="P52" s="499" t="s">
        <v>117</v>
      </c>
      <c r="Q52" s="500"/>
      <c r="R52" s="486" t="s">
        <v>140</v>
      </c>
      <c r="S52" s="486"/>
      <c r="T52" s="486"/>
      <c r="U52" s="486"/>
      <c r="V52" s="476" t="s">
        <v>177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130</v>
      </c>
      <c r="B53" s="486"/>
      <c r="C53" s="153" t="s">
        <v>134</v>
      </c>
      <c r="D53" s="153" t="s">
        <v>117</v>
      </c>
      <c r="E53" s="153" t="s">
        <v>161</v>
      </c>
      <c r="F53" s="487" t="s">
        <v>223</v>
      </c>
      <c r="G53" s="488"/>
      <c r="H53" s="488"/>
      <c r="I53" s="488"/>
      <c r="J53" s="488"/>
      <c r="K53" s="488"/>
      <c r="L53" s="488"/>
      <c r="M53" s="489"/>
      <c r="N53" s="152" t="s">
        <v>114</v>
      </c>
      <c r="O53" s="157" t="s">
        <v>178</v>
      </c>
      <c r="P53" s="499" t="s">
        <v>226</v>
      </c>
      <c r="Q53" s="500"/>
      <c r="R53" s="499" t="s">
        <v>225</v>
      </c>
      <c r="S53" s="501"/>
      <c r="T53" s="501"/>
      <c r="U53" s="500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209</v>
      </c>
      <c r="B54" s="486"/>
      <c r="C54" s="153" t="s">
        <v>210</v>
      </c>
      <c r="D54" s="153"/>
      <c r="E54" s="153" t="s">
        <v>208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152" t="s">
        <v>195</v>
      </c>
      <c r="O54" s="157" t="s">
        <v>143</v>
      </c>
      <c r="P54" s="499"/>
      <c r="Q54" s="500"/>
      <c r="R54" s="486" t="s">
        <v>227</v>
      </c>
      <c r="S54" s="486"/>
      <c r="T54" s="486"/>
      <c r="U54" s="486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130</v>
      </c>
      <c r="B55" s="486"/>
      <c r="C55" s="153" t="s">
        <v>143</v>
      </c>
      <c r="D55" s="153"/>
      <c r="E55" s="153" t="s">
        <v>180</v>
      </c>
      <c r="F55" s="487" t="s">
        <v>177</v>
      </c>
      <c r="G55" s="488"/>
      <c r="H55" s="488"/>
      <c r="I55" s="488"/>
      <c r="J55" s="488"/>
      <c r="K55" s="488"/>
      <c r="L55" s="488"/>
      <c r="M55" s="489"/>
      <c r="N55" s="152"/>
      <c r="O55" s="157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124</v>
      </c>
      <c r="B56" s="486"/>
      <c r="C56" s="153" t="s">
        <v>211</v>
      </c>
      <c r="D56" s="153" t="s">
        <v>117</v>
      </c>
      <c r="E56" s="153" t="s">
        <v>160</v>
      </c>
      <c r="F56" s="487" t="s">
        <v>177</v>
      </c>
      <c r="G56" s="488"/>
      <c r="H56" s="488"/>
      <c r="I56" s="488"/>
      <c r="J56" s="488"/>
      <c r="K56" s="488"/>
      <c r="L56" s="488"/>
      <c r="M56" s="489"/>
      <c r="N56" s="152"/>
      <c r="O56" s="157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153"/>
      <c r="D57" s="153"/>
      <c r="E57" s="153"/>
      <c r="F57" s="487"/>
      <c r="G57" s="488"/>
      <c r="H57" s="488"/>
      <c r="I57" s="488"/>
      <c r="J57" s="488"/>
      <c r="K57" s="488"/>
      <c r="L57" s="488"/>
      <c r="M57" s="489"/>
      <c r="N57" s="152"/>
      <c r="O57" s="157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153"/>
      <c r="D58" s="153"/>
      <c r="E58" s="153"/>
      <c r="F58" s="487"/>
      <c r="G58" s="488"/>
      <c r="H58" s="488"/>
      <c r="I58" s="488"/>
      <c r="J58" s="488"/>
      <c r="K58" s="488"/>
      <c r="L58" s="488"/>
      <c r="M58" s="489"/>
      <c r="N58" s="152"/>
      <c r="O58" s="157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153"/>
      <c r="D59" s="153"/>
      <c r="E59" s="153"/>
      <c r="F59" s="487"/>
      <c r="G59" s="488"/>
      <c r="H59" s="488"/>
      <c r="I59" s="488"/>
      <c r="J59" s="488"/>
      <c r="K59" s="488"/>
      <c r="L59" s="488"/>
      <c r="M59" s="489"/>
      <c r="N59" s="152"/>
      <c r="O59" s="157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153"/>
      <c r="D60" s="153"/>
      <c r="E60" s="153"/>
      <c r="F60" s="487"/>
      <c r="G60" s="488"/>
      <c r="H60" s="488"/>
      <c r="I60" s="488"/>
      <c r="J60" s="488"/>
      <c r="K60" s="488"/>
      <c r="L60" s="488"/>
      <c r="M60" s="489"/>
      <c r="N60" s="152"/>
      <c r="O60" s="157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154"/>
      <c r="D61" s="154"/>
      <c r="E61" s="154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228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155" t="s">
        <v>2</v>
      </c>
      <c r="D63" s="155" t="s">
        <v>37</v>
      </c>
      <c r="E63" s="155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155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 t="s">
        <v>130</v>
      </c>
      <c r="D64" s="159"/>
      <c r="E64" s="156"/>
      <c r="F64" s="474" t="s">
        <v>229</v>
      </c>
      <c r="G64" s="466"/>
      <c r="H64" s="466"/>
      <c r="I64" s="466"/>
      <c r="J64" s="466"/>
      <c r="K64" s="466" t="s">
        <v>123</v>
      </c>
      <c r="L64" s="466"/>
      <c r="M64" s="51" t="s">
        <v>216</v>
      </c>
      <c r="N64" s="477" t="s">
        <v>149</v>
      </c>
      <c r="O64" s="477"/>
      <c r="P64" s="475" t="s">
        <v>217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 t="s">
        <v>130</v>
      </c>
      <c r="D65" s="159"/>
      <c r="E65" s="156"/>
      <c r="F65" s="474" t="s">
        <v>231</v>
      </c>
      <c r="G65" s="466"/>
      <c r="H65" s="466"/>
      <c r="I65" s="466"/>
      <c r="J65" s="466"/>
      <c r="K65" s="466" t="s">
        <v>123</v>
      </c>
      <c r="L65" s="466"/>
      <c r="M65" s="51" t="s">
        <v>216</v>
      </c>
      <c r="N65" s="477" t="s">
        <v>149</v>
      </c>
      <c r="O65" s="477"/>
      <c r="P65" s="475" t="s">
        <v>230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159"/>
      <c r="E66" s="156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159"/>
      <c r="E67" s="156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159"/>
      <c r="E68" s="156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159"/>
      <c r="E69" s="156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159"/>
      <c r="E70" s="156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159"/>
      <c r="E71" s="156"/>
      <c r="F71" s="474"/>
      <c r="G71" s="466"/>
      <c r="H71" s="466"/>
      <c r="I71" s="466"/>
      <c r="J71" s="466"/>
      <c r="K71" s="466"/>
      <c r="L71" s="466"/>
      <c r="M71" s="51"/>
      <c r="N71" s="466"/>
      <c r="O71" s="466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232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158" t="s">
        <v>2</v>
      </c>
      <c r="D73" s="158" t="s">
        <v>37</v>
      </c>
      <c r="E73" s="158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160" t="s">
        <v>114</v>
      </c>
      <c r="D74" s="160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159"/>
      <c r="D75" s="159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14">A75+1</f>
        <v>3</v>
      </c>
      <c r="B76" s="434"/>
      <c r="C76" s="159"/>
      <c r="D76" s="159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4"/>
        <v>4</v>
      </c>
      <c r="B77" s="434"/>
      <c r="C77" s="159"/>
      <c r="D77" s="159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4"/>
        <v>5</v>
      </c>
      <c r="B78" s="434"/>
      <c r="C78" s="159"/>
      <c r="D78" s="159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4"/>
        <v>6</v>
      </c>
      <c r="B79" s="434"/>
      <c r="C79" s="159"/>
      <c r="D79" s="159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4"/>
        <v>7</v>
      </c>
      <c r="B80" s="434"/>
      <c r="C80" s="159"/>
      <c r="D80" s="159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4"/>
        <v>8</v>
      </c>
      <c r="B81" s="434"/>
      <c r="C81" s="159"/>
      <c r="D81" s="159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14"/>
        <v>9</v>
      </c>
      <c r="B82" s="434"/>
      <c r="C82" s="159"/>
      <c r="D82" s="159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233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B2AD-0B7E-4B38-89A7-912DA5FAB410}">
  <sheetPr codeName="Sheet5"/>
  <dimension ref="A1:AF87"/>
  <sheetViews>
    <sheetView zoomScale="72" zoomScaleNormal="72" zoomScaleSheetLayoutView="70" workbookViewId="0">
      <selection activeCell="F57" sqref="F57:M5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234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71" t="s">
        <v>17</v>
      </c>
      <c r="L5" s="171" t="s">
        <v>18</v>
      </c>
      <c r="M5" s="171" t="s">
        <v>19</v>
      </c>
      <c r="N5" s="17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8" si="7">AC6*AB6*(1-O6)</f>
        <v>0</v>
      </c>
      <c r="AE6" s="36">
        <f t="shared" ref="AE6:AE21" si="8">$AD$22</f>
        <v>0.60555555555555551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0.60555555555555551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159</v>
      </c>
      <c r="F8" s="30" t="s">
        <v>123</v>
      </c>
      <c r="G8" s="33">
        <v>1</v>
      </c>
      <c r="H8" s="35">
        <v>24</v>
      </c>
      <c r="I8" s="7">
        <v>38000</v>
      </c>
      <c r="J8" s="14">
        <v>6012</v>
      </c>
      <c r="K8" s="15">
        <f>L8+6174+6474+4784+6367+5785+6040</f>
        <v>41636</v>
      </c>
      <c r="L8" s="15">
        <f>3203+2809</f>
        <v>6012</v>
      </c>
      <c r="M8" s="15">
        <f t="shared" si="1"/>
        <v>6012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0.60555555555555551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5426</v>
      </c>
      <c r="K9" s="15">
        <f>L9+1593+1896+2807+1401+3459+1160+3830+650+1584+2358+4249+584+4731+3038+1149+1391+2345+2572+1276+2512+3429+1210+3718+3141+5112</f>
        <v>66621</v>
      </c>
      <c r="L9" s="15">
        <f>2891+2535</f>
        <v>5426</v>
      </c>
      <c r="M9" s="15">
        <f t="shared" si="1"/>
        <v>5426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0.60555555555555551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9000</v>
      </c>
      <c r="J10" s="5">
        <v>4869</v>
      </c>
      <c r="K10" s="15">
        <f>L10+4451</f>
        <v>9320</v>
      </c>
      <c r="L10" s="15">
        <f>2650+2219</f>
        <v>4869</v>
      </c>
      <c r="M10" s="15">
        <f t="shared" si="1"/>
        <v>4869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0.60555555555555551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130</v>
      </c>
      <c r="D11" s="52" t="s">
        <v>193</v>
      </c>
      <c r="E11" s="53" t="s">
        <v>194</v>
      </c>
      <c r="F11" s="30" t="s">
        <v>121</v>
      </c>
      <c r="G11" s="33">
        <v>1</v>
      </c>
      <c r="H11" s="35">
        <v>24</v>
      </c>
      <c r="I11" s="7">
        <v>1000</v>
      </c>
      <c r="J11" s="14">
        <v>1572</v>
      </c>
      <c r="K11" s="15">
        <f>L11+1572</f>
        <v>1572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/>
      <c r="T11" s="16"/>
      <c r="U11" s="16"/>
      <c r="V11" s="17"/>
      <c r="W11" s="5">
        <v>24</v>
      </c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 t="shared" ref="AD11:AD12" si="10">AC11*AB11*(1-O11)</f>
        <v>0</v>
      </c>
      <c r="AE11" s="36">
        <f t="shared" si="8"/>
        <v>0.60555555555555551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140</v>
      </c>
      <c r="F12" s="30" t="s">
        <v>121</v>
      </c>
      <c r="G12" s="33">
        <v>1</v>
      </c>
      <c r="H12" s="35">
        <v>20</v>
      </c>
      <c r="I12" s="7">
        <v>50000</v>
      </c>
      <c r="J12" s="14">
        <v>3861</v>
      </c>
      <c r="K12" s="15">
        <f>L12+2445+4101+2795+3910+4765+4211+4276+4747</f>
        <v>35111</v>
      </c>
      <c r="L12" s="15">
        <f>2516+1345</f>
        <v>3861</v>
      </c>
      <c r="M12" s="15">
        <f t="shared" si="1"/>
        <v>3861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si="10"/>
        <v>0.83333333333333337</v>
      </c>
      <c r="AE12" s="36">
        <f t="shared" si="8"/>
        <v>0.60555555555555551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161</v>
      </c>
      <c r="F13" s="30" t="s">
        <v>135</v>
      </c>
      <c r="G13" s="33">
        <v>2</v>
      </c>
      <c r="H13" s="35">
        <v>24</v>
      </c>
      <c r="I13" s="7">
        <v>15000</v>
      </c>
      <c r="J13" s="14">
        <v>1100</v>
      </c>
      <c r="K13" s="15">
        <f>L13+5104+10148+3404+6238</f>
        <v>25994</v>
      </c>
      <c r="L13" s="15">
        <f>550*2</f>
        <v>1100</v>
      </c>
      <c r="M13" s="15">
        <f t="shared" si="1"/>
        <v>1100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si="7"/>
        <v>0.16666666666666666</v>
      </c>
      <c r="AE13" s="36">
        <f t="shared" si="8"/>
        <v>0.60555555555555551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226</v>
      </c>
      <c r="E14" s="53" t="s">
        <v>225</v>
      </c>
      <c r="F14" s="30" t="s">
        <v>235</v>
      </c>
      <c r="G14" s="33">
        <v>1</v>
      </c>
      <c r="H14" s="35">
        <v>24</v>
      </c>
      <c r="I14" s="7">
        <v>2000</v>
      </c>
      <c r="J14" s="14">
        <v>4310</v>
      </c>
      <c r="K14" s="15">
        <f>L14</f>
        <v>4310</v>
      </c>
      <c r="L14" s="15">
        <v>4310</v>
      </c>
      <c r="M14" s="15">
        <f t="shared" ref="M14" si="11">L14-N14</f>
        <v>4310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18</v>
      </c>
      <c r="Q14" s="40">
        <f t="shared" ref="Q14" si="14">SUM(R14:AA14)</f>
        <v>6</v>
      </c>
      <c r="R14" s="7"/>
      <c r="S14" s="6">
        <v>6</v>
      </c>
      <c r="T14" s="16"/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0.75</v>
      </c>
      <c r="AD14" s="10">
        <f t="shared" ref="AD14" si="17">AC14*AB14*(1-O14)</f>
        <v>0.75</v>
      </c>
      <c r="AE14" s="36">
        <f t="shared" si="8"/>
        <v>0.60555555555555551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145</v>
      </c>
      <c r="F15" s="30" t="s">
        <v>148</v>
      </c>
      <c r="G15" s="12">
        <v>1</v>
      </c>
      <c r="H15" s="13">
        <v>45</v>
      </c>
      <c r="I15" s="7">
        <v>1000</v>
      </c>
      <c r="J15" s="5">
        <v>551</v>
      </c>
      <c r="K15" s="15">
        <f>L15</f>
        <v>551</v>
      </c>
      <c r="L15" s="15">
        <v>551</v>
      </c>
      <c r="M15" s="15">
        <f t="shared" si="1"/>
        <v>551</v>
      </c>
      <c r="N15" s="15">
        <v>0</v>
      </c>
      <c r="O15" s="58">
        <f t="shared" si="2"/>
        <v>0</v>
      </c>
      <c r="P15" s="39">
        <f t="shared" si="3"/>
        <v>8</v>
      </c>
      <c r="Q15" s="40">
        <f t="shared" si="4"/>
        <v>16</v>
      </c>
      <c r="R15" s="7"/>
      <c r="S15" s="6">
        <v>3</v>
      </c>
      <c r="T15" s="16"/>
      <c r="U15" s="16"/>
      <c r="V15" s="17">
        <v>13</v>
      </c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0.33333333333333331</v>
      </c>
      <c r="AD15" s="10">
        <f t="shared" si="7"/>
        <v>0.33333333333333331</v>
      </c>
      <c r="AE15" s="36">
        <f t="shared" si="8"/>
        <v>0.60555555555555551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209</v>
      </c>
      <c r="D16" s="52"/>
      <c r="E16" s="53" t="s">
        <v>208</v>
      </c>
      <c r="F16" s="12" t="s">
        <v>221</v>
      </c>
      <c r="G16" s="12">
        <v>1</v>
      </c>
      <c r="H16" s="13">
        <v>24</v>
      </c>
      <c r="I16" s="31">
        <v>5000</v>
      </c>
      <c r="J16" s="14">
        <v>5346</v>
      </c>
      <c r="K16" s="15">
        <f>L16+2307</f>
        <v>7653</v>
      </c>
      <c r="L16" s="15">
        <f>2843+2503</f>
        <v>5346</v>
      </c>
      <c r="M16" s="15">
        <f t="shared" si="1"/>
        <v>5346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0.60555555555555551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124</v>
      </c>
      <c r="D17" s="52" t="s">
        <v>125</v>
      </c>
      <c r="E17" s="53" t="s">
        <v>158</v>
      </c>
      <c r="F17" s="30" t="s">
        <v>126</v>
      </c>
      <c r="G17" s="12">
        <v>1</v>
      </c>
      <c r="H17" s="13">
        <v>28</v>
      </c>
      <c r="I17" s="7">
        <v>36000</v>
      </c>
      <c r="J17" s="14">
        <v>4812</v>
      </c>
      <c r="K17" s="15">
        <f>L17+2340+5002+5386+4999+5348+5303+5354</f>
        <v>38544</v>
      </c>
      <c r="L17" s="15">
        <f>2459+2353</f>
        <v>4812</v>
      </c>
      <c r="M17" s="15">
        <f t="shared" si="1"/>
        <v>4812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0.60555555555555551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124</v>
      </c>
      <c r="D18" s="52" t="s">
        <v>141</v>
      </c>
      <c r="E18" s="53" t="s">
        <v>142</v>
      </c>
      <c r="F18" s="30" t="s">
        <v>137</v>
      </c>
      <c r="G18" s="33">
        <v>1</v>
      </c>
      <c r="H18" s="35">
        <v>20</v>
      </c>
      <c r="I18" s="7">
        <v>20000</v>
      </c>
      <c r="J18" s="14">
        <v>4085</v>
      </c>
      <c r="K18" s="15">
        <f>L18+5181+6332+4085</f>
        <v>15598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0.60555555555555551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195</v>
      </c>
      <c r="D19" s="52"/>
      <c r="E19" s="53" t="s">
        <v>227</v>
      </c>
      <c r="F19" s="30" t="s">
        <v>151</v>
      </c>
      <c r="G19" s="33" t="s">
        <v>197</v>
      </c>
      <c r="H19" s="35">
        <v>24</v>
      </c>
      <c r="I19" s="7">
        <v>3000</v>
      </c>
      <c r="J19" s="5">
        <v>3254</v>
      </c>
      <c r="K19" s="15">
        <f>L19</f>
        <v>3254</v>
      </c>
      <c r="L19" s="15">
        <f>2697+557</f>
        <v>3254</v>
      </c>
      <c r="M19" s="15">
        <f t="shared" si="1"/>
        <v>3254</v>
      </c>
      <c r="N19" s="15">
        <v>0</v>
      </c>
      <c r="O19" s="58">
        <f t="shared" si="2"/>
        <v>0</v>
      </c>
      <c r="P19" s="39">
        <f t="shared" si="3"/>
        <v>14</v>
      </c>
      <c r="Q19" s="40">
        <f t="shared" si="4"/>
        <v>10</v>
      </c>
      <c r="R19" s="7"/>
      <c r="S19" s="6">
        <v>10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0.58333333333333337</v>
      </c>
      <c r="AD19" s="10">
        <f>AC19*AB19*(1-O19)</f>
        <v>0.58333333333333337</v>
      </c>
      <c r="AE19" s="36">
        <f t="shared" si="8"/>
        <v>0.60555555555555551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160</v>
      </c>
      <c r="F20" s="30" t="s">
        <v>151</v>
      </c>
      <c r="G20" s="33">
        <v>1</v>
      </c>
      <c r="H20" s="35">
        <v>24</v>
      </c>
      <c r="I20" s="7">
        <v>37000</v>
      </c>
      <c r="J20" s="14">
        <v>4770</v>
      </c>
      <c r="K20" s="15">
        <f>L20+4542+3108+4963+4995+2442</f>
        <v>24820</v>
      </c>
      <c r="L20" s="15">
        <f>2220+2550</f>
        <v>4770</v>
      </c>
      <c r="M20" s="15">
        <f t="shared" si="1"/>
        <v>4770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:AD21" si="19">AC20*AB20*(1-O20)</f>
        <v>1</v>
      </c>
      <c r="AE20" s="36">
        <f t="shared" si="8"/>
        <v>0.60555555555555551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157</v>
      </c>
      <c r="F21" s="12" t="s">
        <v>116</v>
      </c>
      <c r="G21" s="12">
        <v>4</v>
      </c>
      <c r="H21" s="35">
        <v>20</v>
      </c>
      <c r="I21" s="7">
        <v>500000</v>
      </c>
      <c r="J21" s="14">
        <v>41160</v>
      </c>
      <c r="K21" s="15">
        <f>L21+48568+76848+49420+43344+36856</f>
        <v>296196</v>
      </c>
      <c r="L21" s="15">
        <f>10290*4</f>
        <v>41160</v>
      </c>
      <c r="M21" s="15">
        <f t="shared" si="1"/>
        <v>41160</v>
      </c>
      <c r="N21" s="15">
        <v>0</v>
      </c>
      <c r="O21" s="58">
        <f t="shared" si="2"/>
        <v>0</v>
      </c>
      <c r="P21" s="39">
        <f t="shared" si="3"/>
        <v>12</v>
      </c>
      <c r="Q21" s="40">
        <f t="shared" si="4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</v>
      </c>
      <c r="AD21" s="10">
        <f t="shared" si="19"/>
        <v>0.5</v>
      </c>
      <c r="AE21" s="36">
        <f t="shared" si="8"/>
        <v>0.60555555555555551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20">SUM(I6:I21)</f>
        <v>788000</v>
      </c>
      <c r="J22" s="19">
        <f t="shared" si="20"/>
        <v>93189</v>
      </c>
      <c r="K22" s="20">
        <f t="shared" si="20"/>
        <v>582728</v>
      </c>
      <c r="L22" s="21">
        <f t="shared" si="20"/>
        <v>85471</v>
      </c>
      <c r="M22" s="20">
        <f t="shared" si="20"/>
        <v>85471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218</v>
      </c>
      <c r="Q22" s="43">
        <f t="shared" si="21"/>
        <v>166</v>
      </c>
      <c r="R22" s="23">
        <f t="shared" si="21"/>
        <v>24</v>
      </c>
      <c r="S22" s="24">
        <f t="shared" si="21"/>
        <v>45</v>
      </c>
      <c r="T22" s="24">
        <f t="shared" si="21"/>
        <v>0</v>
      </c>
      <c r="U22" s="24">
        <f t="shared" si="21"/>
        <v>0</v>
      </c>
      <c r="V22" s="25">
        <f t="shared" si="21"/>
        <v>49</v>
      </c>
      <c r="W22" s="26">
        <f t="shared" si="21"/>
        <v>48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0</v>
      </c>
      <c r="AB22" s="28">
        <f>SUM(AB6:AB21)/15</f>
        <v>0.8</v>
      </c>
      <c r="AC22" s="4">
        <f>SUM(AC6:AC21)/15</f>
        <v>0.60555555555555551</v>
      </c>
      <c r="AD22" s="4">
        <f>SUM(AD6:AD21)/15</f>
        <v>0.60555555555555551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236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239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170" t="s">
        <v>46</v>
      </c>
      <c r="D51" s="170" t="s">
        <v>47</v>
      </c>
      <c r="E51" s="170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170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114</v>
      </c>
      <c r="B52" s="486"/>
      <c r="C52" s="168" t="s">
        <v>128</v>
      </c>
      <c r="D52" s="168" t="s">
        <v>165</v>
      </c>
      <c r="E52" s="168" t="s">
        <v>207</v>
      </c>
      <c r="F52" s="487" t="s">
        <v>177</v>
      </c>
      <c r="G52" s="488"/>
      <c r="H52" s="488"/>
      <c r="I52" s="488"/>
      <c r="J52" s="488"/>
      <c r="K52" s="488"/>
      <c r="L52" s="488"/>
      <c r="M52" s="489"/>
      <c r="N52" s="167" t="s">
        <v>114</v>
      </c>
      <c r="O52" s="165" t="s">
        <v>149</v>
      </c>
      <c r="P52" s="499" t="s">
        <v>117</v>
      </c>
      <c r="Q52" s="500"/>
      <c r="R52" s="486" t="s">
        <v>240</v>
      </c>
      <c r="S52" s="486"/>
      <c r="T52" s="486"/>
      <c r="U52" s="486"/>
      <c r="V52" s="476" t="s">
        <v>120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168" t="s">
        <v>178</v>
      </c>
      <c r="D53" s="168" t="s">
        <v>226</v>
      </c>
      <c r="E53" s="168" t="s">
        <v>225</v>
      </c>
      <c r="F53" s="487" t="s">
        <v>237</v>
      </c>
      <c r="G53" s="488"/>
      <c r="H53" s="488"/>
      <c r="I53" s="488"/>
      <c r="J53" s="488"/>
      <c r="K53" s="488"/>
      <c r="L53" s="488"/>
      <c r="M53" s="489"/>
      <c r="N53" s="167"/>
      <c r="O53" s="165"/>
      <c r="P53" s="499"/>
      <c r="Q53" s="500"/>
      <c r="R53" s="499"/>
      <c r="S53" s="501"/>
      <c r="T53" s="501"/>
      <c r="U53" s="500"/>
      <c r="V53" s="476"/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238</v>
      </c>
      <c r="B54" s="486"/>
      <c r="C54" s="168" t="s">
        <v>143</v>
      </c>
      <c r="D54" s="168"/>
      <c r="E54" s="168" t="s">
        <v>227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167"/>
      <c r="O54" s="165"/>
      <c r="P54" s="499"/>
      <c r="Q54" s="500"/>
      <c r="R54" s="486"/>
      <c r="S54" s="486"/>
      <c r="T54" s="486"/>
      <c r="U54" s="486"/>
      <c r="V54" s="476"/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168" t="s">
        <v>134</v>
      </c>
      <c r="D55" s="168" t="s">
        <v>117</v>
      </c>
      <c r="E55" s="168" t="s">
        <v>140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167"/>
      <c r="O55" s="165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/>
      <c r="B56" s="486"/>
      <c r="C56" s="168"/>
      <c r="D56" s="168"/>
      <c r="E56" s="168"/>
      <c r="F56" s="487"/>
      <c r="G56" s="488"/>
      <c r="H56" s="488"/>
      <c r="I56" s="488"/>
      <c r="J56" s="488"/>
      <c r="K56" s="488"/>
      <c r="L56" s="488"/>
      <c r="M56" s="489"/>
      <c r="N56" s="167"/>
      <c r="O56" s="165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168"/>
      <c r="D57" s="168"/>
      <c r="E57" s="168"/>
      <c r="F57" s="487"/>
      <c r="G57" s="488"/>
      <c r="H57" s="488"/>
      <c r="I57" s="488"/>
      <c r="J57" s="488"/>
      <c r="K57" s="488"/>
      <c r="L57" s="488"/>
      <c r="M57" s="489"/>
      <c r="N57" s="167"/>
      <c r="O57" s="165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168"/>
      <c r="D58" s="168"/>
      <c r="E58" s="168"/>
      <c r="F58" s="487"/>
      <c r="G58" s="488"/>
      <c r="H58" s="488"/>
      <c r="I58" s="488"/>
      <c r="J58" s="488"/>
      <c r="K58" s="488"/>
      <c r="L58" s="488"/>
      <c r="M58" s="489"/>
      <c r="N58" s="167"/>
      <c r="O58" s="16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168"/>
      <c r="D59" s="168"/>
      <c r="E59" s="168"/>
      <c r="F59" s="487"/>
      <c r="G59" s="488"/>
      <c r="H59" s="488"/>
      <c r="I59" s="488"/>
      <c r="J59" s="488"/>
      <c r="K59" s="488"/>
      <c r="L59" s="488"/>
      <c r="M59" s="489"/>
      <c r="N59" s="167"/>
      <c r="O59" s="165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168"/>
      <c r="D60" s="168"/>
      <c r="E60" s="168"/>
      <c r="F60" s="487"/>
      <c r="G60" s="488"/>
      <c r="H60" s="488"/>
      <c r="I60" s="488"/>
      <c r="J60" s="488"/>
      <c r="K60" s="488"/>
      <c r="L60" s="488"/>
      <c r="M60" s="489"/>
      <c r="N60" s="167"/>
      <c r="O60" s="165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169"/>
      <c r="D61" s="169"/>
      <c r="E61" s="169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241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166" t="s">
        <v>2</v>
      </c>
      <c r="D63" s="166" t="s">
        <v>37</v>
      </c>
      <c r="E63" s="166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166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/>
      <c r="D64" s="161"/>
      <c r="E64" s="164"/>
      <c r="F64" s="474"/>
      <c r="G64" s="466"/>
      <c r="H64" s="466"/>
      <c r="I64" s="466"/>
      <c r="J64" s="466"/>
      <c r="K64" s="466"/>
      <c r="L64" s="466"/>
      <c r="M64" s="51"/>
      <c r="N64" s="477"/>
      <c r="O64" s="477"/>
      <c r="P64" s="475"/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/>
      <c r="D65" s="161"/>
      <c r="E65" s="164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161"/>
      <c r="E66" s="164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161"/>
      <c r="E67" s="164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161"/>
      <c r="E68" s="164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161"/>
      <c r="E69" s="164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161"/>
      <c r="E70" s="164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161"/>
      <c r="E71" s="164"/>
      <c r="F71" s="474"/>
      <c r="G71" s="466"/>
      <c r="H71" s="466"/>
      <c r="I71" s="466"/>
      <c r="J71" s="466"/>
      <c r="K71" s="466"/>
      <c r="L71" s="466"/>
      <c r="M71" s="51"/>
      <c r="N71" s="466"/>
      <c r="O71" s="466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242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163" t="s">
        <v>2</v>
      </c>
      <c r="D73" s="163" t="s">
        <v>37</v>
      </c>
      <c r="E73" s="163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162" t="s">
        <v>114</v>
      </c>
      <c r="D74" s="162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161"/>
      <c r="D75" s="161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2">A75+1</f>
        <v>3</v>
      </c>
      <c r="B76" s="434"/>
      <c r="C76" s="161"/>
      <c r="D76" s="161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2"/>
        <v>4</v>
      </c>
      <c r="B77" s="434"/>
      <c r="C77" s="161"/>
      <c r="D77" s="161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2"/>
        <v>5</v>
      </c>
      <c r="B78" s="434"/>
      <c r="C78" s="161"/>
      <c r="D78" s="161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2"/>
        <v>6</v>
      </c>
      <c r="B79" s="434"/>
      <c r="C79" s="161"/>
      <c r="D79" s="161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2"/>
        <v>7</v>
      </c>
      <c r="B80" s="434"/>
      <c r="C80" s="161"/>
      <c r="D80" s="161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2"/>
        <v>8</v>
      </c>
      <c r="B81" s="434"/>
      <c r="C81" s="161"/>
      <c r="D81" s="161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2"/>
        <v>9</v>
      </c>
      <c r="B82" s="434"/>
      <c r="C82" s="161"/>
      <c r="D82" s="161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243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06C4-9357-4952-AF6A-04B0CBA98792}">
  <sheetPr codeName="Sheet6"/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244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72" t="s">
        <v>17</v>
      </c>
      <c r="L5" s="172" t="s">
        <v>18</v>
      </c>
      <c r="M5" s="172" t="s">
        <v>19</v>
      </c>
      <c r="N5" s="1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17" si="7">AC6*AB6*(1-O6)</f>
        <v>0</v>
      </c>
      <c r="AE6" s="36">
        <f t="shared" ref="AE6:AE20" si="8">$AD$21</f>
        <v>0.53055555555555556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0.53055555555555556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159</v>
      </c>
      <c r="F8" s="30" t="s">
        <v>123</v>
      </c>
      <c r="G8" s="33">
        <v>1</v>
      </c>
      <c r="H8" s="35">
        <v>24</v>
      </c>
      <c r="I8" s="7">
        <v>38000</v>
      </c>
      <c r="J8" s="14">
        <v>6327</v>
      </c>
      <c r="K8" s="15">
        <f>L8+6174+6474+4784+6367+5785+6040+6012</f>
        <v>47963</v>
      </c>
      <c r="L8" s="15">
        <f>3483+2844</f>
        <v>6327</v>
      </c>
      <c r="M8" s="15">
        <f t="shared" si="1"/>
        <v>6327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0.53055555555555556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4833</v>
      </c>
      <c r="K9" s="15">
        <f>L9+1593+1896+2807+1401+3459+1160+3830+650+1584+2358+4249+584+4731+3038+1149+1391+2345+2572+1276+2512+3429+1210+3718+3141+5112+5426</f>
        <v>71454</v>
      </c>
      <c r="L9" s="15">
        <f>3014+1819</f>
        <v>4833</v>
      </c>
      <c r="M9" s="15">
        <f t="shared" si="1"/>
        <v>4833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0.53055555555555556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9000</v>
      </c>
      <c r="J10" s="5">
        <v>5808</v>
      </c>
      <c r="K10" s="15">
        <f>L10+4451+4869</f>
        <v>15128</v>
      </c>
      <c r="L10" s="15">
        <f>3113+2695</f>
        <v>5808</v>
      </c>
      <c r="M10" s="15">
        <f t="shared" si="1"/>
        <v>5808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0.53055555555555556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117</v>
      </c>
      <c r="E11" s="53" t="s">
        <v>118</v>
      </c>
      <c r="F11" s="30" t="s">
        <v>121</v>
      </c>
      <c r="G11" s="33">
        <v>1</v>
      </c>
      <c r="H11" s="35">
        <v>24</v>
      </c>
      <c r="I11" s="7">
        <v>48000</v>
      </c>
      <c r="J11" s="14">
        <v>4623</v>
      </c>
      <c r="K11" s="15">
        <f>L11</f>
        <v>4623</v>
      </c>
      <c r="L11" s="15">
        <f>1605+3018</f>
        <v>4623</v>
      </c>
      <c r="M11" s="15">
        <f t="shared" si="1"/>
        <v>4623</v>
      </c>
      <c r="N11" s="15">
        <v>0</v>
      </c>
      <c r="O11" s="58">
        <f t="shared" si="2"/>
        <v>0</v>
      </c>
      <c r="P11" s="39">
        <f t="shared" si="3"/>
        <v>21</v>
      </c>
      <c r="Q11" s="40">
        <f t="shared" si="4"/>
        <v>3</v>
      </c>
      <c r="R11" s="7"/>
      <c r="S11" s="6">
        <v>2</v>
      </c>
      <c r="T11" s="16">
        <v>1</v>
      </c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0.875</v>
      </c>
      <c r="AD11" s="10">
        <f t="shared" ref="AD11:AD12" si="10">AC11*AB11*(1-O11)</f>
        <v>0.875</v>
      </c>
      <c r="AE11" s="36">
        <f t="shared" si="8"/>
        <v>0.53055555555555556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140</v>
      </c>
      <c r="F12" s="30" t="s">
        <v>121</v>
      </c>
      <c r="G12" s="33">
        <v>1</v>
      </c>
      <c r="H12" s="35">
        <v>20</v>
      </c>
      <c r="I12" s="7">
        <v>50000</v>
      </c>
      <c r="J12" s="14">
        <v>4874</v>
      </c>
      <c r="K12" s="15">
        <f>L12+2445+4101+2795+3910+4765+4211+4276+4747+3861</f>
        <v>39985</v>
      </c>
      <c r="L12" s="15">
        <f>2635+2239</f>
        <v>4874</v>
      </c>
      <c r="M12" s="15">
        <f t="shared" si="1"/>
        <v>4874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10"/>
        <v>1</v>
      </c>
      <c r="AE12" s="36">
        <f t="shared" si="8"/>
        <v>0.53055555555555556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161</v>
      </c>
      <c r="F13" s="30" t="s">
        <v>135</v>
      </c>
      <c r="G13" s="33">
        <v>2</v>
      </c>
      <c r="H13" s="35">
        <v>24</v>
      </c>
      <c r="I13" s="7">
        <v>15000</v>
      </c>
      <c r="J13" s="14">
        <v>1100</v>
      </c>
      <c r="K13" s="15">
        <f>L13+5104+10148+3404+6238+1100</f>
        <v>25994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0.53055555555555556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145</v>
      </c>
      <c r="F14" s="30" t="s">
        <v>148</v>
      </c>
      <c r="G14" s="12">
        <v>1</v>
      </c>
      <c r="H14" s="13">
        <v>45</v>
      </c>
      <c r="I14" s="7">
        <v>1000</v>
      </c>
      <c r="J14" s="5">
        <v>341</v>
      </c>
      <c r="K14" s="15">
        <f>L14+551</f>
        <v>892</v>
      </c>
      <c r="L14" s="15">
        <v>341</v>
      </c>
      <c r="M14" s="15">
        <f t="shared" si="1"/>
        <v>341</v>
      </c>
      <c r="N14" s="15">
        <v>0</v>
      </c>
      <c r="O14" s="58">
        <f t="shared" si="2"/>
        <v>0</v>
      </c>
      <c r="P14" s="39">
        <f t="shared" si="3"/>
        <v>6</v>
      </c>
      <c r="Q14" s="40">
        <f t="shared" si="4"/>
        <v>18</v>
      </c>
      <c r="R14" s="7"/>
      <c r="S14" s="6"/>
      <c r="T14" s="16"/>
      <c r="U14" s="16"/>
      <c r="V14" s="17"/>
      <c r="W14" s="5">
        <v>18</v>
      </c>
      <c r="X14" s="16"/>
      <c r="Y14" s="16"/>
      <c r="Z14" s="16"/>
      <c r="AA14" s="18"/>
      <c r="AB14" s="8">
        <f t="shared" si="5"/>
        <v>1</v>
      </c>
      <c r="AC14" s="9">
        <f t="shared" si="6"/>
        <v>0.25</v>
      </c>
      <c r="AD14" s="10">
        <f t="shared" si="7"/>
        <v>0.25</v>
      </c>
      <c r="AE14" s="36">
        <f t="shared" si="8"/>
        <v>0.53055555555555556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209</v>
      </c>
      <c r="D15" s="52"/>
      <c r="E15" s="53" t="s">
        <v>208</v>
      </c>
      <c r="F15" s="12" t="s">
        <v>221</v>
      </c>
      <c r="G15" s="12">
        <v>1</v>
      </c>
      <c r="H15" s="13">
        <v>24</v>
      </c>
      <c r="I15" s="31">
        <v>5000</v>
      </c>
      <c r="J15" s="14">
        <v>1794</v>
      </c>
      <c r="K15" s="15">
        <f>L15+2307+5346</f>
        <v>9447</v>
      </c>
      <c r="L15" s="15">
        <v>1794</v>
      </c>
      <c r="M15" s="15">
        <f t="shared" si="1"/>
        <v>1794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/>
      <c r="T15" s="16"/>
      <c r="U15" s="16"/>
      <c r="V15" s="17"/>
      <c r="W15" s="5">
        <v>14</v>
      </c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8"/>
        <v>0.53055555555555556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125</v>
      </c>
      <c r="E16" s="53" t="s">
        <v>158</v>
      </c>
      <c r="F16" s="30" t="s">
        <v>126</v>
      </c>
      <c r="G16" s="12">
        <v>1</v>
      </c>
      <c r="H16" s="13">
        <v>28</v>
      </c>
      <c r="I16" s="7">
        <v>36000</v>
      </c>
      <c r="J16" s="14">
        <v>5533</v>
      </c>
      <c r="K16" s="15">
        <f>L16+2340+5002+5386+4999+5348+5303+5354+4812</f>
        <v>44077</v>
      </c>
      <c r="L16" s="15">
        <f>2495+3038</f>
        <v>5533</v>
      </c>
      <c r="M16" s="15">
        <f t="shared" si="1"/>
        <v>5533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0.53055555555555556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124</v>
      </c>
      <c r="D17" s="52" t="s">
        <v>141</v>
      </c>
      <c r="E17" s="53" t="s">
        <v>142</v>
      </c>
      <c r="F17" s="30" t="s">
        <v>137</v>
      </c>
      <c r="G17" s="33">
        <v>1</v>
      </c>
      <c r="H17" s="35">
        <v>20</v>
      </c>
      <c r="I17" s="7">
        <v>20000</v>
      </c>
      <c r="J17" s="14">
        <v>4085</v>
      </c>
      <c r="K17" s="15">
        <f>L17+5181+6332+4085</f>
        <v>15598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0.53055555555555556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34" t="s">
        <v>195</v>
      </c>
      <c r="D18" s="52"/>
      <c r="E18" s="53" t="s">
        <v>227</v>
      </c>
      <c r="F18" s="30" t="s">
        <v>151</v>
      </c>
      <c r="G18" s="33" t="s">
        <v>197</v>
      </c>
      <c r="H18" s="35">
        <v>24</v>
      </c>
      <c r="I18" s="7">
        <v>3000</v>
      </c>
      <c r="J18" s="5">
        <v>3254</v>
      </c>
      <c r="K18" s="15">
        <f>L18+3254</f>
        <v>3254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>AC18*AB18*(1-O18)</f>
        <v>0</v>
      </c>
      <c r="AE18" s="36">
        <f t="shared" si="8"/>
        <v>0.53055555555555556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160</v>
      </c>
      <c r="F19" s="30" t="s">
        <v>151</v>
      </c>
      <c r="G19" s="33">
        <v>1</v>
      </c>
      <c r="H19" s="35">
        <v>24</v>
      </c>
      <c r="I19" s="7">
        <v>37000</v>
      </c>
      <c r="J19" s="14">
        <v>5020</v>
      </c>
      <c r="K19" s="15">
        <f>L19+4542+3108+4963+4995+2442+4770</f>
        <v>29840</v>
      </c>
      <c r="L19" s="15">
        <f>2730+2290</f>
        <v>5020</v>
      </c>
      <c r="M19" s="15">
        <f t="shared" si="1"/>
        <v>5020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ref="AD19:AD20" si="11">AC19*AB19*(1-O19)</f>
        <v>1</v>
      </c>
      <c r="AE19" s="36">
        <f t="shared" si="8"/>
        <v>0.53055555555555556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157</v>
      </c>
      <c r="F20" s="12" t="s">
        <v>116</v>
      </c>
      <c r="G20" s="12">
        <v>4</v>
      </c>
      <c r="H20" s="35">
        <v>20</v>
      </c>
      <c r="I20" s="7">
        <v>500000</v>
      </c>
      <c r="J20" s="14">
        <v>42868</v>
      </c>
      <c r="K20" s="15">
        <f>L20+48568+76848+49420+43344+36856+41160</f>
        <v>339064</v>
      </c>
      <c r="L20" s="15">
        <f>10717*4</f>
        <v>42868</v>
      </c>
      <c r="M20" s="15">
        <f t="shared" si="1"/>
        <v>42868</v>
      </c>
      <c r="N20" s="15">
        <v>0</v>
      </c>
      <c r="O20" s="58">
        <f t="shared" si="2"/>
        <v>0</v>
      </c>
      <c r="P20" s="39">
        <f t="shared" si="3"/>
        <v>12</v>
      </c>
      <c r="Q20" s="40">
        <f t="shared" si="4"/>
        <v>12</v>
      </c>
      <c r="R20" s="7"/>
      <c r="S20" s="6"/>
      <c r="T20" s="16"/>
      <c r="U20" s="16"/>
      <c r="V20" s="17">
        <v>12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</v>
      </c>
      <c r="AD20" s="10">
        <f t="shared" si="11"/>
        <v>0.5</v>
      </c>
      <c r="AE20" s="36">
        <f t="shared" si="8"/>
        <v>0.53055555555555556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2">SUM(I6:I20)</f>
        <v>833000</v>
      </c>
      <c r="J21" s="19">
        <f t="shared" si="12"/>
        <v>92521</v>
      </c>
      <c r="K21" s="20">
        <f t="shared" si="12"/>
        <v>658867</v>
      </c>
      <c r="L21" s="21">
        <f t="shared" si="12"/>
        <v>82021</v>
      </c>
      <c r="M21" s="20">
        <f t="shared" si="12"/>
        <v>82021</v>
      </c>
      <c r="N21" s="21">
        <f t="shared" si="12"/>
        <v>0</v>
      </c>
      <c r="O21" s="41">
        <f t="shared" si="2"/>
        <v>0</v>
      </c>
      <c r="P21" s="42">
        <f t="shared" ref="P21:AA21" si="13">SUM(P6:P20)</f>
        <v>191</v>
      </c>
      <c r="Q21" s="43">
        <f t="shared" si="13"/>
        <v>169</v>
      </c>
      <c r="R21" s="23">
        <f t="shared" si="13"/>
        <v>24</v>
      </c>
      <c r="S21" s="24">
        <f t="shared" si="13"/>
        <v>28</v>
      </c>
      <c r="T21" s="24">
        <f t="shared" si="13"/>
        <v>1</v>
      </c>
      <c r="U21" s="24">
        <f t="shared" si="13"/>
        <v>0</v>
      </c>
      <c r="V21" s="25">
        <f t="shared" si="13"/>
        <v>36</v>
      </c>
      <c r="W21" s="26">
        <f t="shared" si="13"/>
        <v>80</v>
      </c>
      <c r="X21" s="27">
        <f t="shared" si="13"/>
        <v>0</v>
      </c>
      <c r="Y21" s="27">
        <f t="shared" si="13"/>
        <v>0</v>
      </c>
      <c r="Z21" s="27">
        <f t="shared" si="13"/>
        <v>0</v>
      </c>
      <c r="AA21" s="27">
        <f t="shared" si="13"/>
        <v>0</v>
      </c>
      <c r="AB21" s="28">
        <f>SUM(AB6:AB20)/15</f>
        <v>0.66666666666666663</v>
      </c>
      <c r="AC21" s="4">
        <f>SUM(AC6:AC20)/15</f>
        <v>0.53055555555555556</v>
      </c>
      <c r="AD21" s="4">
        <f>SUM(AD6:AD20)/15</f>
        <v>0.53055555555555556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245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247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173" t="s">
        <v>46</v>
      </c>
      <c r="D50" s="173" t="s">
        <v>47</v>
      </c>
      <c r="E50" s="173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173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114</v>
      </c>
      <c r="B51" s="486"/>
      <c r="C51" s="175" t="s">
        <v>149</v>
      </c>
      <c r="D51" s="175" t="s">
        <v>117</v>
      </c>
      <c r="E51" s="175" t="s">
        <v>118</v>
      </c>
      <c r="F51" s="487" t="s">
        <v>246</v>
      </c>
      <c r="G51" s="488"/>
      <c r="H51" s="488"/>
      <c r="I51" s="488"/>
      <c r="J51" s="488"/>
      <c r="K51" s="488"/>
      <c r="L51" s="488"/>
      <c r="M51" s="489"/>
      <c r="N51" s="174" t="s">
        <v>124</v>
      </c>
      <c r="O51" s="179" t="s">
        <v>128</v>
      </c>
      <c r="P51" s="499" t="s">
        <v>248</v>
      </c>
      <c r="Q51" s="500"/>
      <c r="R51" s="486" t="s">
        <v>249</v>
      </c>
      <c r="S51" s="486"/>
      <c r="T51" s="486"/>
      <c r="U51" s="486"/>
      <c r="V51" s="476" t="s">
        <v>120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124</v>
      </c>
      <c r="B52" s="486"/>
      <c r="C52" s="175" t="s">
        <v>144</v>
      </c>
      <c r="D52" s="175" t="s">
        <v>136</v>
      </c>
      <c r="E52" s="175" t="s">
        <v>146</v>
      </c>
      <c r="F52" s="487" t="s">
        <v>200</v>
      </c>
      <c r="G52" s="488"/>
      <c r="H52" s="488"/>
      <c r="I52" s="488"/>
      <c r="J52" s="488"/>
      <c r="K52" s="488"/>
      <c r="L52" s="488"/>
      <c r="M52" s="489"/>
      <c r="N52" s="174"/>
      <c r="O52" s="179"/>
      <c r="P52" s="499"/>
      <c r="Q52" s="500"/>
      <c r="R52" s="499"/>
      <c r="S52" s="501"/>
      <c r="T52" s="501"/>
      <c r="U52" s="500"/>
      <c r="V52" s="476"/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/>
      <c r="B53" s="486"/>
      <c r="C53" s="175"/>
      <c r="D53" s="175"/>
      <c r="E53" s="175"/>
      <c r="F53" s="487"/>
      <c r="G53" s="488"/>
      <c r="H53" s="488"/>
      <c r="I53" s="488"/>
      <c r="J53" s="488"/>
      <c r="K53" s="488"/>
      <c r="L53" s="488"/>
      <c r="M53" s="489"/>
      <c r="N53" s="174"/>
      <c r="O53" s="179"/>
      <c r="P53" s="499"/>
      <c r="Q53" s="500"/>
      <c r="R53" s="486"/>
      <c r="S53" s="486"/>
      <c r="T53" s="486"/>
      <c r="U53" s="486"/>
      <c r="V53" s="476"/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/>
      <c r="B54" s="486"/>
      <c r="C54" s="175"/>
      <c r="D54" s="175"/>
      <c r="E54" s="175"/>
      <c r="F54" s="487"/>
      <c r="G54" s="488"/>
      <c r="H54" s="488"/>
      <c r="I54" s="488"/>
      <c r="J54" s="488"/>
      <c r="K54" s="488"/>
      <c r="L54" s="488"/>
      <c r="M54" s="489"/>
      <c r="N54" s="174"/>
      <c r="O54" s="179"/>
      <c r="P54" s="499"/>
      <c r="Q54" s="500"/>
      <c r="R54" s="499"/>
      <c r="S54" s="501"/>
      <c r="T54" s="501"/>
      <c r="U54" s="500"/>
      <c r="V54" s="476"/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/>
      <c r="B55" s="486"/>
      <c r="C55" s="175"/>
      <c r="D55" s="175"/>
      <c r="E55" s="175"/>
      <c r="F55" s="487"/>
      <c r="G55" s="488"/>
      <c r="H55" s="488"/>
      <c r="I55" s="488"/>
      <c r="J55" s="488"/>
      <c r="K55" s="488"/>
      <c r="L55" s="488"/>
      <c r="M55" s="489"/>
      <c r="N55" s="174"/>
      <c r="O55" s="179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/>
      <c r="B56" s="486"/>
      <c r="C56" s="175"/>
      <c r="D56" s="175"/>
      <c r="E56" s="175"/>
      <c r="F56" s="487"/>
      <c r="G56" s="488"/>
      <c r="H56" s="488"/>
      <c r="I56" s="488"/>
      <c r="J56" s="488"/>
      <c r="K56" s="488"/>
      <c r="L56" s="488"/>
      <c r="M56" s="489"/>
      <c r="N56" s="174"/>
      <c r="O56" s="179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175"/>
      <c r="D57" s="175"/>
      <c r="E57" s="175"/>
      <c r="F57" s="487"/>
      <c r="G57" s="488"/>
      <c r="H57" s="488"/>
      <c r="I57" s="488"/>
      <c r="J57" s="488"/>
      <c r="K57" s="488"/>
      <c r="L57" s="488"/>
      <c r="M57" s="489"/>
      <c r="N57" s="174"/>
      <c r="O57" s="179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175"/>
      <c r="D58" s="175"/>
      <c r="E58" s="175"/>
      <c r="F58" s="487"/>
      <c r="G58" s="488"/>
      <c r="H58" s="488"/>
      <c r="I58" s="488"/>
      <c r="J58" s="488"/>
      <c r="K58" s="488"/>
      <c r="L58" s="488"/>
      <c r="M58" s="489"/>
      <c r="N58" s="174"/>
      <c r="O58" s="179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175"/>
      <c r="D59" s="175"/>
      <c r="E59" s="175"/>
      <c r="F59" s="487"/>
      <c r="G59" s="488"/>
      <c r="H59" s="488"/>
      <c r="I59" s="488"/>
      <c r="J59" s="488"/>
      <c r="K59" s="488"/>
      <c r="L59" s="488"/>
      <c r="M59" s="489"/>
      <c r="N59" s="174"/>
      <c r="O59" s="179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176"/>
      <c r="D60" s="176"/>
      <c r="E60" s="176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250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177" t="s">
        <v>2</v>
      </c>
      <c r="D62" s="177" t="s">
        <v>37</v>
      </c>
      <c r="E62" s="177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177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/>
      <c r="D63" s="181"/>
      <c r="E63" s="178"/>
      <c r="F63" s="474"/>
      <c r="G63" s="466"/>
      <c r="H63" s="466"/>
      <c r="I63" s="466"/>
      <c r="J63" s="466"/>
      <c r="K63" s="466"/>
      <c r="L63" s="466"/>
      <c r="M63" s="51"/>
      <c r="N63" s="477"/>
      <c r="O63" s="477"/>
      <c r="P63" s="475"/>
      <c r="Q63" s="475"/>
      <c r="R63" s="476"/>
      <c r="S63" s="476"/>
      <c r="T63" s="476"/>
      <c r="U63" s="476"/>
      <c r="V63" s="476"/>
      <c r="W63" s="476"/>
      <c r="X63" s="476"/>
      <c r="Y63" s="476"/>
      <c r="Z63" s="476"/>
      <c r="AA63" s="476"/>
      <c r="AB63" s="466"/>
      <c r="AC63" s="466"/>
      <c r="AD63" s="467"/>
      <c r="AF63" s="50"/>
    </row>
    <row r="64" spans="1:32" ht="25.5" customHeight="1">
      <c r="A64" s="472">
        <v>2</v>
      </c>
      <c r="B64" s="473"/>
      <c r="C64" s="117"/>
      <c r="D64" s="181"/>
      <c r="E64" s="178"/>
      <c r="F64" s="474"/>
      <c r="G64" s="466"/>
      <c r="H64" s="466"/>
      <c r="I64" s="466"/>
      <c r="J64" s="466"/>
      <c r="K64" s="466"/>
      <c r="L64" s="466"/>
      <c r="M64" s="51"/>
      <c r="N64" s="477"/>
      <c r="O64" s="477"/>
      <c r="P64" s="475"/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/>
      <c r="D65" s="181"/>
      <c r="E65" s="178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/>
      <c r="D66" s="181"/>
      <c r="E66" s="178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181"/>
      <c r="E67" s="178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181"/>
      <c r="E68" s="178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181"/>
      <c r="E69" s="178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181"/>
      <c r="E70" s="178"/>
      <c r="F70" s="474"/>
      <c r="G70" s="466"/>
      <c r="H70" s="466"/>
      <c r="I70" s="466"/>
      <c r="J70" s="466"/>
      <c r="K70" s="466"/>
      <c r="L70" s="466"/>
      <c r="M70" s="51"/>
      <c r="N70" s="466"/>
      <c r="O70" s="466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251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180" t="s">
        <v>2</v>
      </c>
      <c r="D72" s="180" t="s">
        <v>37</v>
      </c>
      <c r="E72" s="180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182" t="s">
        <v>114</v>
      </c>
      <c r="D73" s="182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181"/>
      <c r="D74" s="181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4">A74+1</f>
        <v>3</v>
      </c>
      <c r="B75" s="434"/>
      <c r="C75" s="181"/>
      <c r="D75" s="181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4"/>
        <v>4</v>
      </c>
      <c r="B76" s="434"/>
      <c r="C76" s="181"/>
      <c r="D76" s="181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4"/>
        <v>5</v>
      </c>
      <c r="B77" s="434"/>
      <c r="C77" s="181"/>
      <c r="D77" s="181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4"/>
        <v>6</v>
      </c>
      <c r="B78" s="434"/>
      <c r="C78" s="181"/>
      <c r="D78" s="181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4"/>
        <v>7</v>
      </c>
      <c r="B79" s="434"/>
      <c r="C79" s="181"/>
      <c r="D79" s="181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4"/>
        <v>8</v>
      </c>
      <c r="B80" s="434"/>
      <c r="C80" s="181"/>
      <c r="D80" s="181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4"/>
        <v>9</v>
      </c>
      <c r="B81" s="434"/>
      <c r="C81" s="181"/>
      <c r="D81" s="181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252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A43C-7661-487C-9E2C-0AD26B0A1BA7}">
  <sheetPr codeName="Sheet7"/>
  <dimension ref="A1:AF87"/>
  <sheetViews>
    <sheetView zoomScale="72" zoomScaleNormal="72" zoomScaleSheetLayoutView="70" workbookViewId="0">
      <selection activeCell="V11" sqref="V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283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93" t="s">
        <v>17</v>
      </c>
      <c r="L5" s="193" t="s">
        <v>18</v>
      </c>
      <c r="M5" s="193" t="s">
        <v>19</v>
      </c>
      <c r="N5" s="19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18" si="7">AC6*AB6*(1-O6)</f>
        <v>0</v>
      </c>
      <c r="AE6" s="36">
        <f t="shared" ref="AE6:AE21" si="8">$AD$22</f>
        <v>0.46666666666666673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0.46666666666666673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5138</v>
      </c>
      <c r="K8" s="15">
        <f>L8</f>
        <v>5138</v>
      </c>
      <c r="L8" s="15">
        <f>2021+3117</f>
        <v>5138</v>
      </c>
      <c r="M8" s="15">
        <f t="shared" si="1"/>
        <v>5138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0.46666666666666673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1883</v>
      </c>
      <c r="K9" s="15">
        <f>L9+1593+1896+2807+1401+3459+1160+3830+650+1584+2358+4249+584+4731+3038+1149+1391+2345+2572+1276+2512+3429+1210+3718+3141+5112+5426+4833</f>
        <v>73337</v>
      </c>
      <c r="L9" s="15">
        <f>1883</f>
        <v>1883</v>
      </c>
      <c r="M9" s="15">
        <f t="shared" si="1"/>
        <v>1883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0.46666666666666673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248</v>
      </c>
      <c r="E10" s="53" t="s">
        <v>249</v>
      </c>
      <c r="F10" s="30" t="s">
        <v>192</v>
      </c>
      <c r="G10" s="33">
        <v>32</v>
      </c>
      <c r="H10" s="35">
        <v>24</v>
      </c>
      <c r="I10" s="7">
        <v>200000</v>
      </c>
      <c r="J10" s="5">
        <v>96850</v>
      </c>
      <c r="K10" s="15">
        <f>L10</f>
        <v>96850</v>
      </c>
      <c r="L10" s="15">
        <f>3874*25</f>
        <v>96850</v>
      </c>
      <c r="M10" s="15">
        <f t="shared" si="1"/>
        <v>96850</v>
      </c>
      <c r="N10" s="15">
        <v>0</v>
      </c>
      <c r="O10" s="58">
        <f t="shared" si="2"/>
        <v>0</v>
      </c>
      <c r="P10" s="39">
        <f t="shared" si="3"/>
        <v>16</v>
      </c>
      <c r="Q10" s="40">
        <f t="shared" si="4"/>
        <v>8</v>
      </c>
      <c r="R10" s="7"/>
      <c r="S10" s="6"/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0.66666666666666663</v>
      </c>
      <c r="AD10" s="10">
        <f>AC10*AB10*(1-O10)</f>
        <v>0.66666666666666663</v>
      </c>
      <c r="AE10" s="36">
        <f t="shared" si="8"/>
        <v>0.46666666666666673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117</v>
      </c>
      <c r="E11" s="53" t="s">
        <v>118</v>
      </c>
      <c r="F11" s="30" t="s">
        <v>121</v>
      </c>
      <c r="G11" s="33">
        <v>1</v>
      </c>
      <c r="H11" s="35">
        <v>24</v>
      </c>
      <c r="I11" s="7">
        <v>48000</v>
      </c>
      <c r="J11" s="14">
        <v>4705</v>
      </c>
      <c r="K11" s="15">
        <f>L11+4623</f>
        <v>9328</v>
      </c>
      <c r="L11" s="15">
        <f>2479+2226</f>
        <v>4705</v>
      </c>
      <c r="M11" s="15">
        <f t="shared" si="1"/>
        <v>4705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ref="AD11:AD12" si="10">AC11*AB11*(1-O11)</f>
        <v>1</v>
      </c>
      <c r="AE11" s="36">
        <f t="shared" si="8"/>
        <v>0.46666666666666673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140</v>
      </c>
      <c r="F12" s="30" t="s">
        <v>121</v>
      </c>
      <c r="G12" s="33">
        <v>1</v>
      </c>
      <c r="H12" s="35">
        <v>20</v>
      </c>
      <c r="I12" s="7">
        <v>50000</v>
      </c>
      <c r="J12" s="14">
        <v>4513</v>
      </c>
      <c r="K12" s="15">
        <f>L12+2445+4101+2795+3910+4765+4211+4276+4747+3861+4874</f>
        <v>44498</v>
      </c>
      <c r="L12" s="15">
        <f>2432+2081</f>
        <v>4513</v>
      </c>
      <c r="M12" s="15">
        <f t="shared" si="1"/>
        <v>4513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10"/>
        <v>1</v>
      </c>
      <c r="AE12" s="36">
        <f t="shared" si="8"/>
        <v>0.46666666666666673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254</v>
      </c>
      <c r="D13" s="52"/>
      <c r="E13" s="53" t="s">
        <v>255</v>
      </c>
      <c r="F13" s="30" t="s">
        <v>151</v>
      </c>
      <c r="G13" s="33">
        <v>3</v>
      </c>
      <c r="H13" s="35">
        <v>24</v>
      </c>
      <c r="I13" s="7">
        <v>6000</v>
      </c>
      <c r="J13" s="14">
        <v>6960</v>
      </c>
      <c r="K13" s="15">
        <f>L13</f>
        <v>6960</v>
      </c>
      <c r="L13" s="15">
        <f>2320*3</f>
        <v>6960</v>
      </c>
      <c r="M13" s="15">
        <f t="shared" si="1"/>
        <v>6960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10</v>
      </c>
      <c r="AB13" s="8">
        <f t="shared" si="5"/>
        <v>1</v>
      </c>
      <c r="AC13" s="9">
        <f t="shared" si="6"/>
        <v>0.58333333333333337</v>
      </c>
      <c r="AD13" s="10">
        <f t="shared" si="7"/>
        <v>0.58333333333333337</v>
      </c>
      <c r="AE13" s="36">
        <f t="shared" si="8"/>
        <v>0.46666666666666673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145</v>
      </c>
      <c r="F14" s="30" t="s">
        <v>148</v>
      </c>
      <c r="G14" s="12">
        <v>1</v>
      </c>
      <c r="H14" s="13">
        <v>45</v>
      </c>
      <c r="I14" s="7">
        <v>1000</v>
      </c>
      <c r="J14" s="5">
        <v>341</v>
      </c>
      <c r="K14" s="15">
        <f>L14+551+341</f>
        <v>892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0.46666666666666673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209</v>
      </c>
      <c r="D15" s="52"/>
      <c r="E15" s="53" t="s">
        <v>208</v>
      </c>
      <c r="F15" s="12" t="s">
        <v>221</v>
      </c>
      <c r="G15" s="12">
        <v>1</v>
      </c>
      <c r="H15" s="13">
        <v>24</v>
      </c>
      <c r="I15" s="31">
        <v>5000</v>
      </c>
      <c r="J15" s="14">
        <v>1794</v>
      </c>
      <c r="K15" s="15">
        <f>L15+2307+5346+1794</f>
        <v>9447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0.46666666666666673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125</v>
      </c>
      <c r="E16" s="53" t="s">
        <v>158</v>
      </c>
      <c r="F16" s="30" t="s">
        <v>126</v>
      </c>
      <c r="G16" s="12">
        <v>1</v>
      </c>
      <c r="H16" s="13">
        <v>28</v>
      </c>
      <c r="I16" s="7">
        <v>36000</v>
      </c>
      <c r="J16" s="14">
        <v>3757</v>
      </c>
      <c r="K16" s="15">
        <f>L16+2340+5002+5386+4999+5348+5303+5354+4812+5533</f>
        <v>47834</v>
      </c>
      <c r="L16" s="15">
        <f>1548+2209</f>
        <v>3757</v>
      </c>
      <c r="M16" s="15">
        <f t="shared" si="1"/>
        <v>3757</v>
      </c>
      <c r="N16" s="15">
        <v>0</v>
      </c>
      <c r="O16" s="58">
        <f t="shared" si="2"/>
        <v>0</v>
      </c>
      <c r="P16" s="39">
        <f t="shared" si="3"/>
        <v>18</v>
      </c>
      <c r="Q16" s="40">
        <f t="shared" si="4"/>
        <v>6</v>
      </c>
      <c r="R16" s="7"/>
      <c r="S16" s="6"/>
      <c r="T16" s="16"/>
      <c r="U16" s="16"/>
      <c r="V16" s="17"/>
      <c r="W16" s="5">
        <v>6</v>
      </c>
      <c r="X16" s="16"/>
      <c r="Y16" s="16"/>
      <c r="Z16" s="16"/>
      <c r="AA16" s="18"/>
      <c r="AB16" s="8">
        <f t="shared" si="5"/>
        <v>1</v>
      </c>
      <c r="AC16" s="9">
        <f t="shared" si="6"/>
        <v>0.75</v>
      </c>
      <c r="AD16" s="10">
        <f t="shared" si="7"/>
        <v>0.75</v>
      </c>
      <c r="AE16" s="36">
        <f t="shared" si="8"/>
        <v>0.46666666666666673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256</v>
      </c>
      <c r="F17" s="30" t="s">
        <v>126</v>
      </c>
      <c r="G17" s="12">
        <v>1</v>
      </c>
      <c r="H17" s="13">
        <v>28</v>
      </c>
      <c r="I17" s="7">
        <v>2500</v>
      </c>
      <c r="J17" s="14">
        <v>742</v>
      </c>
      <c r="K17" s="15">
        <f>L17</f>
        <v>742</v>
      </c>
      <c r="L17" s="15">
        <v>742</v>
      </c>
      <c r="M17" s="15">
        <f t="shared" ref="M17" si="11">L17-N17</f>
        <v>742</v>
      </c>
      <c r="N17" s="15">
        <v>0</v>
      </c>
      <c r="O17" s="58">
        <f t="shared" ref="O17" si="12">IF(L17=0,"0",N17/L17)</f>
        <v>0</v>
      </c>
      <c r="P17" s="39">
        <f t="shared" ref="P17" si="13">IF(L17=0,"0",(24-Q17))</f>
        <v>4</v>
      </c>
      <c r="Q17" s="40">
        <f t="shared" ref="Q17" si="14">SUM(R17:AA17)</f>
        <v>20</v>
      </c>
      <c r="R17" s="7"/>
      <c r="S17" s="6"/>
      <c r="T17" s="16">
        <v>20</v>
      </c>
      <c r="U17" s="16"/>
      <c r="V17" s="17"/>
      <c r="W17" s="5"/>
      <c r="X17" s="16"/>
      <c r="Y17" s="16"/>
      <c r="Z17" s="16"/>
      <c r="AA17" s="18"/>
      <c r="AB17" s="8">
        <f t="shared" ref="AB17" si="15">IF(J17=0,"0",(L17/J17))</f>
        <v>1</v>
      </c>
      <c r="AC17" s="9">
        <f t="shared" ref="AC17" si="16">IF(P17=0,"0",(P17/24))</f>
        <v>0.16666666666666666</v>
      </c>
      <c r="AD17" s="10">
        <f t="shared" ref="AD17" si="17">AC17*AB17*(1-O17)</f>
        <v>0.16666666666666666</v>
      </c>
      <c r="AE17" s="36">
        <f t="shared" si="8"/>
        <v>0.46666666666666673</v>
      </c>
      <c r="AF17" s="87">
        <f t="shared" ref="AF17" si="18">A17</f>
        <v>11</v>
      </c>
    </row>
    <row r="18" spans="1:32" ht="27" customHeight="1">
      <c r="A18" s="102">
        <v>12</v>
      </c>
      <c r="B18" s="11" t="s">
        <v>57</v>
      </c>
      <c r="C18" s="11" t="s">
        <v>114</v>
      </c>
      <c r="D18" s="52" t="s">
        <v>257</v>
      </c>
      <c r="E18" s="53" t="s">
        <v>258</v>
      </c>
      <c r="F18" s="30" t="s">
        <v>259</v>
      </c>
      <c r="G18" s="33">
        <v>1</v>
      </c>
      <c r="H18" s="35">
        <v>20</v>
      </c>
      <c r="I18" s="7">
        <v>4000</v>
      </c>
      <c r="J18" s="14">
        <v>3216</v>
      </c>
      <c r="K18" s="15">
        <f>L18</f>
        <v>3216</v>
      </c>
      <c r="L18" s="15">
        <f>1608*2</f>
        <v>3216</v>
      </c>
      <c r="M18" s="15">
        <f t="shared" si="1"/>
        <v>3216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>
        <v>14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 t="shared" si="7"/>
        <v>0.41666666666666669</v>
      </c>
      <c r="AE18" s="36">
        <f t="shared" si="8"/>
        <v>0.46666666666666673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34" t="s">
        <v>195</v>
      </c>
      <c r="D19" s="52"/>
      <c r="E19" s="53" t="s">
        <v>227</v>
      </c>
      <c r="F19" s="30" t="s">
        <v>151</v>
      </c>
      <c r="G19" s="33" t="s">
        <v>197</v>
      </c>
      <c r="H19" s="35">
        <v>24</v>
      </c>
      <c r="I19" s="7">
        <v>3000</v>
      </c>
      <c r="J19" s="5">
        <v>3254</v>
      </c>
      <c r="K19" s="15">
        <f>L19+3254</f>
        <v>3254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>AC19*AB19*(1-O19)</f>
        <v>0</v>
      </c>
      <c r="AE19" s="36">
        <f t="shared" si="8"/>
        <v>0.46666666666666673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160</v>
      </c>
      <c r="F20" s="30" t="s">
        <v>151</v>
      </c>
      <c r="G20" s="33">
        <v>1</v>
      </c>
      <c r="H20" s="35">
        <v>24</v>
      </c>
      <c r="I20" s="7">
        <v>37000</v>
      </c>
      <c r="J20" s="14">
        <v>4651</v>
      </c>
      <c r="K20" s="15">
        <f>L20+4542+3108+4963+4995+2442+4770+5020</f>
        <v>34491</v>
      </c>
      <c r="L20" s="15">
        <f>2486+2165</f>
        <v>4651</v>
      </c>
      <c r="M20" s="15">
        <f t="shared" si="1"/>
        <v>4651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ref="AD20:AD21" si="19">AC20*AB20*(1-O20)</f>
        <v>1</v>
      </c>
      <c r="AE20" s="36">
        <f t="shared" si="8"/>
        <v>0.46666666666666673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260</v>
      </c>
      <c r="F21" s="12" t="s">
        <v>116</v>
      </c>
      <c r="G21" s="12">
        <v>3</v>
      </c>
      <c r="H21" s="35">
        <v>20</v>
      </c>
      <c r="I21" s="7">
        <v>500000</v>
      </c>
      <c r="J21" s="14">
        <v>42868</v>
      </c>
      <c r="K21" s="15">
        <f>L21</f>
        <v>0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24</v>
      </c>
      <c r="R21" s="7"/>
      <c r="S21" s="6">
        <v>24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19"/>
        <v>0</v>
      </c>
      <c r="AE21" s="36">
        <f t="shared" si="8"/>
        <v>0.46666666666666673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20">SUM(I6:I21)</f>
        <v>981500</v>
      </c>
      <c r="J22" s="19">
        <f t="shared" si="20"/>
        <v>182733</v>
      </c>
      <c r="K22" s="20">
        <f t="shared" si="20"/>
        <v>347535</v>
      </c>
      <c r="L22" s="21">
        <f t="shared" si="20"/>
        <v>132415</v>
      </c>
      <c r="M22" s="20">
        <f t="shared" si="20"/>
        <v>132415</v>
      </c>
      <c r="N22" s="21">
        <f t="shared" si="20"/>
        <v>0</v>
      </c>
      <c r="O22" s="41">
        <f t="shared" si="2"/>
        <v>0</v>
      </c>
      <c r="P22" s="42">
        <f t="shared" ref="P22:AA22" si="21">SUM(P6:P21)</f>
        <v>168</v>
      </c>
      <c r="Q22" s="43">
        <f t="shared" si="21"/>
        <v>216</v>
      </c>
      <c r="R22" s="23">
        <f t="shared" si="21"/>
        <v>24</v>
      </c>
      <c r="S22" s="24">
        <f t="shared" si="21"/>
        <v>62</v>
      </c>
      <c r="T22" s="24">
        <f t="shared" si="21"/>
        <v>42</v>
      </c>
      <c r="U22" s="24">
        <f t="shared" si="21"/>
        <v>0</v>
      </c>
      <c r="V22" s="25">
        <f t="shared" si="21"/>
        <v>24</v>
      </c>
      <c r="W22" s="26">
        <f t="shared" si="21"/>
        <v>30</v>
      </c>
      <c r="X22" s="27">
        <f t="shared" si="21"/>
        <v>0</v>
      </c>
      <c r="Y22" s="27">
        <f t="shared" si="21"/>
        <v>0</v>
      </c>
      <c r="Z22" s="27">
        <f t="shared" si="21"/>
        <v>0</v>
      </c>
      <c r="AA22" s="27">
        <f t="shared" si="21"/>
        <v>34</v>
      </c>
      <c r="AB22" s="28">
        <f>SUM(AB6:AB21)/15</f>
        <v>0.66666666666666663</v>
      </c>
      <c r="AC22" s="4">
        <f>SUM(AC6:AC21)/15</f>
        <v>0.46666666666666673</v>
      </c>
      <c r="AD22" s="4">
        <f>SUM(AD6:AD21)/15</f>
        <v>0.46666666666666673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261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266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192" t="s">
        <v>46</v>
      </c>
      <c r="D51" s="192" t="s">
        <v>47</v>
      </c>
      <c r="E51" s="192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192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124</v>
      </c>
      <c r="B52" s="486"/>
      <c r="C52" s="190" t="s">
        <v>262</v>
      </c>
      <c r="D52" s="190" t="s">
        <v>122</v>
      </c>
      <c r="E52" s="190" t="s">
        <v>253</v>
      </c>
      <c r="F52" s="487" t="s">
        <v>120</v>
      </c>
      <c r="G52" s="488"/>
      <c r="H52" s="488"/>
      <c r="I52" s="488"/>
      <c r="J52" s="488"/>
      <c r="K52" s="488"/>
      <c r="L52" s="488"/>
      <c r="M52" s="489"/>
      <c r="N52" s="189" t="s">
        <v>124</v>
      </c>
      <c r="O52" s="187" t="s">
        <v>144</v>
      </c>
      <c r="P52" s="499" t="s">
        <v>136</v>
      </c>
      <c r="Q52" s="500"/>
      <c r="R52" s="486" t="s">
        <v>146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124</v>
      </c>
      <c r="B53" s="486"/>
      <c r="C53" s="190" t="s">
        <v>144</v>
      </c>
      <c r="D53" s="190" t="s">
        <v>136</v>
      </c>
      <c r="E53" s="190" t="s">
        <v>146</v>
      </c>
      <c r="F53" s="487" t="s">
        <v>263</v>
      </c>
      <c r="G53" s="488"/>
      <c r="H53" s="488"/>
      <c r="I53" s="488"/>
      <c r="J53" s="488"/>
      <c r="K53" s="488"/>
      <c r="L53" s="488"/>
      <c r="M53" s="489"/>
      <c r="N53" s="189" t="s">
        <v>254</v>
      </c>
      <c r="O53" s="187" t="s">
        <v>264</v>
      </c>
      <c r="P53" s="499"/>
      <c r="Q53" s="500"/>
      <c r="R53" s="499" t="s">
        <v>267</v>
      </c>
      <c r="S53" s="501"/>
      <c r="T53" s="501"/>
      <c r="U53" s="500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254</v>
      </c>
      <c r="B54" s="486"/>
      <c r="C54" s="190" t="s">
        <v>178</v>
      </c>
      <c r="D54" s="190"/>
      <c r="E54" s="190" t="s">
        <v>255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189" t="s">
        <v>114</v>
      </c>
      <c r="O54" s="187" t="s">
        <v>132</v>
      </c>
      <c r="P54" s="499" t="s">
        <v>268</v>
      </c>
      <c r="Q54" s="500"/>
      <c r="R54" s="486" t="s">
        <v>269</v>
      </c>
      <c r="S54" s="486"/>
      <c r="T54" s="486"/>
      <c r="U54" s="486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190" t="s">
        <v>264</v>
      </c>
      <c r="D55" s="190" t="s">
        <v>125</v>
      </c>
      <c r="E55" s="190" t="s">
        <v>256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189"/>
      <c r="O55" s="187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190" t="s">
        <v>132</v>
      </c>
      <c r="D56" s="190" t="s">
        <v>265</v>
      </c>
      <c r="E56" s="190" t="s">
        <v>258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189"/>
      <c r="O56" s="187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124</v>
      </c>
      <c r="B57" s="486"/>
      <c r="C57" s="190" t="s">
        <v>128</v>
      </c>
      <c r="D57" s="190" t="s">
        <v>248</v>
      </c>
      <c r="E57" s="190" t="s">
        <v>249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189"/>
      <c r="O57" s="187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190"/>
      <c r="D58" s="190"/>
      <c r="E58" s="190"/>
      <c r="F58" s="487"/>
      <c r="G58" s="488"/>
      <c r="H58" s="488"/>
      <c r="I58" s="488"/>
      <c r="J58" s="488"/>
      <c r="K58" s="488"/>
      <c r="L58" s="488"/>
      <c r="M58" s="489"/>
      <c r="N58" s="189"/>
      <c r="O58" s="187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190"/>
      <c r="D59" s="190"/>
      <c r="E59" s="190"/>
      <c r="F59" s="487"/>
      <c r="G59" s="488"/>
      <c r="H59" s="488"/>
      <c r="I59" s="488"/>
      <c r="J59" s="488"/>
      <c r="K59" s="488"/>
      <c r="L59" s="488"/>
      <c r="M59" s="489"/>
      <c r="N59" s="189"/>
      <c r="O59" s="187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190"/>
      <c r="D60" s="190"/>
      <c r="E60" s="190"/>
      <c r="F60" s="487"/>
      <c r="G60" s="488"/>
      <c r="H60" s="488"/>
      <c r="I60" s="488"/>
      <c r="J60" s="488"/>
      <c r="K60" s="488"/>
      <c r="L60" s="488"/>
      <c r="M60" s="489"/>
      <c r="N60" s="189"/>
      <c r="O60" s="187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191"/>
      <c r="D61" s="191"/>
      <c r="E61" s="191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270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188" t="s">
        <v>2</v>
      </c>
      <c r="D63" s="188" t="s">
        <v>37</v>
      </c>
      <c r="E63" s="188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188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 t="s">
        <v>124</v>
      </c>
      <c r="D64" s="183"/>
      <c r="E64" s="186" t="s">
        <v>141</v>
      </c>
      <c r="F64" s="474" t="s">
        <v>271</v>
      </c>
      <c r="G64" s="466"/>
      <c r="H64" s="466"/>
      <c r="I64" s="466"/>
      <c r="J64" s="466"/>
      <c r="K64" s="466" t="s">
        <v>137</v>
      </c>
      <c r="L64" s="466"/>
      <c r="M64" s="51" t="s">
        <v>214</v>
      </c>
      <c r="N64" s="477" t="s">
        <v>132</v>
      </c>
      <c r="O64" s="477"/>
      <c r="P64" s="475">
        <v>50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 t="s">
        <v>124</v>
      </c>
      <c r="D65" s="183"/>
      <c r="E65" s="186" t="s">
        <v>272</v>
      </c>
      <c r="F65" s="474" t="s">
        <v>273</v>
      </c>
      <c r="G65" s="466"/>
      <c r="H65" s="466"/>
      <c r="I65" s="466"/>
      <c r="J65" s="466"/>
      <c r="K65" s="466" t="s">
        <v>274</v>
      </c>
      <c r="L65" s="466"/>
      <c r="M65" s="51" t="s">
        <v>214</v>
      </c>
      <c r="N65" s="477" t="s">
        <v>178</v>
      </c>
      <c r="O65" s="477"/>
      <c r="P65" s="475">
        <v>100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 t="s">
        <v>124</v>
      </c>
      <c r="D66" s="183"/>
      <c r="E66" s="186" t="s">
        <v>275</v>
      </c>
      <c r="F66" s="474" t="s">
        <v>276</v>
      </c>
      <c r="G66" s="466"/>
      <c r="H66" s="466"/>
      <c r="I66" s="466"/>
      <c r="J66" s="466"/>
      <c r="K66" s="466" t="s">
        <v>274</v>
      </c>
      <c r="L66" s="466"/>
      <c r="M66" s="51" t="s">
        <v>214</v>
      </c>
      <c r="N66" s="477" t="s">
        <v>143</v>
      </c>
      <c r="O66" s="477"/>
      <c r="P66" s="475"/>
      <c r="Q66" s="475"/>
      <c r="R66" s="476" t="s">
        <v>277</v>
      </c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 t="s">
        <v>124</v>
      </c>
      <c r="D67" s="183"/>
      <c r="E67" s="186" t="s">
        <v>257</v>
      </c>
      <c r="F67" s="474" t="s">
        <v>278</v>
      </c>
      <c r="G67" s="466"/>
      <c r="H67" s="466"/>
      <c r="I67" s="466"/>
      <c r="J67" s="466"/>
      <c r="K67" s="466" t="s">
        <v>274</v>
      </c>
      <c r="L67" s="466"/>
      <c r="M67" s="51" t="s">
        <v>214</v>
      </c>
      <c r="N67" s="477" t="s">
        <v>178</v>
      </c>
      <c r="O67" s="477"/>
      <c r="P67" s="475">
        <v>100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 t="s">
        <v>114</v>
      </c>
      <c r="D68" s="183"/>
      <c r="E68" s="186" t="s">
        <v>268</v>
      </c>
      <c r="F68" s="474" t="s">
        <v>279</v>
      </c>
      <c r="G68" s="466"/>
      <c r="H68" s="466"/>
      <c r="I68" s="466"/>
      <c r="J68" s="466"/>
      <c r="K68" s="466">
        <v>8301</v>
      </c>
      <c r="L68" s="466"/>
      <c r="M68" s="51" t="s">
        <v>280</v>
      </c>
      <c r="N68" s="477" t="s">
        <v>132</v>
      </c>
      <c r="O68" s="477"/>
      <c r="P68" s="475">
        <v>100</v>
      </c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183"/>
      <c r="E69" s="186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183"/>
      <c r="E70" s="186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183"/>
      <c r="E71" s="186"/>
      <c r="F71" s="474"/>
      <c r="G71" s="466"/>
      <c r="H71" s="466"/>
      <c r="I71" s="466"/>
      <c r="J71" s="466"/>
      <c r="K71" s="466"/>
      <c r="L71" s="466"/>
      <c r="M71" s="51"/>
      <c r="N71" s="466"/>
      <c r="O71" s="466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281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185" t="s">
        <v>2</v>
      </c>
      <c r="D73" s="185" t="s">
        <v>37</v>
      </c>
      <c r="E73" s="185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184" t="s">
        <v>114</v>
      </c>
      <c r="D74" s="184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183"/>
      <c r="D75" s="183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2">A75+1</f>
        <v>3</v>
      </c>
      <c r="B76" s="434"/>
      <c r="C76" s="183"/>
      <c r="D76" s="183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2"/>
        <v>4</v>
      </c>
      <c r="B77" s="434"/>
      <c r="C77" s="183"/>
      <c r="D77" s="183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2"/>
        <v>5</v>
      </c>
      <c r="B78" s="434"/>
      <c r="C78" s="183"/>
      <c r="D78" s="183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2"/>
        <v>6</v>
      </c>
      <c r="B79" s="434"/>
      <c r="C79" s="183"/>
      <c r="D79" s="183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2"/>
        <v>7</v>
      </c>
      <c r="B80" s="434"/>
      <c r="C80" s="183"/>
      <c r="D80" s="183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2"/>
        <v>8</v>
      </c>
      <c r="B81" s="434"/>
      <c r="C81" s="183"/>
      <c r="D81" s="183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2"/>
        <v>9</v>
      </c>
      <c r="B82" s="434"/>
      <c r="C82" s="183"/>
      <c r="D82" s="183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282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7CD2-C4B9-4C54-996B-18E91EC68C5D}">
  <dimension ref="A1:AF88"/>
  <sheetViews>
    <sheetView zoomScale="72" zoomScaleNormal="72" zoomScaleSheetLayoutView="70" workbookViewId="0">
      <selection activeCell="F79" sqref="F79:J7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284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194" t="s">
        <v>17</v>
      </c>
      <c r="L5" s="194" t="s">
        <v>18</v>
      </c>
      <c r="M5" s="194" t="s">
        <v>19</v>
      </c>
      <c r="N5" s="19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19" si="7">AC6*AB6*(1-O6)</f>
        <v>0</v>
      </c>
      <c r="AE6" s="36">
        <f t="shared" ref="AE6:AE22" si="8">$AD$23</f>
        <v>0.47101299060254292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0.47101299060254292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6028</v>
      </c>
      <c r="K8" s="15">
        <f>L8+5138</f>
        <v>11166</v>
      </c>
      <c r="L8" s="15">
        <f>3175+2853</f>
        <v>6028</v>
      </c>
      <c r="M8" s="15">
        <f t="shared" si="1"/>
        <v>6028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0.47101299060254292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2918</v>
      </c>
      <c r="K9" s="15">
        <f>L9+1593+1896+2807+1401+3459+1160+3830+650+1584+2358+4249+584+4731+3038+1149+1391+2345+2572+1276+2512+3429+1210+3718+3141+5112+5426+4833+1883</f>
        <v>76255</v>
      </c>
      <c r="L9" s="15">
        <f>2478+440</f>
        <v>2918</v>
      </c>
      <c r="M9" s="15">
        <f t="shared" si="1"/>
        <v>2918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0.47101299060254292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248</v>
      </c>
      <c r="E10" s="53" t="s">
        <v>249</v>
      </c>
      <c r="F10" s="30" t="s">
        <v>192</v>
      </c>
      <c r="G10" s="33">
        <v>32</v>
      </c>
      <c r="H10" s="35">
        <v>24</v>
      </c>
      <c r="I10" s="7">
        <v>200000</v>
      </c>
      <c r="J10" s="5">
        <v>152840</v>
      </c>
      <c r="K10" s="15">
        <f>L10+96850</f>
        <v>249690</v>
      </c>
      <c r="L10" s="15">
        <f>3959*20+3683*20</f>
        <v>152840</v>
      </c>
      <c r="M10" s="15">
        <f t="shared" si="1"/>
        <v>152840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0.47101299060254292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117</v>
      </c>
      <c r="E11" s="53" t="s">
        <v>118</v>
      </c>
      <c r="F11" s="30" t="s">
        <v>121</v>
      </c>
      <c r="G11" s="33">
        <v>1</v>
      </c>
      <c r="H11" s="35">
        <v>24</v>
      </c>
      <c r="I11" s="7">
        <v>48000</v>
      </c>
      <c r="J11" s="14">
        <v>5405</v>
      </c>
      <c r="K11" s="15">
        <f>L11+4623+4705</f>
        <v>14733</v>
      </c>
      <c r="L11" s="15">
        <f>2836+2569</f>
        <v>5405</v>
      </c>
      <c r="M11" s="15">
        <f t="shared" si="1"/>
        <v>5405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 t="shared" ref="AD11:AD12" si="10">AC11*AB11*(1-O11)</f>
        <v>1</v>
      </c>
      <c r="AE11" s="36">
        <f t="shared" si="8"/>
        <v>0.47101299060254292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140</v>
      </c>
      <c r="F12" s="30" t="s">
        <v>121</v>
      </c>
      <c r="G12" s="33">
        <v>1</v>
      </c>
      <c r="H12" s="35">
        <v>20</v>
      </c>
      <c r="I12" s="7">
        <v>50000</v>
      </c>
      <c r="J12" s="14">
        <v>4723</v>
      </c>
      <c r="K12" s="15">
        <f>L12+2445+4101+2795+3910+4765+4211+4276+4747+3861+4874+4513</f>
        <v>49221</v>
      </c>
      <c r="L12" s="15">
        <f>2490+2233</f>
        <v>4723</v>
      </c>
      <c r="M12" s="15">
        <f t="shared" si="1"/>
        <v>4723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10"/>
        <v>1</v>
      </c>
      <c r="AE12" s="36">
        <f t="shared" si="8"/>
        <v>0.47101299060254292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254</v>
      </c>
      <c r="D13" s="52"/>
      <c r="E13" s="53" t="s">
        <v>255</v>
      </c>
      <c r="F13" s="30" t="s">
        <v>151</v>
      </c>
      <c r="G13" s="33">
        <v>3</v>
      </c>
      <c r="H13" s="35">
        <v>24</v>
      </c>
      <c r="I13" s="7">
        <v>6000</v>
      </c>
      <c r="J13" s="14">
        <v>6960</v>
      </c>
      <c r="K13" s="15">
        <f>L13+6960</f>
        <v>6960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0.47101299060254292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145</v>
      </c>
      <c r="F14" s="30" t="s">
        <v>148</v>
      </c>
      <c r="G14" s="12">
        <v>1</v>
      </c>
      <c r="H14" s="13">
        <v>45</v>
      </c>
      <c r="I14" s="7">
        <v>1000</v>
      </c>
      <c r="J14" s="5">
        <v>341</v>
      </c>
      <c r="K14" s="15">
        <f>L14+551+341</f>
        <v>892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0.47101299060254292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20000</v>
      </c>
      <c r="J15" s="14">
        <v>1794</v>
      </c>
      <c r="K15" s="15">
        <f>L15</f>
        <v>0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0.47101299060254292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254</v>
      </c>
      <c r="D16" s="52"/>
      <c r="E16" s="53" t="s">
        <v>267</v>
      </c>
      <c r="F16" s="30" t="s">
        <v>151</v>
      </c>
      <c r="G16" s="12">
        <v>1</v>
      </c>
      <c r="H16" s="13">
        <v>28</v>
      </c>
      <c r="I16" s="7">
        <v>3000</v>
      </c>
      <c r="J16" s="14">
        <v>2870</v>
      </c>
      <c r="K16" s="15">
        <f>L16</f>
        <v>2870</v>
      </c>
      <c r="L16" s="15">
        <v>2870</v>
      </c>
      <c r="M16" s="15">
        <f t="shared" si="1"/>
        <v>2870</v>
      </c>
      <c r="N16" s="15">
        <v>0</v>
      </c>
      <c r="O16" s="58">
        <f t="shared" si="2"/>
        <v>0</v>
      </c>
      <c r="P16" s="39">
        <f t="shared" si="3"/>
        <v>13</v>
      </c>
      <c r="Q16" s="40">
        <f t="shared" si="4"/>
        <v>11</v>
      </c>
      <c r="R16" s="7"/>
      <c r="S16" s="6"/>
      <c r="T16" s="16">
        <v>11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0.54166666666666663</v>
      </c>
      <c r="AD16" s="10">
        <f t="shared" si="7"/>
        <v>0.54166666666666663</v>
      </c>
      <c r="AE16" s="36">
        <f t="shared" si="8"/>
        <v>0.47101299060254292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256</v>
      </c>
      <c r="F17" s="30" t="s">
        <v>126</v>
      </c>
      <c r="G17" s="12">
        <v>1</v>
      </c>
      <c r="H17" s="13">
        <v>28</v>
      </c>
      <c r="I17" s="7">
        <v>2500</v>
      </c>
      <c r="J17" s="14">
        <v>2078</v>
      </c>
      <c r="K17" s="15">
        <f>L17+742</f>
        <v>2820</v>
      </c>
      <c r="L17" s="15">
        <v>2078</v>
      </c>
      <c r="M17" s="15">
        <f t="shared" si="1"/>
        <v>2078</v>
      </c>
      <c r="N17" s="15">
        <v>0</v>
      </c>
      <c r="O17" s="58">
        <f t="shared" si="2"/>
        <v>0</v>
      </c>
      <c r="P17" s="39">
        <f t="shared" si="3"/>
        <v>10</v>
      </c>
      <c r="Q17" s="40">
        <f t="shared" si="4"/>
        <v>14</v>
      </c>
      <c r="R17" s="7"/>
      <c r="S17" s="6"/>
      <c r="T17" s="16"/>
      <c r="U17" s="16"/>
      <c r="V17" s="17"/>
      <c r="W17" s="5">
        <v>14</v>
      </c>
      <c r="X17" s="16"/>
      <c r="Y17" s="16"/>
      <c r="Z17" s="16"/>
      <c r="AA17" s="18"/>
      <c r="AB17" s="8">
        <f t="shared" si="5"/>
        <v>1</v>
      </c>
      <c r="AC17" s="9">
        <f t="shared" si="6"/>
        <v>0.41666666666666669</v>
      </c>
      <c r="AD17" s="10">
        <f t="shared" si="7"/>
        <v>0.41666666666666669</v>
      </c>
      <c r="AE17" s="36">
        <f t="shared" si="8"/>
        <v>0.47101299060254292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114</v>
      </c>
      <c r="D18" s="52" t="s">
        <v>257</v>
      </c>
      <c r="E18" s="53" t="s">
        <v>258</v>
      </c>
      <c r="F18" s="30" t="s">
        <v>259</v>
      </c>
      <c r="G18" s="33">
        <v>1</v>
      </c>
      <c r="H18" s="35">
        <v>20</v>
      </c>
      <c r="I18" s="7">
        <v>4000</v>
      </c>
      <c r="J18" s="14">
        <v>3216</v>
      </c>
      <c r="K18" s="15">
        <f>L18+3216</f>
        <v>4474</v>
      </c>
      <c r="L18" s="15">
        <f>629*2</f>
        <v>1258</v>
      </c>
      <c r="M18" s="15">
        <f t="shared" ref="M18" si="11">L18-N18</f>
        <v>1258</v>
      </c>
      <c r="N18" s="15">
        <v>0</v>
      </c>
      <c r="O18" s="58">
        <f t="shared" ref="O18" si="12">IF(L18=0,"0",N18/L18)</f>
        <v>0</v>
      </c>
      <c r="P18" s="39">
        <f t="shared" ref="P18" si="13">IF(L18=0,"0",(24-Q18))</f>
        <v>4</v>
      </c>
      <c r="Q18" s="40">
        <f t="shared" ref="Q18" si="14">SUM(R18:AA18)</f>
        <v>20</v>
      </c>
      <c r="R18" s="7"/>
      <c r="S18" s="6"/>
      <c r="T18" s="16"/>
      <c r="U18" s="16"/>
      <c r="V18" s="17"/>
      <c r="W18" s="5">
        <v>20</v>
      </c>
      <c r="X18" s="16"/>
      <c r="Y18" s="16"/>
      <c r="Z18" s="16"/>
      <c r="AA18" s="18"/>
      <c r="AB18" s="8">
        <f t="shared" ref="AB18" si="15">IF(J18=0,"0",(L18/J18))</f>
        <v>0.39116915422885573</v>
      </c>
      <c r="AC18" s="9">
        <f t="shared" ref="AC18" si="16">IF(P18=0,"0",(P18/24))</f>
        <v>0.16666666666666666</v>
      </c>
      <c r="AD18" s="10">
        <f t="shared" ref="AD18" si="17">AC18*AB18*(1-O18)</f>
        <v>6.5194859038142622E-2</v>
      </c>
      <c r="AE18" s="36">
        <f t="shared" si="8"/>
        <v>0.47101299060254292</v>
      </c>
      <c r="AF18" s="87">
        <f t="shared" ref="AF18" si="18">A18</f>
        <v>12</v>
      </c>
    </row>
    <row r="19" spans="1:32" ht="27" customHeight="1">
      <c r="A19" s="102">
        <v>12</v>
      </c>
      <c r="B19" s="11" t="s">
        <v>57</v>
      </c>
      <c r="C19" s="11" t="s">
        <v>114</v>
      </c>
      <c r="D19" s="52" t="s">
        <v>268</v>
      </c>
      <c r="E19" s="53" t="s">
        <v>288</v>
      </c>
      <c r="F19" s="30" t="s">
        <v>154</v>
      </c>
      <c r="G19" s="33">
        <v>1</v>
      </c>
      <c r="H19" s="35">
        <v>20</v>
      </c>
      <c r="I19" s="7">
        <v>1300</v>
      </c>
      <c r="J19" s="14">
        <v>1517</v>
      </c>
      <c r="K19" s="15">
        <f>L19</f>
        <v>1517</v>
      </c>
      <c r="L19" s="15">
        <f>1517</f>
        <v>1517</v>
      </c>
      <c r="M19" s="15">
        <f t="shared" si="1"/>
        <v>1517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 t="shared" si="7"/>
        <v>0.41666666666666669</v>
      </c>
      <c r="AE19" s="36">
        <f t="shared" si="8"/>
        <v>0.47101299060254292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195</v>
      </c>
      <c r="D20" s="52"/>
      <c r="E20" s="53" t="s">
        <v>227</v>
      </c>
      <c r="F20" s="30" t="s">
        <v>151</v>
      </c>
      <c r="G20" s="33" t="s">
        <v>197</v>
      </c>
      <c r="H20" s="35">
        <v>24</v>
      </c>
      <c r="I20" s="7">
        <v>3000</v>
      </c>
      <c r="J20" s="5">
        <v>3254</v>
      </c>
      <c r="K20" s="15">
        <f>L20+3254</f>
        <v>3254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5"/>
        <v>0</v>
      </c>
      <c r="AC20" s="9">
        <f t="shared" si="6"/>
        <v>0</v>
      </c>
      <c r="AD20" s="10">
        <f>AC20*AB20*(1-O20)</f>
        <v>0</v>
      </c>
      <c r="AE20" s="36">
        <f t="shared" si="8"/>
        <v>0.47101299060254292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160</v>
      </c>
      <c r="F21" s="30" t="s">
        <v>151</v>
      </c>
      <c r="G21" s="33">
        <v>1</v>
      </c>
      <c r="H21" s="35">
        <v>24</v>
      </c>
      <c r="I21" s="7">
        <v>37000</v>
      </c>
      <c r="J21" s="14">
        <v>4826</v>
      </c>
      <c r="K21" s="15">
        <f>L21+4542+3108+4963+4995+2442+4770+5020+4651</f>
        <v>39317</v>
      </c>
      <c r="L21" s="15">
        <f>2544+2282</f>
        <v>4826</v>
      </c>
      <c r="M21" s="15">
        <f t="shared" si="1"/>
        <v>4826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ref="AD21:AD22" si="19">AC21*AB21*(1-O21)</f>
        <v>1</v>
      </c>
      <c r="AE21" s="36">
        <f t="shared" si="8"/>
        <v>0.47101299060254292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260</v>
      </c>
      <c r="F22" s="12" t="s">
        <v>116</v>
      </c>
      <c r="G22" s="12">
        <v>3</v>
      </c>
      <c r="H22" s="35">
        <v>20</v>
      </c>
      <c r="I22" s="7">
        <v>500000</v>
      </c>
      <c r="J22" s="14">
        <v>42868</v>
      </c>
      <c r="K22" s="15">
        <f>L22</f>
        <v>0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>
        <v>24</v>
      </c>
      <c r="T22" s="16"/>
      <c r="U22" s="16"/>
      <c r="V22" s="17"/>
      <c r="W22" s="5"/>
      <c r="X22" s="16"/>
      <c r="Y22" s="16"/>
      <c r="Z22" s="16"/>
      <c r="AA22" s="18"/>
      <c r="AB22" s="8">
        <f t="shared" si="5"/>
        <v>0</v>
      </c>
      <c r="AC22" s="9">
        <f t="shared" si="6"/>
        <v>0</v>
      </c>
      <c r="AD22" s="10">
        <f t="shared" si="19"/>
        <v>0</v>
      </c>
      <c r="AE22" s="36">
        <f t="shared" si="8"/>
        <v>0.47101299060254292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20">SUM(I6:I22)</f>
        <v>964800</v>
      </c>
      <c r="J23" s="19">
        <f t="shared" si="20"/>
        <v>243699</v>
      </c>
      <c r="K23" s="20">
        <f t="shared" si="20"/>
        <v>474717</v>
      </c>
      <c r="L23" s="21">
        <f t="shared" si="20"/>
        <v>184463</v>
      </c>
      <c r="M23" s="20">
        <f t="shared" si="20"/>
        <v>184463</v>
      </c>
      <c r="N23" s="21">
        <f t="shared" si="20"/>
        <v>0</v>
      </c>
      <c r="O23" s="41">
        <f t="shared" si="2"/>
        <v>0</v>
      </c>
      <c r="P23" s="42">
        <f t="shared" ref="P23:AA23" si="21">SUM(P6:P22)</f>
        <v>172</v>
      </c>
      <c r="Q23" s="43">
        <f t="shared" si="21"/>
        <v>232</v>
      </c>
      <c r="R23" s="23">
        <f t="shared" si="21"/>
        <v>24</v>
      </c>
      <c r="S23" s="24">
        <f t="shared" si="21"/>
        <v>77</v>
      </c>
      <c r="T23" s="24">
        <f t="shared" si="21"/>
        <v>11</v>
      </c>
      <c r="U23" s="24">
        <f t="shared" si="21"/>
        <v>0</v>
      </c>
      <c r="V23" s="25">
        <f t="shared" si="21"/>
        <v>24</v>
      </c>
      <c r="W23" s="26">
        <f t="shared" si="21"/>
        <v>48</v>
      </c>
      <c r="X23" s="27">
        <f t="shared" si="21"/>
        <v>0</v>
      </c>
      <c r="Y23" s="27">
        <f t="shared" si="21"/>
        <v>0</v>
      </c>
      <c r="Z23" s="27">
        <f t="shared" si="21"/>
        <v>0</v>
      </c>
      <c r="AA23" s="27">
        <f t="shared" si="21"/>
        <v>48</v>
      </c>
      <c r="AB23" s="28">
        <f>SUM(AB6:AB22)/15</f>
        <v>0.62607794361525704</v>
      </c>
      <c r="AC23" s="4">
        <f>SUM(AC6:AC22)/15</f>
        <v>0.47777777777777786</v>
      </c>
      <c r="AD23" s="4">
        <f>SUM(AD6:AD22)/15</f>
        <v>0.47101299060254292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289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292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195" t="s">
        <v>46</v>
      </c>
      <c r="D52" s="195" t="s">
        <v>47</v>
      </c>
      <c r="E52" s="195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195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197" t="s">
        <v>144</v>
      </c>
      <c r="D53" s="197" t="s">
        <v>136</v>
      </c>
      <c r="E53" s="197" t="s">
        <v>146</v>
      </c>
      <c r="F53" s="487" t="s">
        <v>152</v>
      </c>
      <c r="G53" s="488"/>
      <c r="H53" s="488"/>
      <c r="I53" s="488"/>
      <c r="J53" s="488"/>
      <c r="K53" s="488"/>
      <c r="L53" s="488"/>
      <c r="M53" s="489"/>
      <c r="N53" s="196" t="s">
        <v>124</v>
      </c>
      <c r="O53" s="201" t="s">
        <v>128</v>
      </c>
      <c r="P53" s="499" t="s">
        <v>136</v>
      </c>
      <c r="Q53" s="500"/>
      <c r="R53" s="486" t="s">
        <v>293</v>
      </c>
      <c r="S53" s="486"/>
      <c r="T53" s="486"/>
      <c r="U53" s="486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254</v>
      </c>
      <c r="B54" s="486"/>
      <c r="C54" s="197" t="s">
        <v>264</v>
      </c>
      <c r="D54" s="197"/>
      <c r="E54" s="197" t="s">
        <v>267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196" t="s">
        <v>114</v>
      </c>
      <c r="O54" s="201" t="s">
        <v>264</v>
      </c>
      <c r="P54" s="499" t="s">
        <v>125</v>
      </c>
      <c r="Q54" s="500"/>
      <c r="R54" s="499" t="s">
        <v>294</v>
      </c>
      <c r="S54" s="501"/>
      <c r="T54" s="501"/>
      <c r="U54" s="500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197" t="s">
        <v>132</v>
      </c>
      <c r="D55" s="197" t="s">
        <v>268</v>
      </c>
      <c r="E55" s="197" t="s">
        <v>288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196" t="s">
        <v>114</v>
      </c>
      <c r="O55" s="201" t="s">
        <v>264</v>
      </c>
      <c r="P55" s="499" t="s">
        <v>119</v>
      </c>
      <c r="Q55" s="500"/>
      <c r="R55" s="486" t="s">
        <v>295</v>
      </c>
      <c r="S55" s="486"/>
      <c r="T55" s="486"/>
      <c r="U55" s="486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285</v>
      </c>
      <c r="B56" s="486"/>
      <c r="C56" s="197" t="s">
        <v>210</v>
      </c>
      <c r="D56" s="197"/>
      <c r="E56" s="197" t="s">
        <v>286</v>
      </c>
      <c r="F56" s="487" t="s">
        <v>290</v>
      </c>
      <c r="G56" s="488"/>
      <c r="H56" s="488"/>
      <c r="I56" s="488"/>
      <c r="J56" s="488"/>
      <c r="K56" s="488"/>
      <c r="L56" s="488"/>
      <c r="M56" s="489"/>
      <c r="N56" s="196" t="s">
        <v>114</v>
      </c>
      <c r="O56" s="201" t="s">
        <v>264</v>
      </c>
      <c r="P56" s="499" t="s">
        <v>138</v>
      </c>
      <c r="Q56" s="500"/>
      <c r="R56" s="499" t="s">
        <v>296</v>
      </c>
      <c r="S56" s="501"/>
      <c r="T56" s="501"/>
      <c r="U56" s="500"/>
      <c r="V56" s="476" t="s">
        <v>120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115</v>
      </c>
      <c r="B57" s="486"/>
      <c r="C57" s="197" t="s">
        <v>291</v>
      </c>
      <c r="D57" s="197"/>
      <c r="E57" s="197" t="s">
        <v>260</v>
      </c>
      <c r="F57" s="487" t="s">
        <v>263</v>
      </c>
      <c r="G57" s="488"/>
      <c r="H57" s="488"/>
      <c r="I57" s="488"/>
      <c r="J57" s="488"/>
      <c r="K57" s="488"/>
      <c r="L57" s="488"/>
      <c r="M57" s="489"/>
      <c r="N57" s="196" t="s">
        <v>124</v>
      </c>
      <c r="O57" s="201" t="s">
        <v>211</v>
      </c>
      <c r="P57" s="499" t="s">
        <v>117</v>
      </c>
      <c r="Q57" s="500"/>
      <c r="R57" s="499" t="s">
        <v>297</v>
      </c>
      <c r="S57" s="501"/>
      <c r="T57" s="501"/>
      <c r="U57" s="500"/>
      <c r="V57" s="476" t="s">
        <v>120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197"/>
      <c r="D58" s="197"/>
      <c r="E58" s="197"/>
      <c r="F58" s="487"/>
      <c r="G58" s="488"/>
      <c r="H58" s="488"/>
      <c r="I58" s="488"/>
      <c r="J58" s="488"/>
      <c r="K58" s="488"/>
      <c r="L58" s="488"/>
      <c r="M58" s="489"/>
      <c r="N58" s="196"/>
      <c r="O58" s="201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197"/>
      <c r="D59" s="197"/>
      <c r="E59" s="197"/>
      <c r="F59" s="487"/>
      <c r="G59" s="488"/>
      <c r="H59" s="488"/>
      <c r="I59" s="488"/>
      <c r="J59" s="488"/>
      <c r="K59" s="488"/>
      <c r="L59" s="488"/>
      <c r="M59" s="489"/>
      <c r="N59" s="196"/>
      <c r="O59" s="201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197"/>
      <c r="D60" s="197"/>
      <c r="E60" s="197"/>
      <c r="F60" s="487"/>
      <c r="G60" s="488"/>
      <c r="H60" s="488"/>
      <c r="I60" s="488"/>
      <c r="J60" s="488"/>
      <c r="K60" s="488"/>
      <c r="L60" s="488"/>
      <c r="M60" s="489"/>
      <c r="N60" s="196"/>
      <c r="O60" s="201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197"/>
      <c r="D61" s="197"/>
      <c r="E61" s="197"/>
      <c r="F61" s="487"/>
      <c r="G61" s="488"/>
      <c r="H61" s="488"/>
      <c r="I61" s="488"/>
      <c r="J61" s="488"/>
      <c r="K61" s="488"/>
      <c r="L61" s="488"/>
      <c r="M61" s="489"/>
      <c r="N61" s="196"/>
      <c r="O61" s="201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198"/>
      <c r="D62" s="198"/>
      <c r="E62" s="198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298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199" t="s">
        <v>2</v>
      </c>
      <c r="D64" s="199" t="s">
        <v>37</v>
      </c>
      <c r="E64" s="199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199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124</v>
      </c>
      <c r="D65" s="203"/>
      <c r="E65" s="200" t="s">
        <v>141</v>
      </c>
      <c r="F65" s="474" t="s">
        <v>299</v>
      </c>
      <c r="G65" s="466"/>
      <c r="H65" s="466"/>
      <c r="I65" s="466"/>
      <c r="J65" s="466"/>
      <c r="K65" s="466" t="s">
        <v>274</v>
      </c>
      <c r="L65" s="466"/>
      <c r="M65" s="51" t="s">
        <v>214</v>
      </c>
      <c r="N65" s="477" t="s">
        <v>143</v>
      </c>
      <c r="O65" s="477"/>
      <c r="P65" s="475">
        <v>50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 t="s">
        <v>124</v>
      </c>
      <c r="D66" s="203"/>
      <c r="E66" s="200" t="s">
        <v>275</v>
      </c>
      <c r="F66" s="474" t="s">
        <v>276</v>
      </c>
      <c r="G66" s="466"/>
      <c r="H66" s="466"/>
      <c r="I66" s="466"/>
      <c r="J66" s="466"/>
      <c r="K66" s="466" t="s">
        <v>274</v>
      </c>
      <c r="L66" s="466"/>
      <c r="M66" s="51" t="s">
        <v>214</v>
      </c>
      <c r="N66" s="477" t="s">
        <v>178</v>
      </c>
      <c r="O66" s="477"/>
      <c r="P66" s="475">
        <v>50</v>
      </c>
      <c r="Q66" s="475"/>
      <c r="R66" s="476" t="s">
        <v>300</v>
      </c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 t="s">
        <v>124</v>
      </c>
      <c r="D67" s="203"/>
      <c r="E67" s="200" t="s">
        <v>117</v>
      </c>
      <c r="F67" s="474" t="s">
        <v>301</v>
      </c>
      <c r="G67" s="466"/>
      <c r="H67" s="466"/>
      <c r="I67" s="466"/>
      <c r="J67" s="466"/>
      <c r="K67" s="466" t="s">
        <v>274</v>
      </c>
      <c r="L67" s="466"/>
      <c r="M67" s="51" t="s">
        <v>214</v>
      </c>
      <c r="N67" s="477" t="s">
        <v>143</v>
      </c>
      <c r="O67" s="477"/>
      <c r="P67" s="475"/>
      <c r="Q67" s="475"/>
      <c r="R67" s="476" t="s">
        <v>277</v>
      </c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 t="s">
        <v>124</v>
      </c>
      <c r="D68" s="203"/>
      <c r="E68" s="200" t="s">
        <v>125</v>
      </c>
      <c r="F68" s="474" t="s">
        <v>302</v>
      </c>
      <c r="G68" s="466"/>
      <c r="H68" s="466"/>
      <c r="I68" s="466"/>
      <c r="J68" s="466"/>
      <c r="K68" s="466" t="s">
        <v>274</v>
      </c>
      <c r="L68" s="466"/>
      <c r="M68" s="51" t="s">
        <v>214</v>
      </c>
      <c r="N68" s="477" t="s">
        <v>143</v>
      </c>
      <c r="O68" s="477"/>
      <c r="P68" s="475">
        <v>50</v>
      </c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 t="s">
        <v>124</v>
      </c>
      <c r="D69" s="203"/>
      <c r="E69" s="200" t="s">
        <v>138</v>
      </c>
      <c r="F69" s="474" t="s">
        <v>303</v>
      </c>
      <c r="G69" s="466"/>
      <c r="H69" s="466"/>
      <c r="I69" s="466"/>
      <c r="J69" s="466"/>
      <c r="K69" s="466" t="s">
        <v>304</v>
      </c>
      <c r="L69" s="466"/>
      <c r="M69" s="51" t="s">
        <v>214</v>
      </c>
      <c r="N69" s="477" t="s">
        <v>178</v>
      </c>
      <c r="O69" s="477"/>
      <c r="P69" s="475"/>
      <c r="Q69" s="475"/>
      <c r="R69" s="476" t="s">
        <v>305</v>
      </c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 t="s">
        <v>124</v>
      </c>
      <c r="D70" s="203"/>
      <c r="E70" s="200" t="s">
        <v>306</v>
      </c>
      <c r="F70" s="474" t="s">
        <v>307</v>
      </c>
      <c r="G70" s="466"/>
      <c r="H70" s="466"/>
      <c r="I70" s="466"/>
      <c r="J70" s="466"/>
      <c r="K70" s="466" t="s">
        <v>121</v>
      </c>
      <c r="L70" s="466"/>
      <c r="M70" s="51" t="s">
        <v>214</v>
      </c>
      <c r="N70" s="477" t="s">
        <v>143</v>
      </c>
      <c r="O70" s="477"/>
      <c r="P70" s="475">
        <v>50</v>
      </c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/>
      <c r="D71" s="203"/>
      <c r="E71" s="200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203"/>
      <c r="E72" s="200"/>
      <c r="F72" s="474"/>
      <c r="G72" s="466"/>
      <c r="H72" s="466"/>
      <c r="I72" s="466"/>
      <c r="J72" s="466"/>
      <c r="K72" s="466"/>
      <c r="L72" s="466"/>
      <c r="M72" s="51"/>
      <c r="N72" s="466"/>
      <c r="O72" s="466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308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202" t="s">
        <v>2</v>
      </c>
      <c r="D74" s="202" t="s">
        <v>37</v>
      </c>
      <c r="E74" s="202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204" t="s">
        <v>114</v>
      </c>
      <c r="D75" s="204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203"/>
      <c r="D76" s="203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2">A76+1</f>
        <v>3</v>
      </c>
      <c r="B77" s="434"/>
      <c r="C77" s="203"/>
      <c r="D77" s="203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2"/>
        <v>4</v>
      </c>
      <c r="B78" s="434"/>
      <c r="C78" s="203"/>
      <c r="D78" s="203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2"/>
        <v>5</v>
      </c>
      <c r="B79" s="434"/>
      <c r="C79" s="203"/>
      <c r="D79" s="203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2"/>
        <v>6</v>
      </c>
      <c r="B80" s="434"/>
      <c r="C80" s="203"/>
      <c r="D80" s="203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2"/>
        <v>7</v>
      </c>
      <c r="B81" s="434"/>
      <c r="C81" s="203"/>
      <c r="D81" s="203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2"/>
        <v>8</v>
      </c>
      <c r="B82" s="434"/>
      <c r="C82" s="203"/>
      <c r="D82" s="203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2"/>
        <v>9</v>
      </c>
      <c r="B83" s="434"/>
      <c r="C83" s="203"/>
      <c r="D83" s="203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309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43D0-DCEE-46BB-BFB2-7D62E3A0A8CC}"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310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15" t="s">
        <v>17</v>
      </c>
      <c r="L5" s="215" t="s">
        <v>18</v>
      </c>
      <c r="M5" s="215" t="s">
        <v>19</v>
      </c>
      <c r="N5" s="21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19" si="7">AC6*AB6*(1-O6)</f>
        <v>0</v>
      </c>
      <c r="AE6" s="36">
        <f t="shared" ref="AE6:AE22" si="8">$AD$23</f>
        <v>0.36111111111111105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0.36111111111111105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6101</v>
      </c>
      <c r="K8" s="15">
        <f>L8+5138+6028</f>
        <v>17267</v>
      </c>
      <c r="L8" s="15">
        <f>3192+2909</f>
        <v>6101</v>
      </c>
      <c r="M8" s="15">
        <f t="shared" si="1"/>
        <v>6101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0.36111111111111105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5569</v>
      </c>
      <c r="K9" s="15">
        <f>L9+1593+1896+2807+1401+3459+1160+3830+650+1584+2358+4249+584+4731+3038+1149+1391+2345+2572+1276+2512+3429+1210+3718+3141+5112+5426+4833+1883+2918</f>
        <v>81824</v>
      </c>
      <c r="L9" s="15">
        <f>2950+2619</f>
        <v>5569</v>
      </c>
      <c r="M9" s="15">
        <f t="shared" si="1"/>
        <v>5569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0.36111111111111105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248</v>
      </c>
      <c r="E10" s="53" t="s">
        <v>249</v>
      </c>
      <c r="F10" s="30" t="s">
        <v>192</v>
      </c>
      <c r="G10" s="33">
        <v>32</v>
      </c>
      <c r="H10" s="35">
        <v>24</v>
      </c>
      <c r="I10" s="7">
        <v>200000</v>
      </c>
      <c r="J10" s="5">
        <v>19800</v>
      </c>
      <c r="K10" s="15">
        <f>L10+96850+152840</f>
        <v>269490</v>
      </c>
      <c r="L10" s="15">
        <f>990*20</f>
        <v>19800</v>
      </c>
      <c r="M10" s="15">
        <f t="shared" si="1"/>
        <v>19800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/>
      <c r="S10" s="6"/>
      <c r="T10" s="16"/>
      <c r="U10" s="16"/>
      <c r="V10" s="17"/>
      <c r="W10" s="5"/>
      <c r="X10" s="16"/>
      <c r="Y10" s="16"/>
      <c r="Z10" s="16"/>
      <c r="AA10" s="18">
        <v>20</v>
      </c>
      <c r="AB10" s="8">
        <f t="shared" si="5"/>
        <v>1</v>
      </c>
      <c r="AC10" s="9">
        <f t="shared" si="6"/>
        <v>0.16666666666666666</v>
      </c>
      <c r="AD10" s="10">
        <f>AC10*AB10*(1-O10)</f>
        <v>0.16666666666666666</v>
      </c>
      <c r="AE10" s="36">
        <f t="shared" si="8"/>
        <v>0.36111111111111105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136</v>
      </c>
      <c r="E11" s="53" t="s">
        <v>293</v>
      </c>
      <c r="F11" s="30" t="s">
        <v>127</v>
      </c>
      <c r="G11" s="33">
        <v>1</v>
      </c>
      <c r="H11" s="35">
        <v>24</v>
      </c>
      <c r="I11" s="7">
        <v>10000</v>
      </c>
      <c r="J11" s="5">
        <v>150</v>
      </c>
      <c r="K11" s="15">
        <f>L11</f>
        <v>150</v>
      </c>
      <c r="L11" s="15">
        <f>150</f>
        <v>150</v>
      </c>
      <c r="M11" s="15">
        <f t="shared" ref="M11" si="10">L11-N11</f>
        <v>150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2</v>
      </c>
      <c r="Q11" s="40">
        <f t="shared" ref="Q11" si="13">SUM(R11:AA11)</f>
        <v>22</v>
      </c>
      <c r="R11" s="7"/>
      <c r="S11" s="6">
        <v>18</v>
      </c>
      <c r="T11" s="16">
        <v>4</v>
      </c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8.3333333333333329E-2</v>
      </c>
      <c r="AD11" s="10">
        <f>AC11*AB11*(1-O11)</f>
        <v>8.3333333333333329E-2</v>
      </c>
      <c r="AE11" s="36">
        <f t="shared" si="8"/>
        <v>0.36111111111111105</v>
      </c>
      <c r="AF11" s="87">
        <f t="shared" ref="AF11" si="16">A11</f>
        <v>5</v>
      </c>
    </row>
    <row r="12" spans="1:32" ht="27" customHeight="1">
      <c r="A12" s="103">
        <v>6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1826</v>
      </c>
      <c r="K12" s="15">
        <f>L12+4623+4705+5405</f>
        <v>16559</v>
      </c>
      <c r="L12" s="15">
        <f>1826</f>
        <v>1826</v>
      </c>
      <c r="M12" s="15">
        <f t="shared" si="1"/>
        <v>1826</v>
      </c>
      <c r="N12" s="15">
        <v>0</v>
      </c>
      <c r="O12" s="58">
        <f t="shared" si="2"/>
        <v>0</v>
      </c>
      <c r="P12" s="39">
        <f t="shared" si="3"/>
        <v>9</v>
      </c>
      <c r="Q12" s="40">
        <f t="shared" si="4"/>
        <v>15</v>
      </c>
      <c r="R12" s="7"/>
      <c r="S12" s="6">
        <v>15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0.375</v>
      </c>
      <c r="AD12" s="10">
        <f t="shared" ref="AD12:AD13" si="17">AC12*AB12*(1-O12)</f>
        <v>0.375</v>
      </c>
      <c r="AE12" s="36">
        <f t="shared" si="8"/>
        <v>0.36111111111111105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124</v>
      </c>
      <c r="D13" s="52" t="s">
        <v>117</v>
      </c>
      <c r="E13" s="53" t="s">
        <v>140</v>
      </c>
      <c r="F13" s="30" t="s">
        <v>121</v>
      </c>
      <c r="G13" s="33">
        <v>1</v>
      </c>
      <c r="H13" s="35">
        <v>20</v>
      </c>
      <c r="I13" s="7">
        <v>50000</v>
      </c>
      <c r="J13" s="14">
        <v>4859</v>
      </c>
      <c r="K13" s="15">
        <f>L13+2445+4101+2795+3910+4765+4211+4276+4747+3861+4874+4513+4723</f>
        <v>54080</v>
      </c>
      <c r="L13" s="15">
        <f>2579+2280</f>
        <v>4859</v>
      </c>
      <c r="M13" s="15">
        <f t="shared" si="1"/>
        <v>4859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7"/>
        <v>1</v>
      </c>
      <c r="AE13" s="36">
        <f t="shared" si="8"/>
        <v>0.36111111111111105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124</v>
      </c>
      <c r="D14" s="52" t="s">
        <v>138</v>
      </c>
      <c r="E14" s="53" t="s">
        <v>296</v>
      </c>
      <c r="F14" s="30" t="s">
        <v>126</v>
      </c>
      <c r="G14" s="33">
        <v>2</v>
      </c>
      <c r="H14" s="35">
        <v>24</v>
      </c>
      <c r="I14" s="7">
        <v>2600</v>
      </c>
      <c r="J14" s="14">
        <v>734</v>
      </c>
      <c r="K14" s="15">
        <f>L14</f>
        <v>734</v>
      </c>
      <c r="L14" s="15">
        <f>367*2</f>
        <v>734</v>
      </c>
      <c r="M14" s="15">
        <f t="shared" si="1"/>
        <v>734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/>
      <c r="T14" s="16"/>
      <c r="U14" s="16"/>
      <c r="V14" s="17"/>
      <c r="W14" s="5"/>
      <c r="X14" s="16"/>
      <c r="Y14" s="16"/>
      <c r="Z14" s="16"/>
      <c r="AA14" s="18">
        <v>20</v>
      </c>
      <c r="AB14" s="8">
        <f t="shared" si="5"/>
        <v>1</v>
      </c>
      <c r="AC14" s="9">
        <f t="shared" si="6"/>
        <v>0.16666666666666666</v>
      </c>
      <c r="AD14" s="10">
        <f t="shared" si="7"/>
        <v>0.16666666666666666</v>
      </c>
      <c r="AE14" s="36">
        <f t="shared" si="8"/>
        <v>0.36111111111111105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145</v>
      </c>
      <c r="F15" s="30" t="s">
        <v>148</v>
      </c>
      <c r="G15" s="12">
        <v>1</v>
      </c>
      <c r="H15" s="13">
        <v>45</v>
      </c>
      <c r="I15" s="7">
        <v>1000</v>
      </c>
      <c r="J15" s="5">
        <v>341</v>
      </c>
      <c r="K15" s="15">
        <f>L15+551+341</f>
        <v>892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0.36111111111111105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285</v>
      </c>
      <c r="D16" s="52"/>
      <c r="E16" s="53" t="s">
        <v>286</v>
      </c>
      <c r="F16" s="12" t="s">
        <v>287</v>
      </c>
      <c r="G16" s="12" t="s">
        <v>197</v>
      </c>
      <c r="H16" s="13">
        <v>24</v>
      </c>
      <c r="I16" s="31">
        <v>20000</v>
      </c>
      <c r="J16" s="14">
        <v>1794</v>
      </c>
      <c r="K16" s="15">
        <f>L16</f>
        <v>0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>
        <v>24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0.36111111111111105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117</v>
      </c>
      <c r="E17" s="53" t="s">
        <v>295</v>
      </c>
      <c r="F17" s="30" t="s">
        <v>126</v>
      </c>
      <c r="G17" s="12">
        <v>1</v>
      </c>
      <c r="H17" s="13">
        <v>28</v>
      </c>
      <c r="I17" s="7">
        <v>1300</v>
      </c>
      <c r="J17" s="14">
        <v>815</v>
      </c>
      <c r="K17" s="15">
        <f>L17</f>
        <v>815</v>
      </c>
      <c r="L17" s="15">
        <v>815</v>
      </c>
      <c r="M17" s="15">
        <f t="shared" si="1"/>
        <v>815</v>
      </c>
      <c r="N17" s="15">
        <v>0</v>
      </c>
      <c r="O17" s="58">
        <f t="shared" si="2"/>
        <v>0</v>
      </c>
      <c r="P17" s="39">
        <f t="shared" si="3"/>
        <v>6</v>
      </c>
      <c r="Q17" s="40">
        <f t="shared" si="4"/>
        <v>18</v>
      </c>
      <c r="R17" s="7"/>
      <c r="S17" s="6">
        <v>18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0.25</v>
      </c>
      <c r="AD17" s="10">
        <f t="shared" si="7"/>
        <v>0.25</v>
      </c>
      <c r="AE17" s="36">
        <f t="shared" si="8"/>
        <v>0.36111111111111105</v>
      </c>
      <c r="AF17" s="87">
        <f t="shared" si="9"/>
        <v>11</v>
      </c>
    </row>
    <row r="18" spans="1:32" ht="30" customHeight="1">
      <c r="A18" s="102">
        <v>11</v>
      </c>
      <c r="B18" s="11" t="s">
        <v>57</v>
      </c>
      <c r="C18" s="34" t="s">
        <v>114</v>
      </c>
      <c r="D18" s="52" t="s">
        <v>125</v>
      </c>
      <c r="E18" s="53" t="s">
        <v>294</v>
      </c>
      <c r="F18" s="30" t="s">
        <v>126</v>
      </c>
      <c r="G18" s="12">
        <v>1</v>
      </c>
      <c r="H18" s="13">
        <v>28</v>
      </c>
      <c r="I18" s="7">
        <v>1300</v>
      </c>
      <c r="J18" s="14">
        <v>1399</v>
      </c>
      <c r="K18" s="15">
        <f>L18</f>
        <v>1399</v>
      </c>
      <c r="L18" s="15">
        <v>1399</v>
      </c>
      <c r="M18" s="15">
        <f t="shared" si="1"/>
        <v>1399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/>
      <c r="W18" s="5">
        <v>14</v>
      </c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 t="shared" si="7"/>
        <v>0.41666666666666669</v>
      </c>
      <c r="AE18" s="36">
        <f t="shared" si="8"/>
        <v>0.36111111111111105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11" t="s">
        <v>114</v>
      </c>
      <c r="D19" s="52" t="s">
        <v>268</v>
      </c>
      <c r="E19" s="53" t="s">
        <v>288</v>
      </c>
      <c r="F19" s="30" t="s">
        <v>154</v>
      </c>
      <c r="G19" s="33">
        <v>1</v>
      </c>
      <c r="H19" s="35">
        <v>20</v>
      </c>
      <c r="I19" s="7">
        <v>1300</v>
      </c>
      <c r="J19" s="14">
        <v>1517</v>
      </c>
      <c r="K19" s="15">
        <f>L19+1517</f>
        <v>1517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>
        <v>24</v>
      </c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0.36111111111111105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34" t="s">
        <v>195</v>
      </c>
      <c r="D20" s="52"/>
      <c r="E20" s="53" t="s">
        <v>227</v>
      </c>
      <c r="F20" s="30" t="s">
        <v>151</v>
      </c>
      <c r="G20" s="33" t="s">
        <v>197</v>
      </c>
      <c r="H20" s="35">
        <v>24</v>
      </c>
      <c r="I20" s="7">
        <v>3000</v>
      </c>
      <c r="J20" s="5">
        <v>3254</v>
      </c>
      <c r="K20" s="15">
        <f>L20+3254</f>
        <v>3254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5"/>
        <v>0</v>
      </c>
      <c r="AC20" s="9">
        <f t="shared" si="6"/>
        <v>0</v>
      </c>
      <c r="AD20" s="10">
        <f>AC20*AB20*(1-O20)</f>
        <v>0</v>
      </c>
      <c r="AE20" s="36">
        <f t="shared" si="8"/>
        <v>0.36111111111111105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297</v>
      </c>
      <c r="F21" s="30" t="s">
        <v>121</v>
      </c>
      <c r="G21" s="33">
        <v>1</v>
      </c>
      <c r="H21" s="35">
        <v>24</v>
      </c>
      <c r="I21" s="7">
        <v>60000</v>
      </c>
      <c r="J21" s="14">
        <v>4692</v>
      </c>
      <c r="K21" s="15">
        <f>L21</f>
        <v>4692</v>
      </c>
      <c r="L21" s="15">
        <f>1983+2709</f>
        <v>4692</v>
      </c>
      <c r="M21" s="15">
        <f t="shared" si="1"/>
        <v>4692</v>
      </c>
      <c r="N21" s="15">
        <v>0</v>
      </c>
      <c r="O21" s="58">
        <f t="shared" si="2"/>
        <v>0</v>
      </c>
      <c r="P21" s="39">
        <f t="shared" si="3"/>
        <v>23</v>
      </c>
      <c r="Q21" s="40">
        <f t="shared" si="4"/>
        <v>1</v>
      </c>
      <c r="R21" s="7"/>
      <c r="S21" s="6"/>
      <c r="T21" s="16">
        <v>1</v>
      </c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0.95833333333333337</v>
      </c>
      <c r="AD21" s="10">
        <f t="shared" ref="AD21:AD22" si="18">AC21*AB21*(1-O21)</f>
        <v>0.95833333333333337</v>
      </c>
      <c r="AE21" s="36">
        <f t="shared" si="8"/>
        <v>0.36111111111111105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260</v>
      </c>
      <c r="F22" s="12" t="s">
        <v>116</v>
      </c>
      <c r="G22" s="12">
        <v>3</v>
      </c>
      <c r="H22" s="35">
        <v>20</v>
      </c>
      <c r="I22" s="7">
        <v>500000</v>
      </c>
      <c r="J22" s="14">
        <v>42868</v>
      </c>
      <c r="K22" s="15">
        <f>L22</f>
        <v>0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>
        <v>24</v>
      </c>
      <c r="T22" s="16"/>
      <c r="U22" s="16"/>
      <c r="V22" s="17"/>
      <c r="W22" s="5"/>
      <c r="X22" s="16"/>
      <c r="Y22" s="16"/>
      <c r="Z22" s="16"/>
      <c r="AA22" s="18"/>
      <c r="AB22" s="8">
        <f t="shared" si="5"/>
        <v>0</v>
      </c>
      <c r="AC22" s="9">
        <f t="shared" si="6"/>
        <v>0</v>
      </c>
      <c r="AD22" s="10">
        <f t="shared" si="18"/>
        <v>0</v>
      </c>
      <c r="AE22" s="36">
        <f t="shared" si="8"/>
        <v>0.36111111111111105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19">SUM(I6:I22)</f>
        <v>987500</v>
      </c>
      <c r="J23" s="19">
        <f t="shared" si="19"/>
        <v>97780</v>
      </c>
      <c r="K23" s="20">
        <f t="shared" si="19"/>
        <v>464221</v>
      </c>
      <c r="L23" s="21">
        <f t="shared" si="19"/>
        <v>45945</v>
      </c>
      <c r="M23" s="20">
        <f t="shared" si="19"/>
        <v>45945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130</v>
      </c>
      <c r="Q23" s="43">
        <f t="shared" si="20"/>
        <v>278</v>
      </c>
      <c r="R23" s="23">
        <f t="shared" si="20"/>
        <v>24</v>
      </c>
      <c r="S23" s="24">
        <f t="shared" si="20"/>
        <v>123</v>
      </c>
      <c r="T23" s="24">
        <f t="shared" si="20"/>
        <v>5</v>
      </c>
      <c r="U23" s="24">
        <f t="shared" si="20"/>
        <v>0</v>
      </c>
      <c r="V23" s="25">
        <f t="shared" si="20"/>
        <v>24</v>
      </c>
      <c r="W23" s="26">
        <f t="shared" si="20"/>
        <v>38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64</v>
      </c>
      <c r="AB23" s="28">
        <f>SUM(AB6:AB22)/15</f>
        <v>0.66666666666666663</v>
      </c>
      <c r="AC23" s="4">
        <f>SUM(AC6:AC22)/15</f>
        <v>0.36111111111111105</v>
      </c>
      <c r="AD23" s="4">
        <f>SUM(AD6:AD22)/15</f>
        <v>0.36111111111111105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311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316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214" t="s">
        <v>46</v>
      </c>
      <c r="D52" s="214" t="s">
        <v>47</v>
      </c>
      <c r="E52" s="214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214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212" t="s">
        <v>211</v>
      </c>
      <c r="D53" s="212" t="s">
        <v>117</v>
      </c>
      <c r="E53" s="212" t="s">
        <v>297</v>
      </c>
      <c r="F53" s="487" t="s">
        <v>120</v>
      </c>
      <c r="G53" s="488"/>
      <c r="H53" s="488"/>
      <c r="I53" s="488"/>
      <c r="J53" s="488"/>
      <c r="K53" s="488"/>
      <c r="L53" s="488"/>
      <c r="M53" s="489"/>
      <c r="N53" s="211" t="s">
        <v>124</v>
      </c>
      <c r="O53" s="209" t="s">
        <v>128</v>
      </c>
      <c r="P53" s="499" t="s">
        <v>136</v>
      </c>
      <c r="Q53" s="500"/>
      <c r="R53" s="486" t="s">
        <v>293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124</v>
      </c>
      <c r="B54" s="486"/>
      <c r="C54" s="212" t="s">
        <v>128</v>
      </c>
      <c r="D54" s="212" t="s">
        <v>136</v>
      </c>
      <c r="E54" s="212" t="s">
        <v>293</v>
      </c>
      <c r="F54" s="487" t="s">
        <v>312</v>
      </c>
      <c r="G54" s="488"/>
      <c r="H54" s="488"/>
      <c r="I54" s="488"/>
      <c r="J54" s="488"/>
      <c r="K54" s="488"/>
      <c r="L54" s="488"/>
      <c r="M54" s="489"/>
      <c r="N54" s="211" t="s">
        <v>130</v>
      </c>
      <c r="O54" s="209" t="s">
        <v>143</v>
      </c>
      <c r="P54" s="499" t="s">
        <v>122</v>
      </c>
      <c r="Q54" s="500"/>
      <c r="R54" s="499" t="s">
        <v>317</v>
      </c>
      <c r="S54" s="501"/>
      <c r="T54" s="501"/>
      <c r="U54" s="500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285</v>
      </c>
      <c r="B55" s="486"/>
      <c r="C55" s="212" t="s">
        <v>210</v>
      </c>
      <c r="D55" s="212"/>
      <c r="E55" s="212" t="s">
        <v>286</v>
      </c>
      <c r="F55" s="487" t="s">
        <v>313</v>
      </c>
      <c r="G55" s="488"/>
      <c r="H55" s="488"/>
      <c r="I55" s="488"/>
      <c r="J55" s="488"/>
      <c r="K55" s="488"/>
      <c r="L55" s="488"/>
      <c r="M55" s="489"/>
      <c r="N55" s="211" t="s">
        <v>130</v>
      </c>
      <c r="O55" s="209" t="s">
        <v>132</v>
      </c>
      <c r="P55" s="499" t="s">
        <v>125</v>
      </c>
      <c r="Q55" s="500"/>
      <c r="R55" s="486" t="s">
        <v>318</v>
      </c>
      <c r="S55" s="486"/>
      <c r="T55" s="486"/>
      <c r="U55" s="486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115</v>
      </c>
      <c r="B56" s="486"/>
      <c r="C56" s="212" t="s">
        <v>291</v>
      </c>
      <c r="D56" s="212"/>
      <c r="E56" s="212" t="s">
        <v>260</v>
      </c>
      <c r="F56" s="487" t="s">
        <v>314</v>
      </c>
      <c r="G56" s="488"/>
      <c r="H56" s="488"/>
      <c r="I56" s="488"/>
      <c r="J56" s="488"/>
      <c r="K56" s="488"/>
      <c r="L56" s="488"/>
      <c r="M56" s="489"/>
      <c r="N56" s="211" t="s">
        <v>114</v>
      </c>
      <c r="O56" s="209" t="s">
        <v>264</v>
      </c>
      <c r="P56" s="499" t="s">
        <v>119</v>
      </c>
      <c r="Q56" s="500"/>
      <c r="R56" s="499" t="s">
        <v>295</v>
      </c>
      <c r="S56" s="501"/>
      <c r="T56" s="501"/>
      <c r="U56" s="500"/>
      <c r="V56" s="476" t="s">
        <v>204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114</v>
      </c>
      <c r="B57" s="486"/>
      <c r="C57" s="212" t="s">
        <v>264</v>
      </c>
      <c r="D57" s="212" t="s">
        <v>125</v>
      </c>
      <c r="E57" s="212" t="s">
        <v>294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211" t="s">
        <v>114</v>
      </c>
      <c r="O57" s="209" t="s">
        <v>143</v>
      </c>
      <c r="P57" s="499" t="s">
        <v>320</v>
      </c>
      <c r="Q57" s="500"/>
      <c r="R57" s="499" t="s">
        <v>319</v>
      </c>
      <c r="S57" s="501"/>
      <c r="T57" s="501"/>
      <c r="U57" s="500"/>
      <c r="V57" s="476" t="s">
        <v>120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114</v>
      </c>
      <c r="B58" s="486"/>
      <c r="C58" s="212" t="s">
        <v>264</v>
      </c>
      <c r="D58" s="212" t="s">
        <v>117</v>
      </c>
      <c r="E58" s="212" t="s">
        <v>295</v>
      </c>
      <c r="F58" s="487" t="s">
        <v>315</v>
      </c>
      <c r="G58" s="488"/>
      <c r="H58" s="488"/>
      <c r="I58" s="488"/>
      <c r="J58" s="488"/>
      <c r="K58" s="488"/>
      <c r="L58" s="488"/>
      <c r="M58" s="489"/>
      <c r="N58" s="211" t="s">
        <v>285</v>
      </c>
      <c r="O58" s="209" t="s">
        <v>210</v>
      </c>
      <c r="P58" s="499"/>
      <c r="Q58" s="500"/>
      <c r="R58" s="486" t="s">
        <v>286</v>
      </c>
      <c r="S58" s="486"/>
      <c r="T58" s="486"/>
      <c r="U58" s="486"/>
      <c r="V58" s="476" t="s">
        <v>204</v>
      </c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114</v>
      </c>
      <c r="B59" s="486"/>
      <c r="C59" s="212" t="s">
        <v>178</v>
      </c>
      <c r="D59" s="212" t="s">
        <v>138</v>
      </c>
      <c r="E59" s="212" t="s">
        <v>296</v>
      </c>
      <c r="F59" s="487" t="s">
        <v>120</v>
      </c>
      <c r="G59" s="488"/>
      <c r="H59" s="488"/>
      <c r="I59" s="488"/>
      <c r="J59" s="488"/>
      <c r="K59" s="488"/>
      <c r="L59" s="488"/>
      <c r="M59" s="489"/>
      <c r="N59" s="211"/>
      <c r="O59" s="209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212"/>
      <c r="D60" s="212"/>
      <c r="E60" s="212"/>
      <c r="F60" s="487"/>
      <c r="G60" s="488"/>
      <c r="H60" s="488"/>
      <c r="I60" s="488"/>
      <c r="J60" s="488"/>
      <c r="K60" s="488"/>
      <c r="L60" s="488"/>
      <c r="M60" s="489"/>
      <c r="N60" s="211"/>
      <c r="O60" s="209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212"/>
      <c r="D61" s="212"/>
      <c r="E61" s="212"/>
      <c r="F61" s="487"/>
      <c r="G61" s="488"/>
      <c r="H61" s="488"/>
      <c r="I61" s="488"/>
      <c r="J61" s="488"/>
      <c r="K61" s="488"/>
      <c r="L61" s="488"/>
      <c r="M61" s="489"/>
      <c r="N61" s="211"/>
      <c r="O61" s="209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213"/>
      <c r="D62" s="213"/>
      <c r="E62" s="213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321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210" t="s">
        <v>2</v>
      </c>
      <c r="D64" s="210" t="s">
        <v>37</v>
      </c>
      <c r="E64" s="210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210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114</v>
      </c>
      <c r="D65" s="205"/>
      <c r="E65" s="208" t="s">
        <v>322</v>
      </c>
      <c r="F65" s="474" t="s">
        <v>323</v>
      </c>
      <c r="G65" s="466"/>
      <c r="H65" s="466"/>
      <c r="I65" s="466"/>
      <c r="J65" s="466"/>
      <c r="K65" s="466" t="s">
        <v>324</v>
      </c>
      <c r="L65" s="466"/>
      <c r="M65" s="51" t="s">
        <v>325</v>
      </c>
      <c r="N65" s="477" t="s">
        <v>143</v>
      </c>
      <c r="O65" s="477"/>
      <c r="P65" s="475" t="s">
        <v>326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 t="s">
        <v>124</v>
      </c>
      <c r="D66" s="205"/>
      <c r="E66" s="208" t="s">
        <v>122</v>
      </c>
      <c r="F66" s="474" t="s">
        <v>327</v>
      </c>
      <c r="G66" s="466"/>
      <c r="H66" s="466"/>
      <c r="I66" s="466"/>
      <c r="J66" s="466"/>
      <c r="K66" s="466" t="s">
        <v>121</v>
      </c>
      <c r="L66" s="466"/>
      <c r="M66" s="51" t="s">
        <v>214</v>
      </c>
      <c r="N66" s="477" t="s">
        <v>178</v>
      </c>
      <c r="O66" s="477"/>
      <c r="P66" s="475">
        <v>50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 t="s">
        <v>124</v>
      </c>
      <c r="D67" s="205"/>
      <c r="E67" s="208" t="s">
        <v>117</v>
      </c>
      <c r="F67" s="474" t="s">
        <v>301</v>
      </c>
      <c r="G67" s="466"/>
      <c r="H67" s="466"/>
      <c r="I67" s="466"/>
      <c r="J67" s="466"/>
      <c r="K67" s="466" t="s">
        <v>274</v>
      </c>
      <c r="L67" s="466"/>
      <c r="M67" s="51" t="s">
        <v>214</v>
      </c>
      <c r="N67" s="477" t="s">
        <v>143</v>
      </c>
      <c r="O67" s="477"/>
      <c r="P67" s="475">
        <v>50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 t="s">
        <v>124</v>
      </c>
      <c r="D68" s="205"/>
      <c r="E68" s="208" t="s">
        <v>117</v>
      </c>
      <c r="F68" s="474" t="s">
        <v>328</v>
      </c>
      <c r="G68" s="466"/>
      <c r="H68" s="466"/>
      <c r="I68" s="466"/>
      <c r="J68" s="466"/>
      <c r="K68" s="466" t="s">
        <v>150</v>
      </c>
      <c r="L68" s="466"/>
      <c r="M68" s="51" t="s">
        <v>280</v>
      </c>
      <c r="N68" s="477" t="s">
        <v>178</v>
      </c>
      <c r="O68" s="477"/>
      <c r="P68" s="475">
        <v>55</v>
      </c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 t="s">
        <v>130</v>
      </c>
      <c r="D69" s="205"/>
      <c r="E69" s="208"/>
      <c r="F69" s="474" t="s">
        <v>215</v>
      </c>
      <c r="G69" s="466"/>
      <c r="H69" s="466"/>
      <c r="I69" s="466"/>
      <c r="J69" s="466"/>
      <c r="K69" s="466" t="s">
        <v>123</v>
      </c>
      <c r="L69" s="466"/>
      <c r="M69" s="51" t="s">
        <v>216</v>
      </c>
      <c r="N69" s="477" t="s">
        <v>178</v>
      </c>
      <c r="O69" s="477"/>
      <c r="P69" s="475" t="s">
        <v>217</v>
      </c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 t="s">
        <v>124</v>
      </c>
      <c r="D70" s="205"/>
      <c r="E70" s="208" t="s">
        <v>138</v>
      </c>
      <c r="F70" s="474" t="s">
        <v>303</v>
      </c>
      <c r="G70" s="466"/>
      <c r="H70" s="466"/>
      <c r="I70" s="466"/>
      <c r="J70" s="466"/>
      <c r="K70" s="466" t="s">
        <v>304</v>
      </c>
      <c r="L70" s="466"/>
      <c r="M70" s="51" t="s">
        <v>214</v>
      </c>
      <c r="N70" s="477" t="s">
        <v>143</v>
      </c>
      <c r="O70" s="477"/>
      <c r="P70" s="475">
        <v>100</v>
      </c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 t="s">
        <v>130</v>
      </c>
      <c r="D71" s="205"/>
      <c r="E71" s="208"/>
      <c r="F71" s="474" t="s">
        <v>229</v>
      </c>
      <c r="G71" s="466"/>
      <c r="H71" s="466"/>
      <c r="I71" s="466"/>
      <c r="J71" s="466"/>
      <c r="K71" s="466" t="s">
        <v>123</v>
      </c>
      <c r="L71" s="466"/>
      <c r="M71" s="51" t="s">
        <v>216</v>
      </c>
      <c r="N71" s="477" t="s">
        <v>178</v>
      </c>
      <c r="O71" s="477"/>
      <c r="P71" s="475" t="s">
        <v>217</v>
      </c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 t="s">
        <v>130</v>
      </c>
      <c r="D72" s="205"/>
      <c r="E72" s="208"/>
      <c r="F72" s="474" t="s">
        <v>231</v>
      </c>
      <c r="G72" s="466"/>
      <c r="H72" s="466"/>
      <c r="I72" s="466"/>
      <c r="J72" s="466"/>
      <c r="K72" s="466" t="s">
        <v>123</v>
      </c>
      <c r="L72" s="466"/>
      <c r="M72" s="51" t="s">
        <v>216</v>
      </c>
      <c r="N72" s="477" t="s">
        <v>178</v>
      </c>
      <c r="O72" s="477"/>
      <c r="P72" s="475" t="s">
        <v>230</v>
      </c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329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207" t="s">
        <v>2</v>
      </c>
      <c r="D74" s="207" t="s">
        <v>37</v>
      </c>
      <c r="E74" s="207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206" t="s">
        <v>114</v>
      </c>
      <c r="D75" s="206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205"/>
      <c r="D76" s="205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1">A76+1</f>
        <v>3</v>
      </c>
      <c r="B77" s="434"/>
      <c r="C77" s="205"/>
      <c r="D77" s="205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4</v>
      </c>
      <c r="B78" s="434"/>
      <c r="C78" s="205"/>
      <c r="D78" s="205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5</v>
      </c>
      <c r="B79" s="434"/>
      <c r="C79" s="205"/>
      <c r="D79" s="205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6</v>
      </c>
      <c r="B80" s="434"/>
      <c r="C80" s="205"/>
      <c r="D80" s="205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7</v>
      </c>
      <c r="B81" s="434"/>
      <c r="C81" s="205"/>
      <c r="D81" s="205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8</v>
      </c>
      <c r="B82" s="434"/>
      <c r="C82" s="205"/>
      <c r="D82" s="205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1"/>
        <v>9</v>
      </c>
      <c r="B83" s="434"/>
      <c r="C83" s="205"/>
      <c r="D83" s="205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330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DE73-E3A1-4B1C-B0A5-619D087CB2D2}">
  <dimension ref="A1:AF88"/>
  <sheetViews>
    <sheetView zoomScale="72" zoomScaleNormal="72" zoomScaleSheetLayoutView="70" workbookViewId="0">
      <selection activeCell="F78" sqref="F78:J7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331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16" t="s">
        <v>17</v>
      </c>
      <c r="L5" s="216" t="s">
        <v>18</v>
      </c>
      <c r="M5" s="216" t="s">
        <v>19</v>
      </c>
      <c r="N5" s="21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19" si="7">AC6*AB6*(1-O6)</f>
        <v>0</v>
      </c>
      <c r="AE6" s="36">
        <f t="shared" ref="AE6:AE22" si="8">$AD$23</f>
        <v>0.52222222222222225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0.52222222222222225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5921</v>
      </c>
      <c r="K8" s="15">
        <f>L8+5138+6028+6101</f>
        <v>23188</v>
      </c>
      <c r="L8" s="15">
        <f>3189+2732</f>
        <v>5921</v>
      </c>
      <c r="M8" s="15">
        <f t="shared" si="1"/>
        <v>5921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0.52222222222222225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5002</v>
      </c>
      <c r="K9" s="15">
        <f>L9+1593+1896+2807+1401+3459+1160+3830+650+1584+2358+4249+584+4731+3038+1149+1391+2345+2572+1276+2512+3429+1210+3718+3141+5112+5426+4833+1883+2918+5569</f>
        <v>86826</v>
      </c>
      <c r="L9" s="15">
        <f>2542+2460</f>
        <v>5002</v>
      </c>
      <c r="M9" s="15">
        <f t="shared" si="1"/>
        <v>5002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0.52222222222222225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136</v>
      </c>
      <c r="E10" s="53" t="s">
        <v>293</v>
      </c>
      <c r="F10" s="30" t="s">
        <v>127</v>
      </c>
      <c r="G10" s="33">
        <v>1</v>
      </c>
      <c r="H10" s="35">
        <v>24</v>
      </c>
      <c r="I10" s="7">
        <v>10000</v>
      </c>
      <c r="J10" s="5">
        <v>1533</v>
      </c>
      <c r="K10" s="15">
        <f>L10+150</f>
        <v>1683</v>
      </c>
      <c r="L10" s="15">
        <v>1533</v>
      </c>
      <c r="M10" s="15">
        <f t="shared" si="1"/>
        <v>1533</v>
      </c>
      <c r="N10" s="15">
        <v>0</v>
      </c>
      <c r="O10" s="58">
        <f t="shared" si="2"/>
        <v>0</v>
      </c>
      <c r="P10" s="39">
        <f t="shared" si="3"/>
        <v>6</v>
      </c>
      <c r="Q10" s="40">
        <f t="shared" si="4"/>
        <v>18</v>
      </c>
      <c r="R10" s="7"/>
      <c r="S10" s="6">
        <v>18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0.25</v>
      </c>
      <c r="AD10" s="10">
        <f>AC10*AB10*(1-O10)</f>
        <v>0.25</v>
      </c>
      <c r="AE10" s="36">
        <f t="shared" si="8"/>
        <v>0.52222222222222225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11" t="s">
        <v>114</v>
      </c>
      <c r="D11" s="52" t="s">
        <v>117</v>
      </c>
      <c r="E11" s="53" t="s">
        <v>118</v>
      </c>
      <c r="F11" s="30" t="s">
        <v>121</v>
      </c>
      <c r="G11" s="33">
        <v>1</v>
      </c>
      <c r="H11" s="35">
        <v>24</v>
      </c>
      <c r="I11" s="7">
        <v>48000</v>
      </c>
      <c r="J11" s="14">
        <v>2220</v>
      </c>
      <c r="K11" s="15">
        <f>L11+4623+4705+5405+1826</f>
        <v>18779</v>
      </c>
      <c r="L11" s="15">
        <v>2220</v>
      </c>
      <c r="M11" s="15">
        <f t="shared" si="1"/>
        <v>2220</v>
      </c>
      <c r="N11" s="15">
        <v>0</v>
      </c>
      <c r="O11" s="58">
        <f t="shared" si="2"/>
        <v>0</v>
      </c>
      <c r="P11" s="39">
        <f t="shared" si="3"/>
        <v>12</v>
      </c>
      <c r="Q11" s="40">
        <f t="shared" si="4"/>
        <v>12</v>
      </c>
      <c r="R11" s="7"/>
      <c r="S11" s="6">
        <v>12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0.5</v>
      </c>
      <c r="AD11" s="10">
        <f t="shared" ref="AD11:AD12" si="10">AC11*AB11*(1-O11)</f>
        <v>0.5</v>
      </c>
      <c r="AE11" s="36">
        <f t="shared" si="8"/>
        <v>0.52222222222222225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117</v>
      </c>
      <c r="E12" s="53" t="s">
        <v>140</v>
      </c>
      <c r="F12" s="30" t="s">
        <v>121</v>
      </c>
      <c r="G12" s="33">
        <v>1</v>
      </c>
      <c r="H12" s="35">
        <v>20</v>
      </c>
      <c r="I12" s="7">
        <v>50000</v>
      </c>
      <c r="J12" s="14">
        <v>4599</v>
      </c>
      <c r="K12" s="15">
        <f>L12+2445+4101+2795+3910+4765+4211+4276+4747+3861+4874+4513+4723+4859</f>
        <v>58679</v>
      </c>
      <c r="L12" s="15">
        <f>2489+2110</f>
        <v>4599</v>
      </c>
      <c r="M12" s="15">
        <f t="shared" si="1"/>
        <v>4599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si="10"/>
        <v>1</v>
      </c>
      <c r="AE12" s="36">
        <f t="shared" si="8"/>
        <v>0.52222222222222225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138</v>
      </c>
      <c r="E13" s="53" t="s">
        <v>296</v>
      </c>
      <c r="F13" s="30" t="s">
        <v>126</v>
      </c>
      <c r="G13" s="33">
        <v>2</v>
      </c>
      <c r="H13" s="35">
        <v>24</v>
      </c>
      <c r="I13" s="7">
        <v>2600</v>
      </c>
      <c r="J13" s="14">
        <v>2132</v>
      </c>
      <c r="K13" s="15">
        <f>L13+734</f>
        <v>2866</v>
      </c>
      <c r="L13" s="15">
        <f>1066*2</f>
        <v>2132</v>
      </c>
      <c r="M13" s="15">
        <f t="shared" si="1"/>
        <v>2132</v>
      </c>
      <c r="N13" s="15">
        <v>0</v>
      </c>
      <c r="O13" s="58">
        <f t="shared" si="2"/>
        <v>0</v>
      </c>
      <c r="P13" s="39">
        <f t="shared" si="3"/>
        <v>5</v>
      </c>
      <c r="Q13" s="40">
        <f t="shared" si="4"/>
        <v>19</v>
      </c>
      <c r="R13" s="7"/>
      <c r="S13" s="6"/>
      <c r="T13" s="16"/>
      <c r="U13" s="16"/>
      <c r="V13" s="17"/>
      <c r="W13" s="5">
        <v>19</v>
      </c>
      <c r="X13" s="16"/>
      <c r="Y13" s="16"/>
      <c r="Z13" s="16"/>
      <c r="AA13" s="18"/>
      <c r="AB13" s="8">
        <f t="shared" si="5"/>
        <v>1</v>
      </c>
      <c r="AC13" s="9">
        <f t="shared" si="6"/>
        <v>0.20833333333333334</v>
      </c>
      <c r="AD13" s="10">
        <f t="shared" si="7"/>
        <v>0.20833333333333334</v>
      </c>
      <c r="AE13" s="36">
        <f t="shared" si="8"/>
        <v>0.52222222222222225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320</v>
      </c>
      <c r="E14" s="53" t="s">
        <v>319</v>
      </c>
      <c r="F14" s="30" t="s">
        <v>123</v>
      </c>
      <c r="G14" s="33">
        <v>1</v>
      </c>
      <c r="H14" s="35">
        <v>24</v>
      </c>
      <c r="I14" s="7">
        <v>1600</v>
      </c>
      <c r="J14" s="14">
        <v>857</v>
      </c>
      <c r="K14" s="15">
        <f>L14</f>
        <v>857</v>
      </c>
      <c r="L14" s="15">
        <v>857</v>
      </c>
      <c r="M14" s="15">
        <f t="shared" ref="M14" si="11">L14-N14</f>
        <v>857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4</v>
      </c>
      <c r="Q14" s="40">
        <f t="shared" ref="Q14" si="14">SUM(R14:AA14)</f>
        <v>20</v>
      </c>
      <c r="R14" s="7"/>
      <c r="S14" s="6"/>
      <c r="T14" s="16"/>
      <c r="U14" s="16"/>
      <c r="V14" s="17"/>
      <c r="W14" s="5">
        <v>20</v>
      </c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0.16666666666666666</v>
      </c>
      <c r="AD14" s="10">
        <f t="shared" ref="AD14" si="17">AC14*AB14*(1-O14)</f>
        <v>0.16666666666666666</v>
      </c>
      <c r="AE14" s="36">
        <f t="shared" si="8"/>
        <v>0.52222222222222225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145</v>
      </c>
      <c r="F15" s="30" t="s">
        <v>148</v>
      </c>
      <c r="G15" s="12">
        <v>1</v>
      </c>
      <c r="H15" s="13">
        <v>45</v>
      </c>
      <c r="I15" s="7">
        <v>1000</v>
      </c>
      <c r="J15" s="5">
        <v>341</v>
      </c>
      <c r="K15" s="15">
        <f>L15+551+341</f>
        <v>892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0.52222222222222225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285</v>
      </c>
      <c r="D16" s="52"/>
      <c r="E16" s="53" t="s">
        <v>286</v>
      </c>
      <c r="F16" s="12" t="s">
        <v>287</v>
      </c>
      <c r="G16" s="12" t="s">
        <v>197</v>
      </c>
      <c r="H16" s="13">
        <v>24</v>
      </c>
      <c r="I16" s="31">
        <v>20000</v>
      </c>
      <c r="J16" s="14">
        <v>3216</v>
      </c>
      <c r="K16" s="15">
        <f>L16</f>
        <v>3216</v>
      </c>
      <c r="L16" s="15">
        <f>2826+390</f>
        <v>3216</v>
      </c>
      <c r="M16" s="15">
        <f t="shared" si="1"/>
        <v>3216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0.52222222222222225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117</v>
      </c>
      <c r="E17" s="53" t="s">
        <v>295</v>
      </c>
      <c r="F17" s="30" t="s">
        <v>126</v>
      </c>
      <c r="G17" s="12">
        <v>1</v>
      </c>
      <c r="H17" s="13">
        <v>28</v>
      </c>
      <c r="I17" s="7">
        <v>1300</v>
      </c>
      <c r="J17" s="14">
        <v>1919</v>
      </c>
      <c r="K17" s="15">
        <f>L17+815</f>
        <v>2734</v>
      </c>
      <c r="L17" s="15">
        <v>1919</v>
      </c>
      <c r="M17" s="15">
        <f t="shared" si="1"/>
        <v>1919</v>
      </c>
      <c r="N17" s="15">
        <v>0</v>
      </c>
      <c r="O17" s="58">
        <f t="shared" si="2"/>
        <v>0</v>
      </c>
      <c r="P17" s="39">
        <f t="shared" si="3"/>
        <v>11</v>
      </c>
      <c r="Q17" s="40">
        <f t="shared" si="4"/>
        <v>13</v>
      </c>
      <c r="R17" s="7"/>
      <c r="S17" s="6">
        <v>13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0.45833333333333331</v>
      </c>
      <c r="AD17" s="10">
        <f t="shared" si="7"/>
        <v>0.45833333333333331</v>
      </c>
      <c r="AE17" s="36">
        <f t="shared" si="8"/>
        <v>0.52222222222222225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130</v>
      </c>
      <c r="D18" s="52" t="s">
        <v>125</v>
      </c>
      <c r="E18" s="53" t="s">
        <v>318</v>
      </c>
      <c r="F18" s="30" t="s">
        <v>137</v>
      </c>
      <c r="G18" s="33">
        <v>1</v>
      </c>
      <c r="H18" s="35">
        <v>20</v>
      </c>
      <c r="I18" s="7">
        <v>30000</v>
      </c>
      <c r="J18" s="14">
        <v>19668</v>
      </c>
      <c r="K18" s="15">
        <f>L18</f>
        <v>19668</v>
      </c>
      <c r="L18" s="15">
        <f>1830*4+3087*4</f>
        <v>19668</v>
      </c>
      <c r="M18" s="15">
        <f t="shared" si="1"/>
        <v>19668</v>
      </c>
      <c r="N18" s="15">
        <v>0</v>
      </c>
      <c r="O18" s="58">
        <f t="shared" si="2"/>
        <v>0</v>
      </c>
      <c r="P18" s="39">
        <f t="shared" si="3"/>
        <v>22</v>
      </c>
      <c r="Q18" s="40">
        <f t="shared" si="4"/>
        <v>2</v>
      </c>
      <c r="R18" s="7"/>
      <c r="S18" s="6"/>
      <c r="T18" s="16">
        <v>2</v>
      </c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0.91666666666666663</v>
      </c>
      <c r="AD18" s="10">
        <f t="shared" si="7"/>
        <v>0.91666666666666663</v>
      </c>
      <c r="AE18" s="36">
        <f t="shared" si="8"/>
        <v>0.52222222222222225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114</v>
      </c>
      <c r="D19" s="52" t="s">
        <v>320</v>
      </c>
      <c r="E19" s="53" t="s">
        <v>319</v>
      </c>
      <c r="F19" s="30" t="s">
        <v>123</v>
      </c>
      <c r="G19" s="33">
        <v>1</v>
      </c>
      <c r="H19" s="35">
        <v>24</v>
      </c>
      <c r="I19" s="7">
        <v>1600</v>
      </c>
      <c r="J19" s="14">
        <v>120</v>
      </c>
      <c r="K19" s="15">
        <f>L19</f>
        <v>120</v>
      </c>
      <c r="L19" s="15">
        <v>120</v>
      </c>
      <c r="M19" s="15">
        <f t="shared" si="1"/>
        <v>120</v>
      </c>
      <c r="N19" s="15">
        <v>0</v>
      </c>
      <c r="O19" s="58">
        <f t="shared" si="2"/>
        <v>0</v>
      </c>
      <c r="P19" s="39">
        <f t="shared" si="3"/>
        <v>2</v>
      </c>
      <c r="Q19" s="40">
        <f t="shared" si="4"/>
        <v>22</v>
      </c>
      <c r="R19" s="7"/>
      <c r="S19" s="6"/>
      <c r="T19" s="16"/>
      <c r="U19" s="16"/>
      <c r="V19" s="17"/>
      <c r="W19" s="5">
        <v>22</v>
      </c>
      <c r="X19" s="16"/>
      <c r="Y19" s="16"/>
      <c r="Z19" s="16"/>
      <c r="AA19" s="18"/>
      <c r="AB19" s="8">
        <f t="shared" si="5"/>
        <v>1</v>
      </c>
      <c r="AC19" s="9">
        <f t="shared" si="6"/>
        <v>8.3333333333333329E-2</v>
      </c>
      <c r="AD19" s="10">
        <f t="shared" si="7"/>
        <v>8.3333333333333329E-2</v>
      </c>
      <c r="AE19" s="36">
        <f t="shared" si="8"/>
        <v>0.52222222222222225</v>
      </c>
      <c r="AF19" s="87">
        <f t="shared" si="9"/>
        <v>13</v>
      </c>
    </row>
    <row r="20" spans="1:32" ht="27" customHeight="1">
      <c r="A20" s="103">
        <v>13</v>
      </c>
      <c r="B20" s="11" t="s">
        <v>57</v>
      </c>
      <c r="C20" s="11" t="s">
        <v>130</v>
      </c>
      <c r="D20" s="52" t="s">
        <v>122</v>
      </c>
      <c r="E20" s="53" t="s">
        <v>317</v>
      </c>
      <c r="F20" s="30" t="s">
        <v>135</v>
      </c>
      <c r="G20" s="33">
        <v>1</v>
      </c>
      <c r="H20" s="35">
        <v>24</v>
      </c>
      <c r="I20" s="7">
        <v>30000</v>
      </c>
      <c r="J20" s="14">
        <v>13264</v>
      </c>
      <c r="K20" s="15">
        <f>L20</f>
        <v>13264</v>
      </c>
      <c r="L20" s="15">
        <f>2881*4+870*2</f>
        <v>13264</v>
      </c>
      <c r="M20" s="15">
        <f t="shared" ref="M20" si="19">L20-N20</f>
        <v>13264</v>
      </c>
      <c r="N20" s="15">
        <v>0</v>
      </c>
      <c r="O20" s="58">
        <f t="shared" ref="O20" si="20">IF(L20=0,"0",N20/L20)</f>
        <v>0</v>
      </c>
      <c r="P20" s="39">
        <f t="shared" ref="P20" si="21">IF(L20=0,"0",(24-Q20))</f>
        <v>18</v>
      </c>
      <c r="Q20" s="40">
        <f t="shared" ref="Q20" si="22">SUM(R20:AA20)</f>
        <v>6</v>
      </c>
      <c r="R20" s="7"/>
      <c r="S20" s="6"/>
      <c r="T20" s="16">
        <v>6</v>
      </c>
      <c r="U20" s="16"/>
      <c r="V20" s="17"/>
      <c r="W20" s="5"/>
      <c r="X20" s="16"/>
      <c r="Y20" s="16"/>
      <c r="Z20" s="16"/>
      <c r="AA20" s="18"/>
      <c r="AB20" s="8">
        <f t="shared" ref="AB20" si="23">IF(J20=0,"0",(L20/J20))</f>
        <v>1</v>
      </c>
      <c r="AC20" s="9">
        <f t="shared" ref="AC20" si="24">IF(P20=0,"0",(P20/24))</f>
        <v>0.75</v>
      </c>
      <c r="AD20" s="10">
        <f t="shared" ref="AD20" si="25">AC20*AB20*(1-O20)</f>
        <v>0.75</v>
      </c>
      <c r="AE20" s="36">
        <f t="shared" si="8"/>
        <v>0.52222222222222225</v>
      </c>
      <c r="AF20" s="87">
        <f t="shared" ref="AF20" si="26">A20</f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297</v>
      </c>
      <c r="F21" s="30" t="s">
        <v>121</v>
      </c>
      <c r="G21" s="33">
        <v>1</v>
      </c>
      <c r="H21" s="35">
        <v>24</v>
      </c>
      <c r="I21" s="7">
        <v>60000</v>
      </c>
      <c r="J21" s="14">
        <v>4864</v>
      </c>
      <c r="K21" s="15">
        <f>L21+4692</f>
        <v>9556</v>
      </c>
      <c r="L21" s="15">
        <f>2252+2612</f>
        <v>4864</v>
      </c>
      <c r="M21" s="15">
        <f t="shared" si="1"/>
        <v>4864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ref="AD21:AD22" si="27">AC21*AB21*(1-O21)</f>
        <v>1</v>
      </c>
      <c r="AE21" s="36">
        <f t="shared" si="8"/>
        <v>0.52222222222222225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260</v>
      </c>
      <c r="F22" s="12" t="s">
        <v>116</v>
      </c>
      <c r="G22" s="12">
        <v>3</v>
      </c>
      <c r="H22" s="35">
        <v>20</v>
      </c>
      <c r="I22" s="7">
        <v>500000</v>
      </c>
      <c r="J22" s="14">
        <v>42868</v>
      </c>
      <c r="K22" s="15">
        <f>L22</f>
        <v>0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>
        <v>24</v>
      </c>
      <c r="T22" s="16"/>
      <c r="U22" s="16"/>
      <c r="V22" s="17"/>
      <c r="W22" s="5"/>
      <c r="X22" s="16"/>
      <c r="Y22" s="16"/>
      <c r="Z22" s="16"/>
      <c r="AA22" s="18"/>
      <c r="AB22" s="8">
        <f t="shared" si="5"/>
        <v>0</v>
      </c>
      <c r="AC22" s="9">
        <f t="shared" si="6"/>
        <v>0</v>
      </c>
      <c r="AD22" s="10">
        <f t="shared" si="27"/>
        <v>0</v>
      </c>
      <c r="AE22" s="36">
        <f t="shared" si="8"/>
        <v>0.52222222222222225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28">SUM(I6:I22)</f>
        <v>845100</v>
      </c>
      <c r="J23" s="19">
        <f t="shared" si="28"/>
        <v>110585</v>
      </c>
      <c r="K23" s="20">
        <f t="shared" si="28"/>
        <v>253876</v>
      </c>
      <c r="L23" s="21">
        <f t="shared" si="28"/>
        <v>65315</v>
      </c>
      <c r="M23" s="20">
        <f t="shared" si="28"/>
        <v>65315</v>
      </c>
      <c r="N23" s="21">
        <f t="shared" si="28"/>
        <v>0</v>
      </c>
      <c r="O23" s="41">
        <f t="shared" si="2"/>
        <v>0</v>
      </c>
      <c r="P23" s="42">
        <f t="shared" ref="P23:AA23" si="29">SUM(P6:P22)</f>
        <v>188</v>
      </c>
      <c r="Q23" s="43">
        <f t="shared" si="29"/>
        <v>220</v>
      </c>
      <c r="R23" s="23">
        <f t="shared" si="29"/>
        <v>24</v>
      </c>
      <c r="S23" s="24">
        <f t="shared" si="29"/>
        <v>103</v>
      </c>
      <c r="T23" s="24">
        <f t="shared" si="29"/>
        <v>8</v>
      </c>
      <c r="U23" s="24">
        <f t="shared" si="29"/>
        <v>0</v>
      </c>
      <c r="V23" s="25">
        <f t="shared" si="29"/>
        <v>24</v>
      </c>
      <c r="W23" s="26">
        <f t="shared" si="29"/>
        <v>61</v>
      </c>
      <c r="X23" s="27">
        <f t="shared" si="29"/>
        <v>0</v>
      </c>
      <c r="Y23" s="27">
        <f t="shared" si="29"/>
        <v>0</v>
      </c>
      <c r="Z23" s="27">
        <f t="shared" si="29"/>
        <v>0</v>
      </c>
      <c r="AA23" s="27">
        <f t="shared" si="29"/>
        <v>0</v>
      </c>
      <c r="AB23" s="28">
        <f>SUM(AB6:AB22)/15</f>
        <v>0.8666666666666667</v>
      </c>
      <c r="AC23" s="4">
        <f>SUM(AC6:AC22)/15</f>
        <v>0.52222222222222225</v>
      </c>
      <c r="AD23" s="4">
        <f>SUM(AD6:AD22)/15</f>
        <v>0.52222222222222225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332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336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217" t="s">
        <v>46</v>
      </c>
      <c r="D52" s="217" t="s">
        <v>47</v>
      </c>
      <c r="E52" s="217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217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219" t="s">
        <v>144</v>
      </c>
      <c r="D53" s="219" t="s">
        <v>136</v>
      </c>
      <c r="E53" s="219" t="s">
        <v>146</v>
      </c>
      <c r="F53" s="487" t="s">
        <v>200</v>
      </c>
      <c r="G53" s="488"/>
      <c r="H53" s="488"/>
      <c r="I53" s="488"/>
      <c r="J53" s="488"/>
      <c r="K53" s="488"/>
      <c r="L53" s="488"/>
      <c r="M53" s="489"/>
      <c r="N53" s="218" t="s">
        <v>124</v>
      </c>
      <c r="O53" s="223" t="s">
        <v>128</v>
      </c>
      <c r="P53" s="499" t="s">
        <v>136</v>
      </c>
      <c r="Q53" s="500"/>
      <c r="R53" s="486" t="s">
        <v>293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124</v>
      </c>
      <c r="B54" s="486"/>
      <c r="C54" s="219" t="s">
        <v>128</v>
      </c>
      <c r="D54" s="219" t="s">
        <v>136</v>
      </c>
      <c r="E54" s="219" t="s">
        <v>293</v>
      </c>
      <c r="F54" s="487" t="s">
        <v>333</v>
      </c>
      <c r="G54" s="488"/>
      <c r="H54" s="488"/>
      <c r="I54" s="488"/>
      <c r="J54" s="488"/>
      <c r="K54" s="488"/>
      <c r="L54" s="488"/>
      <c r="M54" s="489"/>
      <c r="N54" s="218" t="s">
        <v>114</v>
      </c>
      <c r="O54" s="223" t="s">
        <v>178</v>
      </c>
      <c r="P54" s="499" t="s">
        <v>320</v>
      </c>
      <c r="Q54" s="500"/>
      <c r="R54" s="499" t="s">
        <v>319</v>
      </c>
      <c r="S54" s="501"/>
      <c r="T54" s="501"/>
      <c r="U54" s="500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285</v>
      </c>
      <c r="B55" s="486"/>
      <c r="C55" s="219" t="s">
        <v>210</v>
      </c>
      <c r="D55" s="219"/>
      <c r="E55" s="219" t="s">
        <v>286</v>
      </c>
      <c r="F55" s="487" t="s">
        <v>334</v>
      </c>
      <c r="G55" s="488"/>
      <c r="H55" s="488"/>
      <c r="I55" s="488"/>
      <c r="J55" s="488"/>
      <c r="K55" s="488"/>
      <c r="L55" s="488"/>
      <c r="M55" s="489"/>
      <c r="N55" s="218" t="s">
        <v>114</v>
      </c>
      <c r="O55" s="223" t="s">
        <v>134</v>
      </c>
      <c r="P55" s="499" t="s">
        <v>117</v>
      </c>
      <c r="Q55" s="500"/>
      <c r="R55" s="486" t="s">
        <v>118</v>
      </c>
      <c r="S55" s="486"/>
      <c r="T55" s="486"/>
      <c r="U55" s="486"/>
      <c r="V55" s="476" t="s">
        <v>204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219" t="s">
        <v>264</v>
      </c>
      <c r="D56" s="219" t="s">
        <v>117</v>
      </c>
      <c r="E56" s="219" t="s">
        <v>295</v>
      </c>
      <c r="F56" s="487" t="s">
        <v>200</v>
      </c>
      <c r="G56" s="488"/>
      <c r="H56" s="488"/>
      <c r="I56" s="488"/>
      <c r="J56" s="488"/>
      <c r="K56" s="488"/>
      <c r="L56" s="488"/>
      <c r="M56" s="489"/>
      <c r="N56" s="218"/>
      <c r="O56" s="223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114</v>
      </c>
      <c r="B57" s="486"/>
      <c r="C57" s="219" t="s">
        <v>178</v>
      </c>
      <c r="D57" s="219" t="s">
        <v>320</v>
      </c>
      <c r="E57" s="219" t="s">
        <v>319</v>
      </c>
      <c r="F57" s="487" t="s">
        <v>335</v>
      </c>
      <c r="G57" s="488"/>
      <c r="H57" s="488"/>
      <c r="I57" s="488"/>
      <c r="J57" s="488"/>
      <c r="K57" s="488"/>
      <c r="L57" s="488"/>
      <c r="M57" s="489"/>
      <c r="N57" s="218"/>
      <c r="O57" s="223"/>
      <c r="P57" s="499"/>
      <c r="Q57" s="500"/>
      <c r="R57" s="499"/>
      <c r="S57" s="501"/>
      <c r="T57" s="501"/>
      <c r="U57" s="500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130</v>
      </c>
      <c r="B58" s="486"/>
      <c r="C58" s="219" t="s">
        <v>143</v>
      </c>
      <c r="D58" s="219" t="s">
        <v>122</v>
      </c>
      <c r="E58" s="219" t="s">
        <v>317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218"/>
      <c r="O58" s="223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130</v>
      </c>
      <c r="B59" s="486"/>
      <c r="C59" s="219" t="s">
        <v>132</v>
      </c>
      <c r="D59" s="219" t="s">
        <v>125</v>
      </c>
      <c r="E59" s="219" t="s">
        <v>318</v>
      </c>
      <c r="F59" s="487" t="s">
        <v>120</v>
      </c>
      <c r="G59" s="488"/>
      <c r="H59" s="488"/>
      <c r="I59" s="488"/>
      <c r="J59" s="488"/>
      <c r="K59" s="488"/>
      <c r="L59" s="488"/>
      <c r="M59" s="489"/>
      <c r="N59" s="218"/>
      <c r="O59" s="223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114</v>
      </c>
      <c r="B60" s="486"/>
      <c r="C60" s="219" t="s">
        <v>149</v>
      </c>
      <c r="D60" s="219" t="s">
        <v>117</v>
      </c>
      <c r="E60" s="219" t="s">
        <v>118</v>
      </c>
      <c r="F60" s="487" t="s">
        <v>337</v>
      </c>
      <c r="G60" s="488"/>
      <c r="H60" s="488"/>
      <c r="I60" s="488"/>
      <c r="J60" s="488"/>
      <c r="K60" s="488"/>
      <c r="L60" s="488"/>
      <c r="M60" s="489"/>
      <c r="N60" s="218"/>
      <c r="O60" s="223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219"/>
      <c r="D61" s="219"/>
      <c r="E61" s="219"/>
      <c r="F61" s="487"/>
      <c r="G61" s="488"/>
      <c r="H61" s="488"/>
      <c r="I61" s="488"/>
      <c r="J61" s="488"/>
      <c r="K61" s="488"/>
      <c r="L61" s="488"/>
      <c r="M61" s="489"/>
      <c r="N61" s="218"/>
      <c r="O61" s="223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220"/>
      <c r="D62" s="220"/>
      <c r="E62" s="220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338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221" t="s">
        <v>2</v>
      </c>
      <c r="D64" s="221" t="s">
        <v>37</v>
      </c>
      <c r="E64" s="221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221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/>
      <c r="D65" s="225"/>
      <c r="E65" s="222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/>
      <c r="D66" s="225"/>
      <c r="E66" s="222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/>
      <c r="D67" s="225"/>
      <c r="E67" s="222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/>
      <c r="D68" s="225"/>
      <c r="E68" s="222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/>
      <c r="D69" s="225"/>
      <c r="E69" s="222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/>
      <c r="D70" s="225"/>
      <c r="E70" s="222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/>
      <c r="D71" s="225"/>
      <c r="E71" s="222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225"/>
      <c r="E72" s="222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339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224" t="s">
        <v>2</v>
      </c>
      <c r="D74" s="224" t="s">
        <v>37</v>
      </c>
      <c r="E74" s="224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226" t="s">
        <v>114</v>
      </c>
      <c r="D75" s="226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225"/>
      <c r="D76" s="225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30">A76+1</f>
        <v>3</v>
      </c>
      <c r="B77" s="434"/>
      <c r="C77" s="225"/>
      <c r="D77" s="225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30"/>
        <v>4</v>
      </c>
      <c r="B78" s="434"/>
      <c r="C78" s="225"/>
      <c r="D78" s="225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30"/>
        <v>5</v>
      </c>
      <c r="B79" s="434"/>
      <c r="C79" s="225"/>
      <c r="D79" s="225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30"/>
        <v>6</v>
      </c>
      <c r="B80" s="434"/>
      <c r="C80" s="225"/>
      <c r="D80" s="225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30"/>
        <v>7</v>
      </c>
      <c r="B81" s="434"/>
      <c r="C81" s="225"/>
      <c r="D81" s="225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30"/>
        <v>8</v>
      </c>
      <c r="B82" s="434"/>
      <c r="C82" s="225"/>
      <c r="D82" s="225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30"/>
        <v>9</v>
      </c>
      <c r="B83" s="434"/>
      <c r="C83" s="225"/>
      <c r="D83" s="225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340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5787-4FDD-49CF-8800-8F615896AAC2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341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37" t="s">
        <v>17</v>
      </c>
      <c r="L5" s="237" t="s">
        <v>18</v>
      </c>
      <c r="M5" s="237" t="s">
        <v>19</v>
      </c>
      <c r="N5" s="237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0.51944444444444438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0.51944444444444438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6078</v>
      </c>
      <c r="K8" s="15">
        <f>L8+5138+6028+6101+5921</f>
        <v>29266</v>
      </c>
      <c r="L8" s="15">
        <f>3150+2928</f>
        <v>6078</v>
      </c>
      <c r="M8" s="15">
        <f t="shared" si="1"/>
        <v>6078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0.51944444444444438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4681</v>
      </c>
      <c r="K9" s="15">
        <f>L9+1593+1896+2807+1401+3459+1160+3830+650+1584+2358+4249+584+4731+3038+1149+1391+2345+2572+1276+2512+3429+1210+3718+3141+5112+5426+4833+1883+2918+5569+5002</f>
        <v>91507</v>
      </c>
      <c r="L9" s="15">
        <f>2362+2319</f>
        <v>4681</v>
      </c>
      <c r="M9" s="15">
        <f t="shared" si="1"/>
        <v>4681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0.51944444444444438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6000</v>
      </c>
      <c r="J10" s="5">
        <v>2135</v>
      </c>
      <c r="K10" s="15">
        <f>L10</f>
        <v>2135</v>
      </c>
      <c r="L10" s="15">
        <f>2135</f>
        <v>2135</v>
      </c>
      <c r="M10" s="15">
        <f t="shared" si="1"/>
        <v>2135</v>
      </c>
      <c r="N10" s="15">
        <v>0</v>
      </c>
      <c r="O10" s="58">
        <f t="shared" si="2"/>
        <v>0</v>
      </c>
      <c r="P10" s="39">
        <f t="shared" si="3"/>
        <v>11</v>
      </c>
      <c r="Q10" s="40">
        <f t="shared" si="4"/>
        <v>13</v>
      </c>
      <c r="R10" s="7"/>
      <c r="S10" s="6"/>
      <c r="T10" s="16">
        <v>13</v>
      </c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0.45833333333333331</v>
      </c>
      <c r="AD10" s="10">
        <f>AC10*AB10*(1-O10)</f>
        <v>0.45833333333333331</v>
      </c>
      <c r="AE10" s="36">
        <f t="shared" si="8"/>
        <v>0.51944444444444438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136</v>
      </c>
      <c r="E11" s="53" t="s">
        <v>293</v>
      </c>
      <c r="F11" s="30" t="s">
        <v>127</v>
      </c>
      <c r="G11" s="33">
        <v>1</v>
      </c>
      <c r="H11" s="35">
        <v>24</v>
      </c>
      <c r="I11" s="7">
        <v>10000</v>
      </c>
      <c r="J11" s="5">
        <v>1067</v>
      </c>
      <c r="K11" s="15">
        <f>L11</f>
        <v>1067</v>
      </c>
      <c r="L11" s="15">
        <v>1067</v>
      </c>
      <c r="M11" s="15">
        <f t="shared" ref="M11" si="10">L11-N11</f>
        <v>1067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5</v>
      </c>
      <c r="Q11" s="40">
        <f t="shared" ref="Q11" si="13">SUM(R11:AA11)</f>
        <v>19</v>
      </c>
      <c r="R11" s="7"/>
      <c r="S11" s="6">
        <v>19</v>
      </c>
      <c r="T11" s="16"/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0.20833333333333334</v>
      </c>
      <c r="AD11" s="10">
        <f>AC11*AB11*(1-O11)</f>
        <v>0.20833333333333334</v>
      </c>
      <c r="AE11" s="36">
        <f t="shared" si="8"/>
        <v>0.51944444444444438</v>
      </c>
      <c r="AF11" s="87">
        <f t="shared" ref="AF11" si="16">A11</f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3415</v>
      </c>
      <c r="K12" s="15">
        <f>L12+4623+4705+5405+1826+2220</f>
        <v>22194</v>
      </c>
      <c r="L12" s="15">
        <f>845+2570</f>
        <v>3415</v>
      </c>
      <c r="M12" s="15">
        <f t="shared" si="1"/>
        <v>3415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ref="AD12" si="17">AC12*AB12*(1-O12)</f>
        <v>0.75</v>
      </c>
      <c r="AE12" s="36">
        <f t="shared" si="8"/>
        <v>0.51944444444444438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342</v>
      </c>
      <c r="E13" s="53" t="s">
        <v>343</v>
      </c>
      <c r="F13" s="30" t="s">
        <v>344</v>
      </c>
      <c r="G13" s="33">
        <v>1</v>
      </c>
      <c r="H13" s="35">
        <v>24</v>
      </c>
      <c r="I13" s="7">
        <v>4000</v>
      </c>
      <c r="J13" s="14">
        <v>1073</v>
      </c>
      <c r="K13" s="15">
        <f>L13</f>
        <v>1073</v>
      </c>
      <c r="L13" s="15">
        <v>1073</v>
      </c>
      <c r="M13" s="15">
        <f t="shared" si="1"/>
        <v>1073</v>
      </c>
      <c r="N13" s="15">
        <v>0</v>
      </c>
      <c r="O13" s="58">
        <f t="shared" si="2"/>
        <v>0</v>
      </c>
      <c r="P13" s="39">
        <f t="shared" si="3"/>
        <v>7</v>
      </c>
      <c r="Q13" s="40">
        <f t="shared" si="4"/>
        <v>17</v>
      </c>
      <c r="R13" s="7"/>
      <c r="S13" s="6"/>
      <c r="T13" s="16">
        <v>17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0.29166666666666669</v>
      </c>
      <c r="AD13" s="10">
        <f t="shared" si="7"/>
        <v>0.29166666666666669</v>
      </c>
      <c r="AE13" s="36">
        <f t="shared" si="8"/>
        <v>0.51944444444444438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114</v>
      </c>
      <c r="D14" s="52" t="s">
        <v>117</v>
      </c>
      <c r="E14" s="53" t="s">
        <v>145</v>
      </c>
      <c r="F14" s="30" t="s">
        <v>148</v>
      </c>
      <c r="G14" s="12">
        <v>1</v>
      </c>
      <c r="H14" s="13">
        <v>45</v>
      </c>
      <c r="I14" s="7">
        <v>1000</v>
      </c>
      <c r="J14" s="5">
        <v>341</v>
      </c>
      <c r="K14" s="15">
        <f>L14+551+341</f>
        <v>892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0.51944444444444438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20000</v>
      </c>
      <c r="J15" s="14">
        <v>6251</v>
      </c>
      <c r="K15" s="15">
        <f>L15+3216</f>
        <v>9467</v>
      </c>
      <c r="L15" s="15">
        <f>3272+2979</f>
        <v>6251</v>
      </c>
      <c r="M15" s="15">
        <f t="shared" si="1"/>
        <v>6251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0.51944444444444438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117</v>
      </c>
      <c r="E16" s="53" t="s">
        <v>295</v>
      </c>
      <c r="F16" s="30" t="s">
        <v>126</v>
      </c>
      <c r="G16" s="12">
        <v>1</v>
      </c>
      <c r="H16" s="13">
        <v>28</v>
      </c>
      <c r="I16" s="7">
        <v>1300</v>
      </c>
      <c r="J16" s="14">
        <v>1919</v>
      </c>
      <c r="K16" s="15">
        <f>L16+815+1919</f>
        <v>2734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/>
      <c r="X16" s="16"/>
      <c r="Y16" s="16"/>
      <c r="Z16" s="16"/>
      <c r="AA16" s="18">
        <v>24</v>
      </c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0.51944444444444438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130</v>
      </c>
      <c r="D17" s="52" t="s">
        <v>125</v>
      </c>
      <c r="E17" s="53" t="s">
        <v>318</v>
      </c>
      <c r="F17" s="30" t="s">
        <v>137</v>
      </c>
      <c r="G17" s="33">
        <v>1</v>
      </c>
      <c r="H17" s="35">
        <v>20</v>
      </c>
      <c r="I17" s="7">
        <v>30000</v>
      </c>
      <c r="J17" s="14">
        <v>11296</v>
      </c>
      <c r="K17" s="15">
        <f>L17+19668</f>
        <v>30964</v>
      </c>
      <c r="L17" s="15">
        <f>2824*4</f>
        <v>11296</v>
      </c>
      <c r="M17" s="15">
        <f t="shared" si="1"/>
        <v>11296</v>
      </c>
      <c r="N17" s="15">
        <v>0</v>
      </c>
      <c r="O17" s="58">
        <f t="shared" si="2"/>
        <v>0</v>
      </c>
      <c r="P17" s="39">
        <f t="shared" si="3"/>
        <v>14</v>
      </c>
      <c r="Q17" s="40">
        <f t="shared" si="4"/>
        <v>10</v>
      </c>
      <c r="R17" s="7"/>
      <c r="S17" s="6"/>
      <c r="T17" s="16"/>
      <c r="U17" s="16"/>
      <c r="V17" s="17"/>
      <c r="W17" s="5">
        <v>10</v>
      </c>
      <c r="X17" s="16"/>
      <c r="Y17" s="16"/>
      <c r="Z17" s="16"/>
      <c r="AA17" s="18"/>
      <c r="AB17" s="8">
        <f t="shared" si="5"/>
        <v>1</v>
      </c>
      <c r="AC17" s="9">
        <f t="shared" si="6"/>
        <v>0.58333333333333337</v>
      </c>
      <c r="AD17" s="10">
        <f t="shared" si="7"/>
        <v>0.58333333333333337</v>
      </c>
      <c r="AE17" s="36">
        <f t="shared" si="8"/>
        <v>0.51944444444444438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130</v>
      </c>
      <c r="D18" s="52" t="s">
        <v>122</v>
      </c>
      <c r="E18" s="53" t="s">
        <v>317</v>
      </c>
      <c r="F18" s="30" t="s">
        <v>135</v>
      </c>
      <c r="G18" s="33">
        <v>1</v>
      </c>
      <c r="H18" s="35">
        <v>24</v>
      </c>
      <c r="I18" s="7">
        <v>30000</v>
      </c>
      <c r="J18" s="14">
        <v>11064</v>
      </c>
      <c r="K18" s="15">
        <f>L18+13264</f>
        <v>24328</v>
      </c>
      <c r="L18" s="15">
        <f>2656*2+2876*2</f>
        <v>11064</v>
      </c>
      <c r="M18" s="15">
        <f t="shared" si="1"/>
        <v>11064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0.51944444444444438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297</v>
      </c>
      <c r="F19" s="30" t="s">
        <v>121</v>
      </c>
      <c r="G19" s="33">
        <v>1</v>
      </c>
      <c r="H19" s="35">
        <v>24</v>
      </c>
      <c r="I19" s="7">
        <v>60000</v>
      </c>
      <c r="J19" s="14">
        <v>4990</v>
      </c>
      <c r="K19" s="15">
        <f>L19+4692+4864</f>
        <v>14546</v>
      </c>
      <c r="L19" s="15">
        <f>2585+2405</f>
        <v>4990</v>
      </c>
      <c r="M19" s="15">
        <f t="shared" si="1"/>
        <v>4990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0.51944444444444438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345</v>
      </c>
      <c r="F20" s="12" t="s">
        <v>116</v>
      </c>
      <c r="G20" s="12">
        <v>4</v>
      </c>
      <c r="H20" s="35">
        <v>20</v>
      </c>
      <c r="I20" s="7">
        <v>100000</v>
      </c>
      <c r="J20" s="14">
        <v>38096</v>
      </c>
      <c r="K20" s="15">
        <f>L20</f>
        <v>38096</v>
      </c>
      <c r="L20" s="15">
        <f>9524*4</f>
        <v>38096</v>
      </c>
      <c r="M20" s="15">
        <f t="shared" si="1"/>
        <v>38096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>
        <v>10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 t="shared" si="8"/>
        <v>0.51944444444444438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8">SUM(I6:I20)</f>
        <v>399300</v>
      </c>
      <c r="J21" s="19">
        <f t="shared" si="18"/>
        <v>94467</v>
      </c>
      <c r="K21" s="20">
        <f t="shared" si="18"/>
        <v>279817</v>
      </c>
      <c r="L21" s="21">
        <f t="shared" si="18"/>
        <v>90146</v>
      </c>
      <c r="M21" s="20">
        <f t="shared" si="18"/>
        <v>90146</v>
      </c>
      <c r="N21" s="21">
        <f t="shared" si="18"/>
        <v>0</v>
      </c>
      <c r="O21" s="41">
        <f t="shared" si="2"/>
        <v>0</v>
      </c>
      <c r="P21" s="42">
        <f t="shared" ref="P21:AA21" si="19">SUM(P6:P20)</f>
        <v>187</v>
      </c>
      <c r="Q21" s="43">
        <f t="shared" si="19"/>
        <v>173</v>
      </c>
      <c r="R21" s="23">
        <f t="shared" si="19"/>
        <v>24</v>
      </c>
      <c r="S21" s="24">
        <f t="shared" si="19"/>
        <v>51</v>
      </c>
      <c r="T21" s="24">
        <f t="shared" si="19"/>
        <v>40</v>
      </c>
      <c r="U21" s="24">
        <f t="shared" si="19"/>
        <v>0</v>
      </c>
      <c r="V21" s="25">
        <f t="shared" si="19"/>
        <v>24</v>
      </c>
      <c r="W21" s="26">
        <f t="shared" si="19"/>
        <v>10</v>
      </c>
      <c r="X21" s="27">
        <f t="shared" si="19"/>
        <v>0</v>
      </c>
      <c r="Y21" s="27">
        <f t="shared" si="19"/>
        <v>0</v>
      </c>
      <c r="Z21" s="27">
        <f t="shared" si="19"/>
        <v>0</v>
      </c>
      <c r="AA21" s="27">
        <f t="shared" si="19"/>
        <v>24</v>
      </c>
      <c r="AB21" s="28">
        <f>SUM(AB6:AB20)/15</f>
        <v>0.73333333333333328</v>
      </c>
      <c r="AC21" s="4">
        <f>SUM(AC6:AC20)/15</f>
        <v>0.51944444444444438</v>
      </c>
      <c r="AD21" s="4">
        <f>SUM(AD6:AD20)/15</f>
        <v>0.51944444444444438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346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348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236" t="s">
        <v>46</v>
      </c>
      <c r="D50" s="236" t="s">
        <v>47</v>
      </c>
      <c r="E50" s="236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236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124</v>
      </c>
      <c r="B51" s="486"/>
      <c r="C51" s="234" t="s">
        <v>144</v>
      </c>
      <c r="D51" s="234" t="s">
        <v>136</v>
      </c>
      <c r="E51" s="234" t="s">
        <v>146</v>
      </c>
      <c r="F51" s="487" t="s">
        <v>200</v>
      </c>
      <c r="G51" s="488"/>
      <c r="H51" s="488"/>
      <c r="I51" s="488"/>
      <c r="J51" s="488"/>
      <c r="K51" s="488"/>
      <c r="L51" s="488"/>
      <c r="M51" s="489"/>
      <c r="N51" s="233" t="s">
        <v>124</v>
      </c>
      <c r="O51" s="231" t="s">
        <v>149</v>
      </c>
      <c r="P51" s="499" t="s">
        <v>136</v>
      </c>
      <c r="Q51" s="500"/>
      <c r="R51" s="486" t="s">
        <v>293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124</v>
      </c>
      <c r="B52" s="486"/>
      <c r="C52" s="234" t="s">
        <v>149</v>
      </c>
      <c r="D52" s="234" t="s">
        <v>136</v>
      </c>
      <c r="E52" s="234" t="s">
        <v>293</v>
      </c>
      <c r="F52" s="487" t="s">
        <v>347</v>
      </c>
      <c r="G52" s="488"/>
      <c r="H52" s="488"/>
      <c r="I52" s="488"/>
      <c r="J52" s="488"/>
      <c r="K52" s="488"/>
      <c r="L52" s="488"/>
      <c r="M52" s="489"/>
      <c r="N52" s="233" t="s">
        <v>114</v>
      </c>
      <c r="O52" s="231" t="s">
        <v>128</v>
      </c>
      <c r="P52" s="499" t="s">
        <v>320</v>
      </c>
      <c r="Q52" s="500"/>
      <c r="R52" s="499" t="s">
        <v>319</v>
      </c>
      <c r="S52" s="501"/>
      <c r="T52" s="501"/>
      <c r="U52" s="500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234" t="s">
        <v>134</v>
      </c>
      <c r="D53" s="234" t="s">
        <v>117</v>
      </c>
      <c r="E53" s="234" t="s">
        <v>118</v>
      </c>
      <c r="F53" s="487" t="s">
        <v>204</v>
      </c>
      <c r="G53" s="488"/>
      <c r="H53" s="488"/>
      <c r="I53" s="488"/>
      <c r="J53" s="488"/>
      <c r="K53" s="488"/>
      <c r="L53" s="488"/>
      <c r="M53" s="489"/>
      <c r="N53" s="233"/>
      <c r="O53" s="231"/>
      <c r="P53" s="499"/>
      <c r="Q53" s="500"/>
      <c r="R53" s="486"/>
      <c r="S53" s="486"/>
      <c r="T53" s="486"/>
      <c r="U53" s="486"/>
      <c r="V53" s="476"/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115</v>
      </c>
      <c r="B54" s="486"/>
      <c r="C54" s="234" t="s">
        <v>291</v>
      </c>
      <c r="D54" s="234"/>
      <c r="E54" s="234" t="s">
        <v>345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233"/>
      <c r="O54" s="231"/>
      <c r="P54" s="499"/>
      <c r="Q54" s="500"/>
      <c r="R54" s="499"/>
      <c r="S54" s="501"/>
      <c r="T54" s="501"/>
      <c r="U54" s="500"/>
      <c r="V54" s="476"/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234" t="s">
        <v>178</v>
      </c>
      <c r="D55" s="234" t="s">
        <v>342</v>
      </c>
      <c r="E55" s="234" t="s">
        <v>343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233"/>
      <c r="O55" s="231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234" t="s">
        <v>128</v>
      </c>
      <c r="D56" s="234" t="s">
        <v>165</v>
      </c>
      <c r="E56" s="234" t="s">
        <v>207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233"/>
      <c r="O56" s="231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234"/>
      <c r="D57" s="234"/>
      <c r="E57" s="234"/>
      <c r="F57" s="487"/>
      <c r="G57" s="488"/>
      <c r="H57" s="488"/>
      <c r="I57" s="488"/>
      <c r="J57" s="488"/>
      <c r="K57" s="488"/>
      <c r="L57" s="488"/>
      <c r="M57" s="489"/>
      <c r="N57" s="233"/>
      <c r="O57" s="231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234"/>
      <c r="D58" s="234"/>
      <c r="E58" s="234"/>
      <c r="F58" s="487"/>
      <c r="G58" s="488"/>
      <c r="H58" s="488"/>
      <c r="I58" s="488"/>
      <c r="J58" s="488"/>
      <c r="K58" s="488"/>
      <c r="L58" s="488"/>
      <c r="M58" s="489"/>
      <c r="N58" s="233"/>
      <c r="O58" s="231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234"/>
      <c r="D59" s="234"/>
      <c r="E59" s="234"/>
      <c r="F59" s="487"/>
      <c r="G59" s="488"/>
      <c r="H59" s="488"/>
      <c r="I59" s="488"/>
      <c r="J59" s="488"/>
      <c r="K59" s="488"/>
      <c r="L59" s="488"/>
      <c r="M59" s="489"/>
      <c r="N59" s="233"/>
      <c r="O59" s="231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235"/>
      <c r="D60" s="235"/>
      <c r="E60" s="235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349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232" t="s">
        <v>2</v>
      </c>
      <c r="D62" s="232" t="s">
        <v>37</v>
      </c>
      <c r="E62" s="232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232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130</v>
      </c>
      <c r="D63" s="227"/>
      <c r="E63" s="230" t="s">
        <v>117</v>
      </c>
      <c r="F63" s="474" t="s">
        <v>350</v>
      </c>
      <c r="G63" s="466"/>
      <c r="H63" s="466"/>
      <c r="I63" s="466"/>
      <c r="J63" s="466"/>
      <c r="K63" s="466" t="s">
        <v>135</v>
      </c>
      <c r="L63" s="466"/>
      <c r="M63" s="51" t="s">
        <v>351</v>
      </c>
      <c r="N63" s="477" t="s">
        <v>178</v>
      </c>
      <c r="O63" s="477"/>
      <c r="P63" s="475">
        <v>100</v>
      </c>
      <c r="Q63" s="475"/>
      <c r="R63" s="476"/>
      <c r="S63" s="476"/>
      <c r="T63" s="476"/>
      <c r="U63" s="476"/>
      <c r="V63" s="476"/>
      <c r="W63" s="476"/>
      <c r="X63" s="476"/>
      <c r="Y63" s="476"/>
      <c r="Z63" s="476"/>
      <c r="AA63" s="476"/>
      <c r="AB63" s="466"/>
      <c r="AC63" s="466"/>
      <c r="AD63" s="467"/>
      <c r="AF63" s="50"/>
    </row>
    <row r="64" spans="1:32" ht="25.5" customHeight="1">
      <c r="A64" s="472">
        <v>2</v>
      </c>
      <c r="B64" s="473"/>
      <c r="C64" s="117" t="s">
        <v>130</v>
      </c>
      <c r="D64" s="227"/>
      <c r="E64" s="230" t="s">
        <v>122</v>
      </c>
      <c r="F64" s="474" t="s">
        <v>352</v>
      </c>
      <c r="G64" s="466"/>
      <c r="H64" s="466"/>
      <c r="I64" s="466"/>
      <c r="J64" s="466"/>
      <c r="K64" s="466" t="s">
        <v>135</v>
      </c>
      <c r="L64" s="466"/>
      <c r="M64" s="51" t="s">
        <v>351</v>
      </c>
      <c r="N64" s="477" t="s">
        <v>264</v>
      </c>
      <c r="O64" s="477"/>
      <c r="P64" s="475">
        <v>100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/>
      <c r="D65" s="227"/>
      <c r="E65" s="230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/>
      <c r="D66" s="227"/>
      <c r="E66" s="230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227"/>
      <c r="E67" s="230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227"/>
      <c r="E68" s="230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227"/>
      <c r="E69" s="230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227"/>
      <c r="E70" s="230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353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229" t="s">
        <v>2</v>
      </c>
      <c r="D72" s="229" t="s">
        <v>37</v>
      </c>
      <c r="E72" s="229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228" t="s">
        <v>114</v>
      </c>
      <c r="D73" s="228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227"/>
      <c r="D74" s="227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20">A74+1</f>
        <v>3</v>
      </c>
      <c r="B75" s="434"/>
      <c r="C75" s="227"/>
      <c r="D75" s="227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20"/>
        <v>4</v>
      </c>
      <c r="B76" s="434"/>
      <c r="C76" s="227"/>
      <c r="D76" s="227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0"/>
        <v>5</v>
      </c>
      <c r="B77" s="434"/>
      <c r="C77" s="227"/>
      <c r="D77" s="227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0"/>
        <v>6</v>
      </c>
      <c r="B78" s="434"/>
      <c r="C78" s="227"/>
      <c r="D78" s="227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0"/>
        <v>7</v>
      </c>
      <c r="B79" s="434"/>
      <c r="C79" s="227"/>
      <c r="D79" s="227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0"/>
        <v>8</v>
      </c>
      <c r="B80" s="434"/>
      <c r="C80" s="227"/>
      <c r="D80" s="227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0"/>
        <v>9</v>
      </c>
      <c r="B81" s="434"/>
      <c r="C81" s="227"/>
      <c r="D81" s="227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354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960F-1B94-4BA5-9B6C-D8E04CCC7700}">
  <dimension ref="A1:AF87"/>
  <sheetViews>
    <sheetView topLeftCell="A4"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355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38" t="s">
        <v>17</v>
      </c>
      <c r="L5" s="238" t="s">
        <v>18</v>
      </c>
      <c r="M5" s="238" t="s">
        <v>19</v>
      </c>
      <c r="N5" s="2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0.46666666666666662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0.46666666666666662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2856</v>
      </c>
      <c r="K8" s="15">
        <f>L8+5138+6028+6101+5921+6078</f>
        <v>32122</v>
      </c>
      <c r="L8" s="15">
        <f>2856</f>
        <v>2856</v>
      </c>
      <c r="M8" s="15">
        <f t="shared" si="1"/>
        <v>2856</v>
      </c>
      <c r="N8" s="15">
        <v>0</v>
      </c>
      <c r="O8" s="58">
        <f t="shared" si="2"/>
        <v>0</v>
      </c>
      <c r="P8" s="39">
        <f t="shared" si="3"/>
        <v>14</v>
      </c>
      <c r="Q8" s="40">
        <f t="shared" si="4"/>
        <v>10</v>
      </c>
      <c r="R8" s="7"/>
      <c r="S8" s="6"/>
      <c r="T8" s="16"/>
      <c r="U8" s="16"/>
      <c r="V8" s="17">
        <v>10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0.58333333333333337</v>
      </c>
      <c r="AD8" s="10">
        <f t="shared" si="7"/>
        <v>0.58333333333333337</v>
      </c>
      <c r="AE8" s="36">
        <f t="shared" si="8"/>
        <v>0.46666666666666662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4452</v>
      </c>
      <c r="K9" s="15">
        <f>L9+1593+1896+2807+1401+3459+1160+3830+650+1584+2358+4249+584+4731+3038+1149+1391+2345+2572+1276+2512+3429+1210+3718+3141+5112+5426+4833+1883+2918+5569+5002+4681</f>
        <v>95959</v>
      </c>
      <c r="L9" s="15">
        <f>2535+1917</f>
        <v>4452</v>
      </c>
      <c r="M9" s="15">
        <f t="shared" si="1"/>
        <v>4452</v>
      </c>
      <c r="N9" s="15">
        <v>0</v>
      </c>
      <c r="O9" s="58">
        <f t="shared" si="2"/>
        <v>0</v>
      </c>
      <c r="P9" s="39">
        <f t="shared" si="3"/>
        <v>22</v>
      </c>
      <c r="Q9" s="40">
        <f t="shared" si="4"/>
        <v>2</v>
      </c>
      <c r="R9" s="7"/>
      <c r="S9" s="6">
        <v>2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0.91666666666666663</v>
      </c>
      <c r="AD9" s="10">
        <f t="shared" si="7"/>
        <v>0.91666666666666663</v>
      </c>
      <c r="AE9" s="36">
        <f t="shared" si="8"/>
        <v>0.46666666666666662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6000</v>
      </c>
      <c r="J10" s="5">
        <v>300</v>
      </c>
      <c r="K10" s="15">
        <f>L10+2135</f>
        <v>2435</v>
      </c>
      <c r="L10" s="15">
        <v>300</v>
      </c>
      <c r="M10" s="15">
        <f t="shared" si="1"/>
        <v>300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/>
      <c r="S10" s="6">
        <v>20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0.16666666666666666</v>
      </c>
      <c r="AD10" s="10">
        <f>AC10*AB10*(1-O10)</f>
        <v>0.16666666666666666</v>
      </c>
      <c r="AE10" s="36">
        <f t="shared" si="8"/>
        <v>0.46666666666666662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114</v>
      </c>
      <c r="D11" s="52" t="s">
        <v>320</v>
      </c>
      <c r="E11" s="53" t="s">
        <v>319</v>
      </c>
      <c r="F11" s="30" t="s">
        <v>123</v>
      </c>
      <c r="G11" s="33">
        <v>1</v>
      </c>
      <c r="H11" s="35">
        <v>24</v>
      </c>
      <c r="I11" s="7">
        <v>1600</v>
      </c>
      <c r="J11" s="5">
        <v>1244</v>
      </c>
      <c r="K11" s="15">
        <f>L11</f>
        <v>1244</v>
      </c>
      <c r="L11" s="15">
        <v>1244</v>
      </c>
      <c r="M11" s="15">
        <f t="shared" ref="M11" si="10">L11-N11</f>
        <v>1244</v>
      </c>
      <c r="N11" s="15">
        <v>0</v>
      </c>
      <c r="O11" s="58">
        <f t="shared" ref="O11" si="11">IF(L11=0,"0",N11/L11)</f>
        <v>0</v>
      </c>
      <c r="P11" s="39">
        <f t="shared" ref="P11" si="12">IF(L11=0,"0",(24-Q11))</f>
        <v>8</v>
      </c>
      <c r="Q11" s="40">
        <f t="shared" ref="Q11" si="13">SUM(R11:AA11)</f>
        <v>16</v>
      </c>
      <c r="R11" s="7"/>
      <c r="S11" s="6">
        <v>16</v>
      </c>
      <c r="T11" s="16"/>
      <c r="U11" s="16"/>
      <c r="V11" s="17"/>
      <c r="W11" s="5"/>
      <c r="X11" s="16"/>
      <c r="Y11" s="16"/>
      <c r="Z11" s="16"/>
      <c r="AA11" s="18"/>
      <c r="AB11" s="8">
        <f t="shared" ref="AB11" si="14">IF(J11=0,"0",(L11/J11))</f>
        <v>1</v>
      </c>
      <c r="AC11" s="9">
        <f t="shared" ref="AC11" si="15">IF(P11=0,"0",(P11/24))</f>
        <v>0.33333333333333331</v>
      </c>
      <c r="AD11" s="10">
        <f>AC11*AB11*(1-O11)</f>
        <v>0.33333333333333331</v>
      </c>
      <c r="AE11" s="36">
        <f t="shared" si="8"/>
        <v>0.46666666666666662</v>
      </c>
      <c r="AF11" s="87">
        <f t="shared" ref="AF11" si="16">A11</f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136</v>
      </c>
      <c r="E12" s="53" t="s">
        <v>293</v>
      </c>
      <c r="F12" s="30" t="s">
        <v>127</v>
      </c>
      <c r="G12" s="33">
        <v>1</v>
      </c>
      <c r="H12" s="35">
        <v>24</v>
      </c>
      <c r="I12" s="7">
        <v>10000</v>
      </c>
      <c r="J12" s="5">
        <v>915</v>
      </c>
      <c r="K12" s="15">
        <f>L12+1067</f>
        <v>1982</v>
      </c>
      <c r="L12" s="15">
        <f>675+240</f>
        <v>915</v>
      </c>
      <c r="M12" s="15">
        <f t="shared" si="1"/>
        <v>915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>
        <v>20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>AC12*AB12*(1-O12)</f>
        <v>0.16666666666666666</v>
      </c>
      <c r="AE12" s="36">
        <f t="shared" si="8"/>
        <v>0.46666666666666662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118</v>
      </c>
      <c r="F13" s="30" t="s">
        <v>121</v>
      </c>
      <c r="G13" s="33">
        <v>1</v>
      </c>
      <c r="H13" s="35">
        <v>24</v>
      </c>
      <c r="I13" s="7">
        <v>48000</v>
      </c>
      <c r="J13" s="14">
        <v>4921</v>
      </c>
      <c r="K13" s="15">
        <f>L13+4623+4705+5405+1826+2220+3415</f>
        <v>27115</v>
      </c>
      <c r="L13" s="15">
        <f>2560+2361</f>
        <v>4921</v>
      </c>
      <c r="M13" s="15">
        <f t="shared" si="1"/>
        <v>4921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ref="AD13" si="17">AC13*AB13*(1-O13)</f>
        <v>1</v>
      </c>
      <c r="AE13" s="36">
        <f t="shared" si="8"/>
        <v>0.46666666666666662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342</v>
      </c>
      <c r="E14" s="53" t="s">
        <v>343</v>
      </c>
      <c r="F14" s="30" t="s">
        <v>344</v>
      </c>
      <c r="G14" s="33">
        <v>1</v>
      </c>
      <c r="H14" s="35">
        <v>24</v>
      </c>
      <c r="I14" s="7">
        <v>4000</v>
      </c>
      <c r="J14" s="14">
        <v>4155</v>
      </c>
      <c r="K14" s="15">
        <f>L14+1073</f>
        <v>5228</v>
      </c>
      <c r="L14" s="15">
        <f>1200+2955</f>
        <v>4155</v>
      </c>
      <c r="M14" s="15">
        <f t="shared" si="1"/>
        <v>4155</v>
      </c>
      <c r="N14" s="15">
        <v>0</v>
      </c>
      <c r="O14" s="58">
        <f t="shared" si="2"/>
        <v>0</v>
      </c>
      <c r="P14" s="39">
        <f t="shared" si="3"/>
        <v>22</v>
      </c>
      <c r="Q14" s="40">
        <f t="shared" si="4"/>
        <v>2</v>
      </c>
      <c r="R14" s="7"/>
      <c r="S14" s="6"/>
      <c r="T14" s="16"/>
      <c r="U14" s="16"/>
      <c r="V14" s="17"/>
      <c r="W14" s="5">
        <v>2</v>
      </c>
      <c r="X14" s="16"/>
      <c r="Y14" s="16"/>
      <c r="Z14" s="16"/>
      <c r="AA14" s="18"/>
      <c r="AB14" s="8">
        <f t="shared" si="5"/>
        <v>1</v>
      </c>
      <c r="AC14" s="9">
        <f t="shared" si="6"/>
        <v>0.91666666666666663</v>
      </c>
      <c r="AD14" s="10">
        <f t="shared" si="7"/>
        <v>0.91666666666666663</v>
      </c>
      <c r="AE14" s="36">
        <f t="shared" si="8"/>
        <v>0.46666666666666662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145</v>
      </c>
      <c r="F15" s="30" t="s">
        <v>148</v>
      </c>
      <c r="G15" s="12">
        <v>1</v>
      </c>
      <c r="H15" s="13">
        <v>45</v>
      </c>
      <c r="I15" s="7">
        <v>1000</v>
      </c>
      <c r="J15" s="5">
        <v>341</v>
      </c>
      <c r="K15" s="15">
        <f>L15+551+341</f>
        <v>892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0.46666666666666662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285</v>
      </c>
      <c r="D16" s="52"/>
      <c r="E16" s="53" t="s">
        <v>286</v>
      </c>
      <c r="F16" s="12" t="s">
        <v>287</v>
      </c>
      <c r="G16" s="12" t="s">
        <v>197</v>
      </c>
      <c r="H16" s="13">
        <v>24</v>
      </c>
      <c r="I16" s="31">
        <v>28000</v>
      </c>
      <c r="J16" s="14">
        <v>3050</v>
      </c>
      <c r="K16" s="15">
        <f>L16+3216+6251</f>
        <v>12517</v>
      </c>
      <c r="L16" s="15">
        <f>163+2887</f>
        <v>3050</v>
      </c>
      <c r="M16" s="15">
        <f t="shared" si="1"/>
        <v>3050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/>
      <c r="T16" s="16"/>
      <c r="U16" s="16"/>
      <c r="V16" s="17">
        <v>10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0.46666666666666662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117</v>
      </c>
      <c r="E17" s="53" t="s">
        <v>295</v>
      </c>
      <c r="F17" s="30" t="s">
        <v>126</v>
      </c>
      <c r="G17" s="12">
        <v>1</v>
      </c>
      <c r="H17" s="13">
        <v>28</v>
      </c>
      <c r="I17" s="7">
        <v>1300</v>
      </c>
      <c r="J17" s="14">
        <v>1919</v>
      </c>
      <c r="K17" s="15">
        <f>L17+815+1919</f>
        <v>2734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0.46666666666666662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130</v>
      </c>
      <c r="D18" s="52" t="s">
        <v>125</v>
      </c>
      <c r="E18" s="53" t="s">
        <v>318</v>
      </c>
      <c r="F18" s="30" t="s">
        <v>137</v>
      </c>
      <c r="G18" s="33">
        <v>1</v>
      </c>
      <c r="H18" s="35">
        <v>20</v>
      </c>
      <c r="I18" s="7">
        <v>30000</v>
      </c>
      <c r="J18" s="14">
        <v>11296</v>
      </c>
      <c r="K18" s="15">
        <f>L18+19668+11296</f>
        <v>30964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0.46666666666666662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130</v>
      </c>
      <c r="D19" s="52" t="s">
        <v>122</v>
      </c>
      <c r="E19" s="53" t="s">
        <v>317</v>
      </c>
      <c r="F19" s="30" t="s">
        <v>135</v>
      </c>
      <c r="G19" s="33">
        <v>1</v>
      </c>
      <c r="H19" s="35">
        <v>24</v>
      </c>
      <c r="I19" s="7">
        <v>30000</v>
      </c>
      <c r="J19" s="14">
        <v>10994</v>
      </c>
      <c r="K19" s="15">
        <f>L19+13264+11064</f>
        <v>35322</v>
      </c>
      <c r="L19" s="15">
        <f>2896*2+2601*2</f>
        <v>10994</v>
      </c>
      <c r="M19" s="15">
        <f t="shared" si="1"/>
        <v>10994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0.46666666666666662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297</v>
      </c>
      <c r="F20" s="30" t="s">
        <v>121</v>
      </c>
      <c r="G20" s="33">
        <v>1</v>
      </c>
      <c r="H20" s="35">
        <v>24</v>
      </c>
      <c r="I20" s="7">
        <v>60000</v>
      </c>
      <c r="J20" s="14">
        <v>3865</v>
      </c>
      <c r="K20" s="15">
        <f>L20+4692+4864+4990</f>
        <v>18411</v>
      </c>
      <c r="L20" s="15">
        <f>2648+1217</f>
        <v>3865</v>
      </c>
      <c r="M20" s="15">
        <f t="shared" si="1"/>
        <v>3865</v>
      </c>
      <c r="N20" s="15">
        <v>0</v>
      </c>
      <c r="O20" s="58">
        <f t="shared" si="2"/>
        <v>0</v>
      </c>
      <c r="P20" s="39">
        <f t="shared" si="3"/>
        <v>20</v>
      </c>
      <c r="Q20" s="40">
        <f t="shared" si="4"/>
        <v>4</v>
      </c>
      <c r="R20" s="7"/>
      <c r="S20" s="6">
        <v>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0.83333333333333337</v>
      </c>
      <c r="AD20" s="10">
        <f t="shared" si="7"/>
        <v>0.83333333333333337</v>
      </c>
      <c r="AE20" s="36">
        <f t="shared" si="8"/>
        <v>0.46666666666666662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345</v>
      </c>
      <c r="F21" s="12" t="s">
        <v>116</v>
      </c>
      <c r="G21" s="12">
        <v>4</v>
      </c>
      <c r="H21" s="35">
        <v>20</v>
      </c>
      <c r="I21" s="7">
        <v>100000</v>
      </c>
      <c r="J21" s="14">
        <v>37796</v>
      </c>
      <c r="K21" s="15">
        <f>L21+38096</f>
        <v>75892</v>
      </c>
      <c r="L21" s="15">
        <f>9449*4</f>
        <v>37796</v>
      </c>
      <c r="M21" s="15">
        <f t="shared" si="1"/>
        <v>37796</v>
      </c>
      <c r="N21" s="15">
        <v>0</v>
      </c>
      <c r="O21" s="58">
        <f t="shared" si="2"/>
        <v>0</v>
      </c>
      <c r="P21" s="39">
        <f t="shared" si="3"/>
        <v>12</v>
      </c>
      <c r="Q21" s="40">
        <f t="shared" si="4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</v>
      </c>
      <c r="AD21" s="10">
        <f t="shared" si="7"/>
        <v>0.5</v>
      </c>
      <c r="AE21" s="36">
        <f t="shared" si="8"/>
        <v>0.46666666666666662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8">SUM(I6:I21)</f>
        <v>408900</v>
      </c>
      <c r="J22" s="19">
        <f t="shared" si="18"/>
        <v>90165</v>
      </c>
      <c r="K22" s="20">
        <f t="shared" si="18"/>
        <v>354365</v>
      </c>
      <c r="L22" s="21">
        <f t="shared" si="18"/>
        <v>74548</v>
      </c>
      <c r="M22" s="20">
        <f t="shared" si="18"/>
        <v>74548</v>
      </c>
      <c r="N22" s="21">
        <f t="shared" si="18"/>
        <v>0</v>
      </c>
      <c r="O22" s="41">
        <f t="shared" si="2"/>
        <v>0</v>
      </c>
      <c r="P22" s="42">
        <f t="shared" ref="P22:AA22" si="19">SUM(P6:P21)</f>
        <v>168</v>
      </c>
      <c r="Q22" s="43">
        <f t="shared" si="19"/>
        <v>216</v>
      </c>
      <c r="R22" s="23">
        <f t="shared" si="19"/>
        <v>24</v>
      </c>
      <c r="S22" s="24">
        <f t="shared" si="19"/>
        <v>86</v>
      </c>
      <c r="T22" s="24">
        <f t="shared" si="19"/>
        <v>0</v>
      </c>
      <c r="U22" s="24">
        <f t="shared" si="19"/>
        <v>0</v>
      </c>
      <c r="V22" s="25">
        <f t="shared" si="19"/>
        <v>56</v>
      </c>
      <c r="W22" s="26">
        <f t="shared" si="19"/>
        <v>2</v>
      </c>
      <c r="X22" s="27">
        <f t="shared" si="19"/>
        <v>0</v>
      </c>
      <c r="Y22" s="27">
        <f t="shared" si="19"/>
        <v>0</v>
      </c>
      <c r="Z22" s="27">
        <f t="shared" si="19"/>
        <v>0</v>
      </c>
      <c r="AA22" s="27">
        <f t="shared" si="19"/>
        <v>48</v>
      </c>
      <c r="AB22" s="28">
        <f>SUM(AB6:AB21)/15</f>
        <v>0.73333333333333328</v>
      </c>
      <c r="AC22" s="4">
        <f>SUM(AC6:AC21)/15</f>
        <v>0.46666666666666662</v>
      </c>
      <c r="AD22" s="4">
        <f>SUM(AD6:AD21)/15</f>
        <v>0.46666666666666662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358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359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239" t="s">
        <v>46</v>
      </c>
      <c r="D51" s="239" t="s">
        <v>47</v>
      </c>
      <c r="E51" s="239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239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124</v>
      </c>
      <c r="B52" s="486"/>
      <c r="C52" s="241" t="s">
        <v>144</v>
      </c>
      <c r="D52" s="241" t="s">
        <v>136</v>
      </c>
      <c r="E52" s="241" t="s">
        <v>146</v>
      </c>
      <c r="F52" s="487" t="s">
        <v>152</v>
      </c>
      <c r="G52" s="488"/>
      <c r="H52" s="488"/>
      <c r="I52" s="488"/>
      <c r="J52" s="488"/>
      <c r="K52" s="488"/>
      <c r="L52" s="488"/>
      <c r="M52" s="489"/>
      <c r="N52" s="240" t="s">
        <v>124</v>
      </c>
      <c r="O52" s="245" t="s">
        <v>149</v>
      </c>
      <c r="P52" s="499" t="s">
        <v>136</v>
      </c>
      <c r="Q52" s="500"/>
      <c r="R52" s="486" t="s">
        <v>293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124</v>
      </c>
      <c r="B53" s="486"/>
      <c r="C53" s="241" t="s">
        <v>149</v>
      </c>
      <c r="D53" s="241" t="s">
        <v>136</v>
      </c>
      <c r="E53" s="241" t="s">
        <v>293</v>
      </c>
      <c r="F53" s="487" t="s">
        <v>356</v>
      </c>
      <c r="G53" s="488"/>
      <c r="H53" s="488"/>
      <c r="I53" s="488"/>
      <c r="J53" s="488"/>
      <c r="K53" s="488"/>
      <c r="L53" s="488"/>
      <c r="M53" s="489"/>
      <c r="N53" s="240" t="s">
        <v>114</v>
      </c>
      <c r="O53" s="245" t="s">
        <v>128</v>
      </c>
      <c r="P53" s="499" t="s">
        <v>320</v>
      </c>
      <c r="Q53" s="500"/>
      <c r="R53" s="499" t="s">
        <v>319</v>
      </c>
      <c r="S53" s="501"/>
      <c r="T53" s="501"/>
      <c r="U53" s="500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124</v>
      </c>
      <c r="B54" s="486"/>
      <c r="C54" s="241" t="s">
        <v>211</v>
      </c>
      <c r="D54" s="241" t="s">
        <v>117</v>
      </c>
      <c r="E54" s="241" t="s">
        <v>297</v>
      </c>
      <c r="F54" s="487" t="s">
        <v>152</v>
      </c>
      <c r="G54" s="488"/>
      <c r="H54" s="488"/>
      <c r="I54" s="488"/>
      <c r="J54" s="488"/>
      <c r="K54" s="488"/>
      <c r="L54" s="488"/>
      <c r="M54" s="489"/>
      <c r="N54" s="240" t="s">
        <v>114</v>
      </c>
      <c r="O54" s="245" t="s">
        <v>128</v>
      </c>
      <c r="P54" s="499" t="s">
        <v>165</v>
      </c>
      <c r="Q54" s="500"/>
      <c r="R54" s="486" t="s">
        <v>207</v>
      </c>
      <c r="S54" s="486"/>
      <c r="T54" s="486"/>
      <c r="U54" s="486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241" t="s">
        <v>128</v>
      </c>
      <c r="D55" s="241" t="s">
        <v>165</v>
      </c>
      <c r="E55" s="241" t="s">
        <v>207</v>
      </c>
      <c r="F55" s="487" t="s">
        <v>263</v>
      </c>
      <c r="G55" s="488"/>
      <c r="H55" s="488"/>
      <c r="I55" s="488"/>
      <c r="J55" s="488"/>
      <c r="K55" s="488"/>
      <c r="L55" s="488"/>
      <c r="M55" s="489"/>
      <c r="N55" s="240"/>
      <c r="O55" s="245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241" t="s">
        <v>128</v>
      </c>
      <c r="D56" s="241" t="s">
        <v>320</v>
      </c>
      <c r="E56" s="241" t="s">
        <v>319</v>
      </c>
      <c r="F56" s="487" t="s">
        <v>357</v>
      </c>
      <c r="G56" s="488"/>
      <c r="H56" s="488"/>
      <c r="I56" s="488"/>
      <c r="J56" s="488"/>
      <c r="K56" s="488"/>
      <c r="L56" s="488"/>
      <c r="M56" s="489"/>
      <c r="N56" s="240"/>
      <c r="O56" s="245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241"/>
      <c r="D57" s="241"/>
      <c r="E57" s="241"/>
      <c r="F57" s="487"/>
      <c r="G57" s="488"/>
      <c r="H57" s="488"/>
      <c r="I57" s="488"/>
      <c r="J57" s="488"/>
      <c r="K57" s="488"/>
      <c r="L57" s="488"/>
      <c r="M57" s="489"/>
      <c r="N57" s="240"/>
      <c r="O57" s="245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241"/>
      <c r="D58" s="241"/>
      <c r="E58" s="241"/>
      <c r="F58" s="487"/>
      <c r="G58" s="488"/>
      <c r="H58" s="488"/>
      <c r="I58" s="488"/>
      <c r="J58" s="488"/>
      <c r="K58" s="488"/>
      <c r="L58" s="488"/>
      <c r="M58" s="489"/>
      <c r="N58" s="240"/>
      <c r="O58" s="24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241"/>
      <c r="D59" s="241"/>
      <c r="E59" s="241"/>
      <c r="F59" s="487"/>
      <c r="G59" s="488"/>
      <c r="H59" s="488"/>
      <c r="I59" s="488"/>
      <c r="J59" s="488"/>
      <c r="K59" s="488"/>
      <c r="L59" s="488"/>
      <c r="M59" s="489"/>
      <c r="N59" s="240"/>
      <c r="O59" s="245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241"/>
      <c r="D60" s="241"/>
      <c r="E60" s="241"/>
      <c r="F60" s="487"/>
      <c r="G60" s="488"/>
      <c r="H60" s="488"/>
      <c r="I60" s="488"/>
      <c r="J60" s="488"/>
      <c r="K60" s="488"/>
      <c r="L60" s="488"/>
      <c r="M60" s="489"/>
      <c r="N60" s="240"/>
      <c r="O60" s="245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242"/>
      <c r="D61" s="242"/>
      <c r="E61" s="242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360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243" t="s">
        <v>2</v>
      </c>
      <c r="D63" s="243" t="s">
        <v>37</v>
      </c>
      <c r="E63" s="243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243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 t="s">
        <v>130</v>
      </c>
      <c r="D64" s="247"/>
      <c r="E64" s="244" t="s">
        <v>136</v>
      </c>
      <c r="F64" s="474" t="s">
        <v>361</v>
      </c>
      <c r="G64" s="466"/>
      <c r="H64" s="466"/>
      <c r="I64" s="466"/>
      <c r="J64" s="466"/>
      <c r="K64" s="466" t="s">
        <v>137</v>
      </c>
      <c r="L64" s="466"/>
      <c r="M64" s="51" t="s">
        <v>351</v>
      </c>
      <c r="N64" s="477" t="s">
        <v>132</v>
      </c>
      <c r="O64" s="477"/>
      <c r="P64" s="475">
        <v>100</v>
      </c>
      <c r="Q64" s="475"/>
      <c r="R64" s="476" t="s">
        <v>362</v>
      </c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 t="s">
        <v>114</v>
      </c>
      <c r="D65" s="247"/>
      <c r="E65" s="244" t="s">
        <v>117</v>
      </c>
      <c r="F65" s="474" t="s">
        <v>145</v>
      </c>
      <c r="G65" s="466"/>
      <c r="H65" s="466"/>
      <c r="I65" s="466"/>
      <c r="J65" s="466"/>
      <c r="K65" s="466" t="s">
        <v>148</v>
      </c>
      <c r="L65" s="466"/>
      <c r="M65" s="51" t="s">
        <v>216</v>
      </c>
      <c r="N65" s="477" t="s">
        <v>202</v>
      </c>
      <c r="O65" s="477"/>
      <c r="P65" s="475">
        <v>50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247"/>
      <c r="E66" s="244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247"/>
      <c r="E67" s="244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247"/>
      <c r="E68" s="244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247"/>
      <c r="E69" s="244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247"/>
      <c r="E70" s="244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247"/>
      <c r="E71" s="244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363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246" t="s">
        <v>2</v>
      </c>
      <c r="D73" s="246" t="s">
        <v>37</v>
      </c>
      <c r="E73" s="246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248" t="s">
        <v>114</v>
      </c>
      <c r="D74" s="248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247"/>
      <c r="D75" s="247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0">A75+1</f>
        <v>3</v>
      </c>
      <c r="B76" s="434"/>
      <c r="C76" s="247"/>
      <c r="D76" s="247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0"/>
        <v>4</v>
      </c>
      <c r="B77" s="434"/>
      <c r="C77" s="247"/>
      <c r="D77" s="247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0"/>
        <v>5</v>
      </c>
      <c r="B78" s="434"/>
      <c r="C78" s="247"/>
      <c r="D78" s="247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0"/>
        <v>6</v>
      </c>
      <c r="B79" s="434"/>
      <c r="C79" s="247"/>
      <c r="D79" s="247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0"/>
        <v>7</v>
      </c>
      <c r="B80" s="434"/>
      <c r="C80" s="247"/>
      <c r="D80" s="247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0"/>
        <v>8</v>
      </c>
      <c r="B81" s="434"/>
      <c r="C81" s="247"/>
      <c r="D81" s="247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0"/>
        <v>9</v>
      </c>
      <c r="B82" s="434"/>
      <c r="C82" s="247"/>
      <c r="D82" s="247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364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756E-845E-436D-BC46-5306A3E0BF12}">
  <dimension ref="A1:AF87"/>
  <sheetViews>
    <sheetView zoomScale="72" zoomScaleNormal="72" zoomScaleSheetLayoutView="70" workbookViewId="0">
      <selection activeCell="F80" sqref="F80:J8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365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38" t="s">
        <v>17</v>
      </c>
      <c r="L5" s="238" t="s">
        <v>18</v>
      </c>
      <c r="M5" s="238" t="s">
        <v>19</v>
      </c>
      <c r="N5" s="2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0.13055555555555556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0.13055555555555556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2856</v>
      </c>
      <c r="K8" s="15">
        <f>L8+5138+6028+6101+5921+6078+2856</f>
        <v>32122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>
        <v>24</v>
      </c>
      <c r="W8" s="5"/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 t="shared" si="8"/>
        <v>0.13055555555555556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2460</v>
      </c>
      <c r="K9" s="15">
        <f>L9+1593+1896+2807+1401+3459+1160+3830+650+1584+2358+4249+584+4731+3038+1149+1391+2345+2572+1276+2512+3429+1210+3718+3141+5112+5426+4833+1883+2918+5569+5002+4681+4452</f>
        <v>98419</v>
      </c>
      <c r="L9" s="15">
        <v>2460</v>
      </c>
      <c r="M9" s="15">
        <f t="shared" si="1"/>
        <v>2460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/>
      <c r="T9" s="16"/>
      <c r="U9" s="16"/>
      <c r="V9" s="17">
        <v>14</v>
      </c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0.13055555555555556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6000</v>
      </c>
      <c r="J10" s="5">
        <v>790</v>
      </c>
      <c r="K10" s="15">
        <f>L10+2135+300</f>
        <v>3225</v>
      </c>
      <c r="L10" s="15">
        <v>790</v>
      </c>
      <c r="M10" s="15">
        <f t="shared" si="1"/>
        <v>790</v>
      </c>
      <c r="N10" s="15">
        <v>0</v>
      </c>
      <c r="O10" s="58">
        <f t="shared" si="2"/>
        <v>0</v>
      </c>
      <c r="P10" s="39">
        <f t="shared" si="3"/>
        <v>5</v>
      </c>
      <c r="Q10" s="40">
        <f t="shared" si="4"/>
        <v>19</v>
      </c>
      <c r="R10" s="7"/>
      <c r="S10" s="6">
        <v>5</v>
      </c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0.20833333333333334</v>
      </c>
      <c r="AD10" s="10">
        <f>AC10*AB10*(1-O10)</f>
        <v>0.20833333333333334</v>
      </c>
      <c r="AE10" s="36">
        <f t="shared" si="8"/>
        <v>0.13055555555555556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114</v>
      </c>
      <c r="D11" s="52" t="s">
        <v>320</v>
      </c>
      <c r="E11" s="53" t="s">
        <v>319</v>
      </c>
      <c r="F11" s="30" t="s">
        <v>123</v>
      </c>
      <c r="G11" s="33">
        <v>1</v>
      </c>
      <c r="H11" s="35">
        <v>24</v>
      </c>
      <c r="I11" s="7">
        <v>1600</v>
      </c>
      <c r="J11" s="5">
        <v>658</v>
      </c>
      <c r="K11" s="15">
        <f>L11+1244</f>
        <v>1902</v>
      </c>
      <c r="L11" s="15">
        <v>658</v>
      </c>
      <c r="M11" s="15">
        <f t="shared" si="1"/>
        <v>658</v>
      </c>
      <c r="N11" s="15">
        <v>0</v>
      </c>
      <c r="O11" s="58">
        <f t="shared" si="2"/>
        <v>0</v>
      </c>
      <c r="P11" s="39">
        <f t="shared" si="3"/>
        <v>5</v>
      </c>
      <c r="Q11" s="40">
        <f t="shared" si="4"/>
        <v>19</v>
      </c>
      <c r="R11" s="7"/>
      <c r="S11" s="6">
        <v>5</v>
      </c>
      <c r="T11" s="16"/>
      <c r="U11" s="16"/>
      <c r="V11" s="17">
        <v>14</v>
      </c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0.20833333333333334</v>
      </c>
      <c r="AD11" s="10">
        <f>AC11*AB11*(1-O11)</f>
        <v>0.20833333333333334</v>
      </c>
      <c r="AE11" s="36">
        <f t="shared" si="8"/>
        <v>0.13055555555555556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136</v>
      </c>
      <c r="E12" s="53" t="s">
        <v>293</v>
      </c>
      <c r="F12" s="30" t="s">
        <v>127</v>
      </c>
      <c r="G12" s="33">
        <v>1</v>
      </c>
      <c r="H12" s="35">
        <v>24</v>
      </c>
      <c r="I12" s="7">
        <v>10000</v>
      </c>
      <c r="J12" s="5">
        <v>500</v>
      </c>
      <c r="K12" s="15">
        <f>L12+1067+915</f>
        <v>2482</v>
      </c>
      <c r="L12" s="15">
        <v>500</v>
      </c>
      <c r="M12" s="15">
        <f t="shared" si="1"/>
        <v>500</v>
      </c>
      <c r="N12" s="15">
        <v>0</v>
      </c>
      <c r="O12" s="58">
        <f t="shared" si="2"/>
        <v>0</v>
      </c>
      <c r="P12" s="39">
        <f t="shared" si="3"/>
        <v>3</v>
      </c>
      <c r="Q12" s="40">
        <f t="shared" si="4"/>
        <v>21</v>
      </c>
      <c r="R12" s="7"/>
      <c r="S12" s="6">
        <v>21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0.125</v>
      </c>
      <c r="AD12" s="10">
        <f>AC12*AB12*(1-O12)</f>
        <v>0.125</v>
      </c>
      <c r="AE12" s="36">
        <f t="shared" si="8"/>
        <v>0.13055555555555556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118</v>
      </c>
      <c r="F13" s="30" t="s">
        <v>121</v>
      </c>
      <c r="G13" s="33">
        <v>1</v>
      </c>
      <c r="H13" s="35">
        <v>24</v>
      </c>
      <c r="I13" s="7">
        <v>48000</v>
      </c>
      <c r="J13" s="14">
        <v>2272</v>
      </c>
      <c r="K13" s="15">
        <f>L13+4623+4705+5405+1826+2220+3415+4921</f>
        <v>29387</v>
      </c>
      <c r="L13" s="15">
        <v>2272</v>
      </c>
      <c r="M13" s="15">
        <f t="shared" si="1"/>
        <v>2272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ref="AD13" si="10">AC13*AB13*(1-O13)</f>
        <v>0.41666666666666669</v>
      </c>
      <c r="AE13" s="36">
        <f t="shared" si="8"/>
        <v>0.13055555555555556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342</v>
      </c>
      <c r="E14" s="53" t="s">
        <v>343</v>
      </c>
      <c r="F14" s="30" t="s">
        <v>344</v>
      </c>
      <c r="G14" s="33">
        <v>1</v>
      </c>
      <c r="H14" s="35">
        <v>24</v>
      </c>
      <c r="I14" s="7">
        <v>4000</v>
      </c>
      <c r="J14" s="14">
        <v>4155</v>
      </c>
      <c r="K14" s="15">
        <f>L14+1073+4155</f>
        <v>5228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0.13055555555555556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114</v>
      </c>
      <c r="D15" s="52" t="s">
        <v>117</v>
      </c>
      <c r="E15" s="53" t="s">
        <v>145</v>
      </c>
      <c r="F15" s="30" t="s">
        <v>148</v>
      </c>
      <c r="G15" s="12">
        <v>1</v>
      </c>
      <c r="H15" s="13">
        <v>45</v>
      </c>
      <c r="I15" s="7">
        <v>1000</v>
      </c>
      <c r="J15" s="5">
        <v>341</v>
      </c>
      <c r="K15" s="15">
        <f>L15+551+341</f>
        <v>892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>
        <v>24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0.13055555555555556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285</v>
      </c>
      <c r="D16" s="52"/>
      <c r="E16" s="53" t="s">
        <v>286</v>
      </c>
      <c r="F16" s="12" t="s">
        <v>287</v>
      </c>
      <c r="G16" s="12" t="s">
        <v>197</v>
      </c>
      <c r="H16" s="13">
        <v>24</v>
      </c>
      <c r="I16" s="31">
        <v>28000</v>
      </c>
      <c r="J16" s="14">
        <v>3050</v>
      </c>
      <c r="K16" s="15">
        <f>L16+3216+6251+3050</f>
        <v>12517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>
        <v>24</v>
      </c>
      <c r="W16" s="5"/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0.13055555555555556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117</v>
      </c>
      <c r="E17" s="53" t="s">
        <v>295</v>
      </c>
      <c r="F17" s="30" t="s">
        <v>126</v>
      </c>
      <c r="G17" s="12">
        <v>1</v>
      </c>
      <c r="H17" s="13">
        <v>28</v>
      </c>
      <c r="I17" s="7">
        <v>1300</v>
      </c>
      <c r="J17" s="14">
        <v>1919</v>
      </c>
      <c r="K17" s="15">
        <f>L17+815+1919</f>
        <v>2734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0.13055555555555556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130</v>
      </c>
      <c r="D18" s="52" t="s">
        <v>125</v>
      </c>
      <c r="E18" s="53" t="s">
        <v>318</v>
      </c>
      <c r="F18" s="30" t="s">
        <v>137</v>
      </c>
      <c r="G18" s="33">
        <v>1</v>
      </c>
      <c r="H18" s="35">
        <v>20</v>
      </c>
      <c r="I18" s="7">
        <v>30000</v>
      </c>
      <c r="J18" s="14">
        <v>11296</v>
      </c>
      <c r="K18" s="15">
        <f>L18+19668+11296</f>
        <v>30964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0.13055555555555556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130</v>
      </c>
      <c r="D19" s="52" t="s">
        <v>122</v>
      </c>
      <c r="E19" s="53" t="s">
        <v>317</v>
      </c>
      <c r="F19" s="30" t="s">
        <v>135</v>
      </c>
      <c r="G19" s="33">
        <v>1</v>
      </c>
      <c r="H19" s="35">
        <v>24</v>
      </c>
      <c r="I19" s="7">
        <v>30000</v>
      </c>
      <c r="J19" s="14">
        <v>1204</v>
      </c>
      <c r="K19" s="15">
        <f>L19+13264+11064+10994</f>
        <v>36526</v>
      </c>
      <c r="L19" s="15">
        <f>602*2</f>
        <v>1204</v>
      </c>
      <c r="M19" s="15">
        <f t="shared" si="1"/>
        <v>1204</v>
      </c>
      <c r="N19" s="15">
        <v>0</v>
      </c>
      <c r="O19" s="58">
        <f t="shared" si="2"/>
        <v>0</v>
      </c>
      <c r="P19" s="39">
        <f t="shared" si="3"/>
        <v>4</v>
      </c>
      <c r="Q19" s="40">
        <f t="shared" si="4"/>
        <v>20</v>
      </c>
      <c r="R19" s="7"/>
      <c r="S19" s="6"/>
      <c r="T19" s="16"/>
      <c r="U19" s="16"/>
      <c r="V19" s="17"/>
      <c r="W19" s="5">
        <v>20</v>
      </c>
      <c r="X19" s="16"/>
      <c r="Y19" s="16"/>
      <c r="Z19" s="16"/>
      <c r="AA19" s="18"/>
      <c r="AB19" s="8">
        <f t="shared" si="5"/>
        <v>1</v>
      </c>
      <c r="AC19" s="9">
        <f t="shared" si="6"/>
        <v>0.16666666666666666</v>
      </c>
      <c r="AD19" s="10">
        <f t="shared" si="7"/>
        <v>0.16666666666666666</v>
      </c>
      <c r="AE19" s="36">
        <f t="shared" si="8"/>
        <v>0.13055555555555556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297</v>
      </c>
      <c r="F20" s="30" t="s">
        <v>121</v>
      </c>
      <c r="G20" s="33">
        <v>1</v>
      </c>
      <c r="H20" s="35">
        <v>24</v>
      </c>
      <c r="I20" s="7">
        <v>60000</v>
      </c>
      <c r="J20" s="14">
        <v>2322</v>
      </c>
      <c r="K20" s="15">
        <f>L20+4692+4864+4990+3865</f>
        <v>20733</v>
      </c>
      <c r="L20" s="15">
        <v>2322</v>
      </c>
      <c r="M20" s="15">
        <f t="shared" si="1"/>
        <v>2322</v>
      </c>
      <c r="N20" s="15">
        <v>0</v>
      </c>
      <c r="O20" s="58">
        <f t="shared" si="2"/>
        <v>0</v>
      </c>
      <c r="P20" s="39">
        <f t="shared" si="3"/>
        <v>10</v>
      </c>
      <c r="Q20" s="40">
        <f t="shared" si="4"/>
        <v>14</v>
      </c>
      <c r="R20" s="7"/>
      <c r="S20" s="6"/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0.41666666666666669</v>
      </c>
      <c r="AD20" s="10">
        <f t="shared" si="7"/>
        <v>0.41666666666666669</v>
      </c>
      <c r="AE20" s="36">
        <f t="shared" si="8"/>
        <v>0.13055555555555556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345</v>
      </c>
      <c r="F21" s="12" t="s">
        <v>116</v>
      </c>
      <c r="G21" s="12">
        <v>4</v>
      </c>
      <c r="H21" s="35">
        <v>20</v>
      </c>
      <c r="I21" s="7">
        <v>100000</v>
      </c>
      <c r="J21" s="14">
        <v>37796</v>
      </c>
      <c r="K21" s="15">
        <f>L21+38096+37796</f>
        <v>75892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0.13055555555555556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1">SUM(I6:I21)</f>
        <v>408900</v>
      </c>
      <c r="J22" s="19">
        <f t="shared" si="11"/>
        <v>73680</v>
      </c>
      <c r="K22" s="20">
        <f t="shared" si="11"/>
        <v>364571</v>
      </c>
      <c r="L22" s="21">
        <f t="shared" si="11"/>
        <v>10206</v>
      </c>
      <c r="M22" s="20">
        <f t="shared" si="11"/>
        <v>10206</v>
      </c>
      <c r="N22" s="21">
        <f t="shared" si="11"/>
        <v>0</v>
      </c>
      <c r="O22" s="41">
        <f t="shared" si="2"/>
        <v>0</v>
      </c>
      <c r="P22" s="42">
        <f t="shared" ref="P22:AA22" si="12">SUM(P6:P21)</f>
        <v>47</v>
      </c>
      <c r="Q22" s="43">
        <f t="shared" si="12"/>
        <v>325</v>
      </c>
      <c r="R22" s="23">
        <f t="shared" si="12"/>
        <v>24</v>
      </c>
      <c r="S22" s="24">
        <f t="shared" si="12"/>
        <v>55</v>
      </c>
      <c r="T22" s="24">
        <f t="shared" si="12"/>
        <v>0</v>
      </c>
      <c r="U22" s="24">
        <f t="shared" si="12"/>
        <v>0</v>
      </c>
      <c r="V22" s="25">
        <f t="shared" si="12"/>
        <v>154</v>
      </c>
      <c r="W22" s="26">
        <f t="shared" si="12"/>
        <v>44</v>
      </c>
      <c r="X22" s="27">
        <f t="shared" si="12"/>
        <v>0</v>
      </c>
      <c r="Y22" s="27">
        <f t="shared" si="12"/>
        <v>0</v>
      </c>
      <c r="Z22" s="27">
        <f t="shared" si="12"/>
        <v>0</v>
      </c>
      <c r="AA22" s="27">
        <f t="shared" si="12"/>
        <v>48</v>
      </c>
      <c r="AB22" s="28">
        <f>SUM(AB6:AB21)/15</f>
        <v>0.46666666666666667</v>
      </c>
      <c r="AC22" s="4">
        <f>SUM(AC6:AC21)/15</f>
        <v>0.13055555555555556</v>
      </c>
      <c r="AD22" s="4">
        <f>SUM(AD6:AD21)/15</f>
        <v>0.13055555555555556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366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369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239" t="s">
        <v>46</v>
      </c>
      <c r="D51" s="239" t="s">
        <v>47</v>
      </c>
      <c r="E51" s="239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239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124</v>
      </c>
      <c r="B52" s="486"/>
      <c r="C52" s="241" t="s">
        <v>149</v>
      </c>
      <c r="D52" s="241" t="s">
        <v>136</v>
      </c>
      <c r="E52" s="241" t="s">
        <v>293</v>
      </c>
      <c r="F52" s="487" t="s">
        <v>367</v>
      </c>
      <c r="G52" s="488"/>
      <c r="H52" s="488"/>
      <c r="I52" s="488"/>
      <c r="J52" s="488"/>
      <c r="K52" s="488"/>
      <c r="L52" s="488"/>
      <c r="M52" s="489"/>
      <c r="N52" s="240" t="s">
        <v>124</v>
      </c>
      <c r="O52" s="245" t="s">
        <v>149</v>
      </c>
      <c r="P52" s="499" t="s">
        <v>136</v>
      </c>
      <c r="Q52" s="500"/>
      <c r="R52" s="486" t="s">
        <v>293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241" t="s">
        <v>128</v>
      </c>
      <c r="D53" s="241" t="s">
        <v>165</v>
      </c>
      <c r="E53" s="241" t="s">
        <v>207</v>
      </c>
      <c r="F53" s="487" t="s">
        <v>204</v>
      </c>
      <c r="G53" s="488"/>
      <c r="H53" s="488"/>
      <c r="I53" s="488"/>
      <c r="J53" s="488"/>
      <c r="K53" s="488"/>
      <c r="L53" s="488"/>
      <c r="M53" s="489"/>
      <c r="N53" s="240" t="s">
        <v>114</v>
      </c>
      <c r="O53" s="245" t="s">
        <v>178</v>
      </c>
      <c r="P53" s="499" t="s">
        <v>117</v>
      </c>
      <c r="Q53" s="500"/>
      <c r="R53" s="499" t="s">
        <v>370</v>
      </c>
      <c r="S53" s="501"/>
      <c r="T53" s="501"/>
      <c r="U53" s="500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241" t="s">
        <v>128</v>
      </c>
      <c r="D54" s="241" t="s">
        <v>320</v>
      </c>
      <c r="E54" s="241" t="s">
        <v>319</v>
      </c>
      <c r="F54" s="487" t="s">
        <v>204</v>
      </c>
      <c r="G54" s="488"/>
      <c r="H54" s="488"/>
      <c r="I54" s="488"/>
      <c r="J54" s="488"/>
      <c r="K54" s="488"/>
      <c r="L54" s="488"/>
      <c r="M54" s="489"/>
      <c r="N54" s="240" t="s">
        <v>130</v>
      </c>
      <c r="O54" s="245" t="s">
        <v>178</v>
      </c>
      <c r="P54" s="499" t="s">
        <v>117</v>
      </c>
      <c r="Q54" s="500"/>
      <c r="R54" s="486" t="s">
        <v>161</v>
      </c>
      <c r="S54" s="486"/>
      <c r="T54" s="486"/>
      <c r="U54" s="486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130</v>
      </c>
      <c r="B55" s="486"/>
      <c r="C55" s="241" t="s">
        <v>143</v>
      </c>
      <c r="D55" s="241" t="s">
        <v>117</v>
      </c>
      <c r="E55" s="241" t="s">
        <v>161</v>
      </c>
      <c r="F55" s="487" t="s">
        <v>368</v>
      </c>
      <c r="G55" s="488"/>
      <c r="H55" s="488"/>
      <c r="I55" s="488"/>
      <c r="J55" s="488"/>
      <c r="K55" s="488"/>
      <c r="L55" s="488"/>
      <c r="M55" s="489"/>
      <c r="N55" s="240" t="s">
        <v>124</v>
      </c>
      <c r="O55" s="245" t="s">
        <v>202</v>
      </c>
      <c r="P55" s="499" t="s">
        <v>117</v>
      </c>
      <c r="Q55" s="500"/>
      <c r="R55" s="499" t="s">
        <v>371</v>
      </c>
      <c r="S55" s="501"/>
      <c r="T55" s="501"/>
      <c r="U55" s="500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/>
      <c r="B56" s="486"/>
      <c r="C56" s="241"/>
      <c r="D56" s="241"/>
      <c r="E56" s="241"/>
      <c r="F56" s="487"/>
      <c r="G56" s="488"/>
      <c r="H56" s="488"/>
      <c r="I56" s="488"/>
      <c r="J56" s="488"/>
      <c r="K56" s="488"/>
      <c r="L56" s="488"/>
      <c r="M56" s="489"/>
      <c r="N56" s="240"/>
      <c r="O56" s="245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241"/>
      <c r="D57" s="241"/>
      <c r="E57" s="241"/>
      <c r="F57" s="487"/>
      <c r="G57" s="488"/>
      <c r="H57" s="488"/>
      <c r="I57" s="488"/>
      <c r="J57" s="488"/>
      <c r="K57" s="488"/>
      <c r="L57" s="488"/>
      <c r="M57" s="489"/>
      <c r="N57" s="240"/>
      <c r="O57" s="245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241"/>
      <c r="D58" s="241"/>
      <c r="E58" s="241"/>
      <c r="F58" s="487"/>
      <c r="G58" s="488"/>
      <c r="H58" s="488"/>
      <c r="I58" s="488"/>
      <c r="J58" s="488"/>
      <c r="K58" s="488"/>
      <c r="L58" s="488"/>
      <c r="M58" s="489"/>
      <c r="N58" s="240"/>
      <c r="O58" s="24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241"/>
      <c r="D59" s="241"/>
      <c r="E59" s="241"/>
      <c r="F59" s="487"/>
      <c r="G59" s="488"/>
      <c r="H59" s="488"/>
      <c r="I59" s="488"/>
      <c r="J59" s="488"/>
      <c r="K59" s="488"/>
      <c r="L59" s="488"/>
      <c r="M59" s="489"/>
      <c r="N59" s="240"/>
      <c r="O59" s="245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241"/>
      <c r="D60" s="241"/>
      <c r="E60" s="241"/>
      <c r="F60" s="487"/>
      <c r="G60" s="488"/>
      <c r="H60" s="488"/>
      <c r="I60" s="488"/>
      <c r="J60" s="488"/>
      <c r="K60" s="488"/>
      <c r="L60" s="488"/>
      <c r="M60" s="489"/>
      <c r="N60" s="240"/>
      <c r="O60" s="245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242"/>
      <c r="D61" s="242"/>
      <c r="E61" s="242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372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243" t="s">
        <v>2</v>
      </c>
      <c r="D63" s="243" t="s">
        <v>37</v>
      </c>
      <c r="E63" s="243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243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/>
      <c r="D64" s="247"/>
      <c r="E64" s="244"/>
      <c r="F64" s="474"/>
      <c r="G64" s="466"/>
      <c r="H64" s="466"/>
      <c r="I64" s="466"/>
      <c r="J64" s="466"/>
      <c r="K64" s="466"/>
      <c r="L64" s="466"/>
      <c r="M64" s="51"/>
      <c r="N64" s="477"/>
      <c r="O64" s="477"/>
      <c r="P64" s="475"/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/>
      <c r="D65" s="247"/>
      <c r="E65" s="244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247"/>
      <c r="E66" s="244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247"/>
      <c r="E67" s="244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247"/>
      <c r="E68" s="244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247"/>
      <c r="E69" s="244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247"/>
      <c r="E70" s="244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247"/>
      <c r="E71" s="244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373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246" t="s">
        <v>2</v>
      </c>
      <c r="D73" s="246" t="s">
        <v>37</v>
      </c>
      <c r="E73" s="246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248" t="s">
        <v>114</v>
      </c>
      <c r="D74" s="248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247"/>
      <c r="D75" s="247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13">A75+1</f>
        <v>3</v>
      </c>
      <c r="B76" s="434"/>
      <c r="C76" s="247"/>
      <c r="D76" s="247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4</v>
      </c>
      <c r="B77" s="434"/>
      <c r="C77" s="247"/>
      <c r="D77" s="247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5</v>
      </c>
      <c r="B78" s="434"/>
      <c r="C78" s="247"/>
      <c r="D78" s="247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6</v>
      </c>
      <c r="B79" s="434"/>
      <c r="C79" s="247"/>
      <c r="D79" s="247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7</v>
      </c>
      <c r="B80" s="434"/>
      <c r="C80" s="247"/>
      <c r="D80" s="247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8</v>
      </c>
      <c r="B81" s="434"/>
      <c r="C81" s="247"/>
      <c r="D81" s="247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13"/>
        <v>9</v>
      </c>
      <c r="B82" s="434"/>
      <c r="C82" s="247"/>
      <c r="D82" s="247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374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3093-9B46-49C5-8BEA-12AC1B5DB906}">
  <dimension ref="A1:AF88"/>
  <sheetViews>
    <sheetView zoomScale="72" zoomScaleNormal="72" zoomScaleSheetLayoutView="70" workbookViewId="0">
      <selection activeCell="W11" sqref="W11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375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59" t="s">
        <v>17</v>
      </c>
      <c r="L5" s="259" t="s">
        <v>18</v>
      </c>
      <c r="M5" s="259" t="s">
        <v>19</v>
      </c>
      <c r="N5" s="25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0.40555555555555556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0.40555555555555556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4676</v>
      </c>
      <c r="K8" s="15">
        <f>L8+5138+6028+6101+5921+6078+2856</f>
        <v>36798</v>
      </c>
      <c r="L8" s="15">
        <f>2260+2416</f>
        <v>4676</v>
      </c>
      <c r="M8" s="15">
        <f t="shared" si="1"/>
        <v>4676</v>
      </c>
      <c r="N8" s="15">
        <v>0</v>
      </c>
      <c r="O8" s="58">
        <f t="shared" si="2"/>
        <v>0</v>
      </c>
      <c r="P8" s="39">
        <f t="shared" si="3"/>
        <v>21</v>
      </c>
      <c r="Q8" s="40">
        <f t="shared" si="4"/>
        <v>3</v>
      </c>
      <c r="R8" s="7"/>
      <c r="S8" s="6">
        <v>3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0.875</v>
      </c>
      <c r="AD8" s="10">
        <f t="shared" si="7"/>
        <v>0.875</v>
      </c>
      <c r="AE8" s="36">
        <f t="shared" si="8"/>
        <v>0.40555555555555556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136</v>
      </c>
      <c r="E9" s="53" t="s">
        <v>146</v>
      </c>
      <c r="F9" s="30" t="s">
        <v>127</v>
      </c>
      <c r="G9" s="33">
        <v>1</v>
      </c>
      <c r="H9" s="35">
        <v>24</v>
      </c>
      <c r="I9" s="7">
        <v>50000</v>
      </c>
      <c r="J9" s="14">
        <v>5051</v>
      </c>
      <c r="K9" s="15">
        <f>L9+1593+1896+2807+1401+3459+1160+3830+650+1584+2358+4249+584+4731+3038+1149+1391+2345+2572+1276+2512+3429+1210+3718+3141+5112+5426+4833+1883+2918+5569+5002+4681+4452+2460</f>
        <v>103470</v>
      </c>
      <c r="L9" s="15">
        <f>2596+2455</f>
        <v>5051</v>
      </c>
      <c r="M9" s="15">
        <f t="shared" si="1"/>
        <v>5051</v>
      </c>
      <c r="N9" s="15">
        <v>0</v>
      </c>
      <c r="O9" s="58">
        <f t="shared" si="2"/>
        <v>0</v>
      </c>
      <c r="P9" s="39">
        <f t="shared" si="3"/>
        <v>24</v>
      </c>
      <c r="Q9" s="40">
        <f t="shared" si="4"/>
        <v>0</v>
      </c>
      <c r="R9" s="7"/>
      <c r="S9" s="6"/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1</v>
      </c>
      <c r="AD9" s="10">
        <f t="shared" si="7"/>
        <v>1</v>
      </c>
      <c r="AE9" s="36">
        <f t="shared" si="8"/>
        <v>0.40555555555555556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6000</v>
      </c>
      <c r="J10" s="5">
        <v>240</v>
      </c>
      <c r="K10" s="15">
        <f>L10+2135+300+790</f>
        <v>3465</v>
      </c>
      <c r="L10" s="15">
        <v>240</v>
      </c>
      <c r="M10" s="15">
        <f t="shared" si="1"/>
        <v>240</v>
      </c>
      <c r="N10" s="15">
        <v>0</v>
      </c>
      <c r="O10" s="58">
        <f t="shared" si="2"/>
        <v>0</v>
      </c>
      <c r="P10" s="39">
        <f t="shared" si="3"/>
        <v>2</v>
      </c>
      <c r="Q10" s="40">
        <f t="shared" si="4"/>
        <v>22</v>
      </c>
      <c r="R10" s="7"/>
      <c r="S10" s="6">
        <v>22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8.3333333333333329E-2</v>
      </c>
      <c r="AD10" s="10">
        <f>AC10*AB10*(1-O10)</f>
        <v>8.3333333333333329E-2</v>
      </c>
      <c r="AE10" s="36">
        <f t="shared" si="8"/>
        <v>0.40555555555555556</v>
      </c>
      <c r="AF10" s="87">
        <f t="shared" si="9"/>
        <v>5</v>
      </c>
    </row>
    <row r="11" spans="1:32" ht="27" customHeight="1">
      <c r="A11" s="103">
        <v>5</v>
      </c>
      <c r="B11" s="11" t="s">
        <v>57</v>
      </c>
      <c r="C11" s="34" t="s">
        <v>130</v>
      </c>
      <c r="D11" s="52" t="s">
        <v>122</v>
      </c>
      <c r="E11" s="53" t="s">
        <v>376</v>
      </c>
      <c r="F11" s="30" t="s">
        <v>135</v>
      </c>
      <c r="G11" s="33">
        <v>1</v>
      </c>
      <c r="H11" s="35">
        <v>24</v>
      </c>
      <c r="I11" s="7">
        <v>10000</v>
      </c>
      <c r="J11" s="5">
        <v>8894</v>
      </c>
      <c r="K11" s="15">
        <f>L11</f>
        <v>8894</v>
      </c>
      <c r="L11" s="15">
        <f>3557*2+890*2</f>
        <v>8894</v>
      </c>
      <c r="M11" s="15">
        <f t="shared" si="1"/>
        <v>8894</v>
      </c>
      <c r="N11" s="15">
        <v>0</v>
      </c>
      <c r="O11" s="58">
        <f t="shared" si="2"/>
        <v>0</v>
      </c>
      <c r="P11" s="39">
        <f t="shared" si="3"/>
        <v>19</v>
      </c>
      <c r="Q11" s="40">
        <f t="shared" si="4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0.79166666666666663</v>
      </c>
      <c r="AD11" s="10">
        <f>AC11*AB11*(1-O11)</f>
        <v>0.79166666666666663</v>
      </c>
      <c r="AE11" s="36">
        <f t="shared" si="8"/>
        <v>0.40555555555555556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136</v>
      </c>
      <c r="E12" s="53" t="s">
        <v>293</v>
      </c>
      <c r="F12" s="30" t="s">
        <v>127</v>
      </c>
      <c r="G12" s="33">
        <v>1</v>
      </c>
      <c r="H12" s="35">
        <v>24</v>
      </c>
      <c r="I12" s="7">
        <v>10000</v>
      </c>
      <c r="J12" s="5">
        <v>1299</v>
      </c>
      <c r="K12" s="15">
        <f>L12+1067+915+500</f>
        <v>3781</v>
      </c>
      <c r="L12" s="15">
        <f>740+559</f>
        <v>1299</v>
      </c>
      <c r="M12" s="15">
        <f t="shared" si="1"/>
        <v>1299</v>
      </c>
      <c r="N12" s="15">
        <v>0</v>
      </c>
      <c r="O12" s="58">
        <f t="shared" si="2"/>
        <v>0</v>
      </c>
      <c r="P12" s="39">
        <f t="shared" si="3"/>
        <v>6</v>
      </c>
      <c r="Q12" s="40">
        <f t="shared" si="4"/>
        <v>18</v>
      </c>
      <c r="R12" s="7"/>
      <c r="S12" s="6">
        <v>18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0.25</v>
      </c>
      <c r="AD12" s="10">
        <f>AC12*AB12*(1-O12)</f>
        <v>0.25</v>
      </c>
      <c r="AE12" s="36">
        <f t="shared" si="8"/>
        <v>0.40555555555555556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118</v>
      </c>
      <c r="F13" s="30" t="s">
        <v>121</v>
      </c>
      <c r="G13" s="33">
        <v>1</v>
      </c>
      <c r="H13" s="35">
        <v>24</v>
      </c>
      <c r="I13" s="7">
        <v>48000</v>
      </c>
      <c r="J13" s="14">
        <v>679</v>
      </c>
      <c r="K13" s="15">
        <f>L13+4623+4705+5405+1826+2220+3415+4921+2272</f>
        <v>30066</v>
      </c>
      <c r="L13" s="15">
        <v>679</v>
      </c>
      <c r="M13" s="15">
        <f t="shared" si="1"/>
        <v>679</v>
      </c>
      <c r="N13" s="15">
        <v>0</v>
      </c>
      <c r="O13" s="58">
        <f t="shared" si="2"/>
        <v>0</v>
      </c>
      <c r="P13" s="39">
        <f t="shared" si="3"/>
        <v>4</v>
      </c>
      <c r="Q13" s="40">
        <f t="shared" si="4"/>
        <v>20</v>
      </c>
      <c r="R13" s="7"/>
      <c r="S13" s="6">
        <v>20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0.16666666666666666</v>
      </c>
      <c r="AD13" s="10">
        <f t="shared" ref="AD13" si="10">AC13*AB13*(1-O13)</f>
        <v>0.16666666666666666</v>
      </c>
      <c r="AE13" s="36">
        <f t="shared" si="8"/>
        <v>0.40555555555555556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117</v>
      </c>
      <c r="E14" s="53" t="s">
        <v>370</v>
      </c>
      <c r="F14" s="30" t="s">
        <v>148</v>
      </c>
      <c r="G14" s="33">
        <v>1</v>
      </c>
      <c r="H14" s="35">
        <v>24</v>
      </c>
      <c r="I14" s="7">
        <v>200</v>
      </c>
      <c r="J14" s="14">
        <v>4155</v>
      </c>
      <c r="K14" s="15">
        <f>L14</f>
        <v>0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>
        <v>24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0.40555555555555556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124</v>
      </c>
      <c r="D15" s="52" t="s">
        <v>117</v>
      </c>
      <c r="E15" s="53" t="s">
        <v>371</v>
      </c>
      <c r="F15" s="30" t="s">
        <v>151</v>
      </c>
      <c r="G15" s="12">
        <v>1</v>
      </c>
      <c r="H15" s="13">
        <v>45</v>
      </c>
      <c r="I15" s="7">
        <v>300</v>
      </c>
      <c r="J15" s="5">
        <v>516</v>
      </c>
      <c r="K15" s="15">
        <f>L15</f>
        <v>516</v>
      </c>
      <c r="L15" s="15">
        <v>516</v>
      </c>
      <c r="M15" s="15">
        <f t="shared" si="1"/>
        <v>516</v>
      </c>
      <c r="N15" s="15">
        <v>0</v>
      </c>
      <c r="O15" s="58">
        <f t="shared" si="2"/>
        <v>0</v>
      </c>
      <c r="P15" s="39">
        <f t="shared" si="3"/>
        <v>6</v>
      </c>
      <c r="Q15" s="40">
        <f t="shared" si="4"/>
        <v>18</v>
      </c>
      <c r="R15" s="7"/>
      <c r="S15" s="6"/>
      <c r="T15" s="16"/>
      <c r="U15" s="16"/>
      <c r="V15" s="17"/>
      <c r="W15" s="5">
        <v>18</v>
      </c>
      <c r="X15" s="16"/>
      <c r="Y15" s="16"/>
      <c r="Z15" s="16"/>
      <c r="AA15" s="18"/>
      <c r="AB15" s="8">
        <f t="shared" si="5"/>
        <v>1</v>
      </c>
      <c r="AC15" s="9">
        <f t="shared" si="6"/>
        <v>0.25</v>
      </c>
      <c r="AD15" s="10">
        <f t="shared" si="7"/>
        <v>0.25</v>
      </c>
      <c r="AE15" s="36">
        <f t="shared" si="8"/>
        <v>0.40555555555555556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285</v>
      </c>
      <c r="D16" s="52"/>
      <c r="E16" s="53" t="s">
        <v>286</v>
      </c>
      <c r="F16" s="12" t="s">
        <v>287</v>
      </c>
      <c r="G16" s="12" t="s">
        <v>197</v>
      </c>
      <c r="H16" s="13">
        <v>24</v>
      </c>
      <c r="I16" s="31">
        <v>28000</v>
      </c>
      <c r="J16" s="14">
        <v>5532</v>
      </c>
      <c r="K16" s="15">
        <f>L16+3216+6251+3050</f>
        <v>18049</v>
      </c>
      <c r="L16" s="15">
        <f>2685+2847</f>
        <v>5532</v>
      </c>
      <c r="M16" s="15">
        <f t="shared" si="1"/>
        <v>5532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0.40555555555555556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130</v>
      </c>
      <c r="D17" s="52" t="s">
        <v>320</v>
      </c>
      <c r="E17" s="53" t="s">
        <v>377</v>
      </c>
      <c r="F17" s="30" t="s">
        <v>135</v>
      </c>
      <c r="G17" s="12">
        <v>2</v>
      </c>
      <c r="H17" s="13">
        <v>28</v>
      </c>
      <c r="I17" s="7">
        <v>1300</v>
      </c>
      <c r="J17" s="14">
        <v>694</v>
      </c>
      <c r="K17" s="15">
        <f>L17</f>
        <v>694</v>
      </c>
      <c r="L17" s="15">
        <f>347*2</f>
        <v>694</v>
      </c>
      <c r="M17" s="15">
        <f t="shared" si="1"/>
        <v>694</v>
      </c>
      <c r="N17" s="15">
        <v>0</v>
      </c>
      <c r="O17" s="58">
        <f t="shared" si="2"/>
        <v>0</v>
      </c>
      <c r="P17" s="39">
        <f t="shared" si="3"/>
        <v>4</v>
      </c>
      <c r="Q17" s="40">
        <f t="shared" si="4"/>
        <v>20</v>
      </c>
      <c r="R17" s="7"/>
      <c r="S17" s="6"/>
      <c r="T17" s="16"/>
      <c r="U17" s="16"/>
      <c r="V17" s="17">
        <v>20</v>
      </c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0.16666666666666666</v>
      </c>
      <c r="AD17" s="10">
        <f t="shared" si="7"/>
        <v>0.16666666666666666</v>
      </c>
      <c r="AE17" s="36">
        <f t="shared" si="8"/>
        <v>0.40555555555555556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11" t="s">
        <v>130</v>
      </c>
      <c r="D18" s="52" t="s">
        <v>125</v>
      </c>
      <c r="E18" s="53" t="s">
        <v>318</v>
      </c>
      <c r="F18" s="30" t="s">
        <v>137</v>
      </c>
      <c r="G18" s="33">
        <v>1</v>
      </c>
      <c r="H18" s="35">
        <v>20</v>
      </c>
      <c r="I18" s="7">
        <v>30000</v>
      </c>
      <c r="J18" s="14">
        <v>11296</v>
      </c>
      <c r="K18" s="15">
        <f>L18+19668+11296</f>
        <v>30964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0.40555555555555556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130</v>
      </c>
      <c r="D19" s="52" t="s">
        <v>117</v>
      </c>
      <c r="E19" s="53" t="s">
        <v>378</v>
      </c>
      <c r="F19" s="30" t="s">
        <v>135</v>
      </c>
      <c r="G19" s="33">
        <v>2</v>
      </c>
      <c r="H19" s="35">
        <v>24</v>
      </c>
      <c r="I19" s="7">
        <v>1000</v>
      </c>
      <c r="J19" s="14">
        <v>1518</v>
      </c>
      <c r="K19" s="15">
        <f>L19</f>
        <v>1518</v>
      </c>
      <c r="L19" s="15">
        <f>759*2</f>
        <v>1518</v>
      </c>
      <c r="M19" s="15">
        <f t="shared" ref="M19" si="11">L19-N19</f>
        <v>1518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4</v>
      </c>
      <c r="Q19" s="40">
        <f t="shared" ref="Q19" si="14">SUM(R19:AA19)</f>
        <v>20</v>
      </c>
      <c r="R19" s="7"/>
      <c r="S19" s="6"/>
      <c r="T19" s="16"/>
      <c r="U19" s="16"/>
      <c r="V19" s="17">
        <v>20</v>
      </c>
      <c r="W19" s="5"/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0.16666666666666666</v>
      </c>
      <c r="AD19" s="10">
        <f t="shared" ref="AD19" si="17">AC19*AB19*(1-O19)</f>
        <v>0.16666666666666666</v>
      </c>
      <c r="AE19" s="36">
        <f t="shared" si="8"/>
        <v>0.40555555555555556</v>
      </c>
      <c r="AF19" s="87">
        <f t="shared" ref="AF19" si="18">A19</f>
        <v>13</v>
      </c>
    </row>
    <row r="20" spans="1:32" ht="27" customHeight="1">
      <c r="A20" s="103">
        <v>13</v>
      </c>
      <c r="B20" s="11" t="s">
        <v>57</v>
      </c>
      <c r="C20" s="11" t="s">
        <v>124</v>
      </c>
      <c r="D20" s="52" t="s">
        <v>125</v>
      </c>
      <c r="E20" s="53" t="s">
        <v>379</v>
      </c>
      <c r="F20" s="30" t="s">
        <v>380</v>
      </c>
      <c r="G20" s="33">
        <v>1</v>
      </c>
      <c r="H20" s="35">
        <v>24</v>
      </c>
      <c r="I20" s="7">
        <v>3700</v>
      </c>
      <c r="J20" s="14">
        <v>1945</v>
      </c>
      <c r="K20" s="15">
        <f>L20</f>
        <v>1945</v>
      </c>
      <c r="L20" s="15">
        <f>1945</f>
        <v>1945</v>
      </c>
      <c r="M20" s="15">
        <f t="shared" si="1"/>
        <v>1945</v>
      </c>
      <c r="N20" s="15">
        <v>0</v>
      </c>
      <c r="O20" s="58">
        <f t="shared" si="2"/>
        <v>0</v>
      </c>
      <c r="P20" s="39">
        <f t="shared" si="3"/>
        <v>11</v>
      </c>
      <c r="Q20" s="40">
        <f t="shared" si="4"/>
        <v>13</v>
      </c>
      <c r="R20" s="7"/>
      <c r="S20" s="6"/>
      <c r="T20" s="16">
        <v>13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0.45833333333333331</v>
      </c>
      <c r="AD20" s="10">
        <f t="shared" si="7"/>
        <v>0.45833333333333331</v>
      </c>
      <c r="AE20" s="36">
        <f t="shared" si="8"/>
        <v>0.40555555555555556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297</v>
      </c>
      <c r="F21" s="30" t="s">
        <v>121</v>
      </c>
      <c r="G21" s="33">
        <v>1</v>
      </c>
      <c r="H21" s="35">
        <v>24</v>
      </c>
      <c r="I21" s="7">
        <v>60000</v>
      </c>
      <c r="J21" s="14">
        <v>4113</v>
      </c>
      <c r="K21" s="15">
        <f>L21+4692+4864+4990+3865+2322</f>
        <v>24846</v>
      </c>
      <c r="L21" s="15">
        <f>1776+2337</f>
        <v>4113</v>
      </c>
      <c r="M21" s="15">
        <f t="shared" si="1"/>
        <v>4113</v>
      </c>
      <c r="N21" s="15">
        <v>0</v>
      </c>
      <c r="O21" s="58">
        <f t="shared" si="2"/>
        <v>0</v>
      </c>
      <c r="P21" s="39">
        <f t="shared" si="3"/>
        <v>21</v>
      </c>
      <c r="Q21" s="40">
        <f t="shared" si="4"/>
        <v>3</v>
      </c>
      <c r="R21" s="7"/>
      <c r="S21" s="6">
        <v>3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0.875</v>
      </c>
      <c r="AD21" s="10">
        <f t="shared" si="7"/>
        <v>0.875</v>
      </c>
      <c r="AE21" s="36">
        <f t="shared" si="8"/>
        <v>0.40555555555555556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345</v>
      </c>
      <c r="F22" s="12" t="s">
        <v>116</v>
      </c>
      <c r="G22" s="12">
        <v>4</v>
      </c>
      <c r="H22" s="35">
        <v>20</v>
      </c>
      <c r="I22" s="7">
        <v>100000</v>
      </c>
      <c r="J22" s="14">
        <v>37796</v>
      </c>
      <c r="K22" s="15">
        <f>L22+38096+37796</f>
        <v>75892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/>
      <c r="T22" s="16"/>
      <c r="U22" s="16"/>
      <c r="V22" s="17">
        <v>24</v>
      </c>
      <c r="W22" s="5"/>
      <c r="X22" s="16"/>
      <c r="Y22" s="16"/>
      <c r="Z22" s="16"/>
      <c r="AA22" s="18"/>
      <c r="AB22" s="8">
        <f t="shared" si="5"/>
        <v>0</v>
      </c>
      <c r="AC22" s="9">
        <f t="shared" si="6"/>
        <v>0</v>
      </c>
      <c r="AD22" s="10">
        <f t="shared" si="7"/>
        <v>0</v>
      </c>
      <c r="AE22" s="36">
        <f t="shared" si="8"/>
        <v>0.40555555555555556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19">SUM(I6:I22)</f>
        <v>387500</v>
      </c>
      <c r="J23" s="19">
        <f t="shared" si="19"/>
        <v>90465</v>
      </c>
      <c r="K23" s="20">
        <f t="shared" si="19"/>
        <v>352446</v>
      </c>
      <c r="L23" s="21">
        <f t="shared" si="19"/>
        <v>35157</v>
      </c>
      <c r="M23" s="20">
        <f t="shared" si="19"/>
        <v>35157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146</v>
      </c>
      <c r="Q23" s="43">
        <f t="shared" si="20"/>
        <v>262</v>
      </c>
      <c r="R23" s="23">
        <f t="shared" si="20"/>
        <v>24</v>
      </c>
      <c r="S23" s="24">
        <f t="shared" si="20"/>
        <v>95</v>
      </c>
      <c r="T23" s="24">
        <f t="shared" si="20"/>
        <v>13</v>
      </c>
      <c r="U23" s="24">
        <f t="shared" si="20"/>
        <v>0</v>
      </c>
      <c r="V23" s="25">
        <f t="shared" si="20"/>
        <v>88</v>
      </c>
      <c r="W23" s="26">
        <f t="shared" si="20"/>
        <v>18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24</v>
      </c>
      <c r="AB23" s="28">
        <f>SUM(AB6:AB22)/15</f>
        <v>0.8</v>
      </c>
      <c r="AC23" s="4">
        <f>SUM(AC6:AC22)/15</f>
        <v>0.40555555555555556</v>
      </c>
      <c r="AD23" s="4">
        <f>SUM(AD6:AD22)/15</f>
        <v>0.40555555555555556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381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385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258" t="s">
        <v>46</v>
      </c>
      <c r="D52" s="258" t="s">
        <v>47</v>
      </c>
      <c r="E52" s="258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258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256" t="s">
        <v>149</v>
      </c>
      <c r="D53" s="256" t="s">
        <v>136</v>
      </c>
      <c r="E53" s="256" t="s">
        <v>293</v>
      </c>
      <c r="F53" s="487" t="s">
        <v>382</v>
      </c>
      <c r="G53" s="488"/>
      <c r="H53" s="488"/>
      <c r="I53" s="488"/>
      <c r="J53" s="488"/>
      <c r="K53" s="488"/>
      <c r="L53" s="488"/>
      <c r="M53" s="489"/>
      <c r="N53" s="255" t="s">
        <v>124</v>
      </c>
      <c r="O53" s="253" t="s">
        <v>149</v>
      </c>
      <c r="P53" s="499" t="s">
        <v>136</v>
      </c>
      <c r="Q53" s="500"/>
      <c r="R53" s="486" t="s">
        <v>293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256" t="s">
        <v>128</v>
      </c>
      <c r="D54" s="256" t="s">
        <v>165</v>
      </c>
      <c r="E54" s="256" t="s">
        <v>207</v>
      </c>
      <c r="F54" s="487" t="s">
        <v>263</v>
      </c>
      <c r="G54" s="488"/>
      <c r="H54" s="488"/>
      <c r="I54" s="488"/>
      <c r="J54" s="488"/>
      <c r="K54" s="488"/>
      <c r="L54" s="488"/>
      <c r="M54" s="489"/>
      <c r="N54" s="255" t="s">
        <v>114</v>
      </c>
      <c r="O54" s="253" t="s">
        <v>178</v>
      </c>
      <c r="P54" s="499" t="s">
        <v>117</v>
      </c>
      <c r="Q54" s="500"/>
      <c r="R54" s="499" t="s">
        <v>370</v>
      </c>
      <c r="S54" s="501"/>
      <c r="T54" s="501"/>
      <c r="U54" s="500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256" t="s">
        <v>262</v>
      </c>
      <c r="D55" s="256" t="s">
        <v>122</v>
      </c>
      <c r="E55" s="256" t="s">
        <v>253</v>
      </c>
      <c r="F55" s="487" t="s">
        <v>383</v>
      </c>
      <c r="G55" s="488"/>
      <c r="H55" s="488"/>
      <c r="I55" s="488"/>
      <c r="J55" s="488"/>
      <c r="K55" s="488"/>
      <c r="L55" s="488"/>
      <c r="M55" s="489"/>
      <c r="N55" s="255" t="s">
        <v>130</v>
      </c>
      <c r="O55" s="253" t="s">
        <v>178</v>
      </c>
      <c r="P55" s="499" t="s">
        <v>117</v>
      </c>
      <c r="Q55" s="500"/>
      <c r="R55" s="486" t="s">
        <v>161</v>
      </c>
      <c r="S55" s="486"/>
      <c r="T55" s="486"/>
      <c r="U55" s="486"/>
      <c r="V55" s="476" t="s">
        <v>204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256" t="s">
        <v>178</v>
      </c>
      <c r="D56" s="256" t="s">
        <v>117</v>
      </c>
      <c r="E56" s="256" t="s">
        <v>370</v>
      </c>
      <c r="F56" s="487" t="s">
        <v>335</v>
      </c>
      <c r="G56" s="488"/>
      <c r="H56" s="488"/>
      <c r="I56" s="488"/>
      <c r="J56" s="488"/>
      <c r="K56" s="488"/>
      <c r="L56" s="488"/>
      <c r="M56" s="489"/>
      <c r="N56" s="255" t="s">
        <v>114</v>
      </c>
      <c r="O56" s="253" t="s">
        <v>144</v>
      </c>
      <c r="P56" s="499" t="s">
        <v>117</v>
      </c>
      <c r="Q56" s="500"/>
      <c r="R56" s="499" t="s">
        <v>386</v>
      </c>
      <c r="S56" s="501"/>
      <c r="T56" s="501"/>
      <c r="U56" s="500"/>
      <c r="V56" s="476" t="s">
        <v>120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124</v>
      </c>
      <c r="B57" s="486"/>
      <c r="C57" s="256" t="s">
        <v>202</v>
      </c>
      <c r="D57" s="256" t="s">
        <v>117</v>
      </c>
      <c r="E57" s="256" t="s">
        <v>371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255" t="s">
        <v>124</v>
      </c>
      <c r="O57" s="253" t="s">
        <v>149</v>
      </c>
      <c r="P57" s="499" t="s">
        <v>138</v>
      </c>
      <c r="Q57" s="500"/>
      <c r="R57" s="499" t="s">
        <v>387</v>
      </c>
      <c r="S57" s="501"/>
      <c r="T57" s="501"/>
      <c r="U57" s="500"/>
      <c r="V57" s="476" t="s">
        <v>120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124</v>
      </c>
      <c r="B58" s="486"/>
      <c r="C58" s="256" t="s">
        <v>143</v>
      </c>
      <c r="D58" s="256" t="s">
        <v>117</v>
      </c>
      <c r="E58" s="256" t="s">
        <v>379</v>
      </c>
      <c r="F58" s="487" t="s">
        <v>384</v>
      </c>
      <c r="G58" s="488"/>
      <c r="H58" s="488"/>
      <c r="I58" s="488"/>
      <c r="J58" s="488"/>
      <c r="K58" s="488"/>
      <c r="L58" s="488"/>
      <c r="M58" s="489"/>
      <c r="N58" s="255" t="s">
        <v>114</v>
      </c>
      <c r="O58" s="253" t="s">
        <v>134</v>
      </c>
      <c r="P58" s="499" t="s">
        <v>117</v>
      </c>
      <c r="Q58" s="500"/>
      <c r="R58" s="486" t="s">
        <v>118</v>
      </c>
      <c r="S58" s="486"/>
      <c r="T58" s="486"/>
      <c r="U58" s="486"/>
      <c r="V58" s="476" t="s">
        <v>204</v>
      </c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124</v>
      </c>
      <c r="B59" s="486"/>
      <c r="C59" s="256" t="s">
        <v>211</v>
      </c>
      <c r="D59" s="256" t="s">
        <v>117</v>
      </c>
      <c r="E59" s="256" t="s">
        <v>297</v>
      </c>
      <c r="F59" s="487" t="s">
        <v>177</v>
      </c>
      <c r="G59" s="488"/>
      <c r="H59" s="488"/>
      <c r="I59" s="488"/>
      <c r="J59" s="488"/>
      <c r="K59" s="488"/>
      <c r="L59" s="488"/>
      <c r="M59" s="489"/>
      <c r="N59" s="255"/>
      <c r="O59" s="253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114</v>
      </c>
      <c r="B60" s="486"/>
      <c r="C60" s="256" t="s">
        <v>134</v>
      </c>
      <c r="D60" s="256" t="s">
        <v>117</v>
      </c>
      <c r="E60" s="256" t="s">
        <v>118</v>
      </c>
      <c r="F60" s="487" t="s">
        <v>337</v>
      </c>
      <c r="G60" s="488"/>
      <c r="H60" s="488"/>
      <c r="I60" s="488"/>
      <c r="J60" s="488"/>
      <c r="K60" s="488"/>
      <c r="L60" s="488"/>
      <c r="M60" s="489"/>
      <c r="N60" s="255"/>
      <c r="O60" s="253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256"/>
      <c r="D61" s="256"/>
      <c r="E61" s="256"/>
      <c r="F61" s="487"/>
      <c r="G61" s="488"/>
      <c r="H61" s="488"/>
      <c r="I61" s="488"/>
      <c r="J61" s="488"/>
      <c r="K61" s="488"/>
      <c r="L61" s="488"/>
      <c r="M61" s="489"/>
      <c r="N61" s="255"/>
      <c r="O61" s="253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257"/>
      <c r="D62" s="257"/>
      <c r="E62" s="257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388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254" t="s">
        <v>2</v>
      </c>
      <c r="D64" s="254" t="s">
        <v>37</v>
      </c>
      <c r="E64" s="254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254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130</v>
      </c>
      <c r="D65" s="249"/>
      <c r="E65" s="252" t="s">
        <v>136</v>
      </c>
      <c r="F65" s="474" t="s">
        <v>389</v>
      </c>
      <c r="G65" s="466"/>
      <c r="H65" s="466"/>
      <c r="I65" s="466"/>
      <c r="J65" s="466"/>
      <c r="K65" s="466" t="s">
        <v>137</v>
      </c>
      <c r="L65" s="466"/>
      <c r="M65" s="51" t="s">
        <v>390</v>
      </c>
      <c r="N65" s="477" t="s">
        <v>132</v>
      </c>
      <c r="O65" s="477"/>
      <c r="P65" s="475">
        <v>500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/>
      <c r="D66" s="249"/>
      <c r="E66" s="252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/>
      <c r="D67" s="249"/>
      <c r="E67" s="252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/>
      <c r="D68" s="249"/>
      <c r="E68" s="252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/>
      <c r="D69" s="249"/>
      <c r="E69" s="252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/>
      <c r="D70" s="249"/>
      <c r="E70" s="252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/>
      <c r="D71" s="249"/>
      <c r="E71" s="252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249"/>
      <c r="E72" s="252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391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251" t="s">
        <v>2</v>
      </c>
      <c r="D74" s="251" t="s">
        <v>37</v>
      </c>
      <c r="E74" s="251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250" t="s">
        <v>114</v>
      </c>
      <c r="D75" s="250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249"/>
      <c r="D76" s="249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1">A76+1</f>
        <v>3</v>
      </c>
      <c r="B77" s="434"/>
      <c r="C77" s="249"/>
      <c r="D77" s="249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4</v>
      </c>
      <c r="B78" s="434"/>
      <c r="C78" s="249"/>
      <c r="D78" s="249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5</v>
      </c>
      <c r="B79" s="434"/>
      <c r="C79" s="249"/>
      <c r="D79" s="249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6</v>
      </c>
      <c r="B80" s="434"/>
      <c r="C80" s="249"/>
      <c r="D80" s="249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7</v>
      </c>
      <c r="B81" s="434"/>
      <c r="C81" s="249"/>
      <c r="D81" s="249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8</v>
      </c>
      <c r="B82" s="434"/>
      <c r="C82" s="249"/>
      <c r="D82" s="249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1"/>
        <v>9</v>
      </c>
      <c r="B83" s="434"/>
      <c r="C83" s="249"/>
      <c r="D83" s="249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392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21603-5F48-4ADC-8AE5-219CDAD36124}">
  <dimension ref="A1:AF86"/>
  <sheetViews>
    <sheetView zoomScale="72" zoomScaleNormal="72" zoomScaleSheetLayoutView="70" workbookViewId="0">
      <selection activeCell="A9" sqref="A9:XFD9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393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60" t="s">
        <v>17</v>
      </c>
      <c r="L5" s="260" t="s">
        <v>18</v>
      </c>
      <c r="M5" s="260" t="s">
        <v>19</v>
      </c>
      <c r="N5" s="26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0.53333333333333333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0.53333333333333333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6141</v>
      </c>
      <c r="K8" s="15">
        <f>L8+5138+6028+6101+5921+6078+2856+4676</f>
        <v>42939</v>
      </c>
      <c r="L8" s="15">
        <f>3270+2871</f>
        <v>6141</v>
      </c>
      <c r="M8" s="15">
        <f t="shared" si="1"/>
        <v>6141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0.53333333333333333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386</v>
      </c>
      <c r="F9" s="30" t="s">
        <v>123</v>
      </c>
      <c r="G9" s="33">
        <v>1</v>
      </c>
      <c r="H9" s="35">
        <v>24</v>
      </c>
      <c r="I9" s="7">
        <v>5000</v>
      </c>
      <c r="J9" s="14">
        <v>4216</v>
      </c>
      <c r="K9" s="15">
        <f>L9</f>
        <v>4216</v>
      </c>
      <c r="L9" s="15">
        <f>1689+2527</f>
        <v>4216</v>
      </c>
      <c r="M9" s="15">
        <f t="shared" si="1"/>
        <v>4216</v>
      </c>
      <c r="N9" s="15">
        <v>0</v>
      </c>
      <c r="O9" s="58">
        <f t="shared" si="2"/>
        <v>0</v>
      </c>
      <c r="P9" s="39">
        <f t="shared" si="3"/>
        <v>21</v>
      </c>
      <c r="Q9" s="40">
        <f t="shared" si="4"/>
        <v>3</v>
      </c>
      <c r="R9" s="7"/>
      <c r="S9" s="6"/>
      <c r="T9" s="16">
        <v>3</v>
      </c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0.875</v>
      </c>
      <c r="AD9" s="10">
        <f t="shared" si="7"/>
        <v>0.875</v>
      </c>
      <c r="AE9" s="36">
        <f t="shared" si="8"/>
        <v>0.53333333333333333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114</v>
      </c>
      <c r="D10" s="52" t="s">
        <v>165</v>
      </c>
      <c r="E10" s="53" t="s">
        <v>207</v>
      </c>
      <c r="F10" s="30" t="s">
        <v>123</v>
      </c>
      <c r="G10" s="33">
        <v>1</v>
      </c>
      <c r="H10" s="35">
        <v>24</v>
      </c>
      <c r="I10" s="7">
        <v>6000</v>
      </c>
      <c r="J10" s="5">
        <v>4478</v>
      </c>
      <c r="K10" s="15">
        <f>L10+2135+300+790+240</f>
        <v>7943</v>
      </c>
      <c r="L10" s="15">
        <f>2318+2160</f>
        <v>4478</v>
      </c>
      <c r="M10" s="15">
        <f t="shared" si="1"/>
        <v>4478</v>
      </c>
      <c r="N10" s="15">
        <v>0</v>
      </c>
      <c r="O10" s="58">
        <f t="shared" si="2"/>
        <v>0</v>
      </c>
      <c r="P10" s="39">
        <f t="shared" si="3"/>
        <v>2</v>
      </c>
      <c r="Q10" s="40">
        <f t="shared" si="4"/>
        <v>22</v>
      </c>
      <c r="R10" s="7"/>
      <c r="S10" s="6">
        <v>22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8.3333333333333329E-2</v>
      </c>
      <c r="AD10" s="10">
        <f>AC10*AB10*(1-O10)</f>
        <v>8.3333333333333329E-2</v>
      </c>
      <c r="AE10" s="36">
        <f t="shared" si="8"/>
        <v>0.53333333333333333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138</v>
      </c>
      <c r="E11" s="53" t="s">
        <v>387</v>
      </c>
      <c r="F11" s="30" t="s">
        <v>274</v>
      </c>
      <c r="G11" s="33">
        <v>1</v>
      </c>
      <c r="H11" s="35">
        <v>24</v>
      </c>
      <c r="I11" s="7">
        <v>2000</v>
      </c>
      <c r="J11" s="5">
        <v>5228</v>
      </c>
      <c r="K11" s="15">
        <f>L11</f>
        <v>5228</v>
      </c>
      <c r="L11" s="15">
        <f>1425*2+1189*2</f>
        <v>5228</v>
      </c>
      <c r="M11" s="15">
        <f t="shared" si="1"/>
        <v>5228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/>
      <c r="T11" s="16"/>
      <c r="U11" s="16"/>
      <c r="V11" s="17"/>
      <c r="W11" s="5">
        <v>10</v>
      </c>
      <c r="X11" s="16"/>
      <c r="Y11" s="16"/>
      <c r="Z11" s="16"/>
      <c r="AA11" s="18"/>
      <c r="AB11" s="8">
        <f t="shared" si="5"/>
        <v>1</v>
      </c>
      <c r="AC11" s="9">
        <f t="shared" si="6"/>
        <v>0.58333333333333337</v>
      </c>
      <c r="AD11" s="10">
        <f>AC11*AB11*(1-O11)</f>
        <v>0.58333333333333337</v>
      </c>
      <c r="AE11" s="36">
        <f t="shared" si="8"/>
        <v>0.53333333333333333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1842</v>
      </c>
      <c r="K12" s="15">
        <f>L12+4623+4705+5405+1826+2220+3415+4921+2272+679</f>
        <v>31908</v>
      </c>
      <c r="L12" s="15">
        <f>1842</f>
        <v>1842</v>
      </c>
      <c r="M12" s="15">
        <f t="shared" si="1"/>
        <v>1842</v>
      </c>
      <c r="N12" s="15">
        <v>0</v>
      </c>
      <c r="O12" s="58">
        <f t="shared" si="2"/>
        <v>0</v>
      </c>
      <c r="P12" s="39">
        <f t="shared" si="3"/>
        <v>11</v>
      </c>
      <c r="Q12" s="40">
        <f t="shared" si="4"/>
        <v>13</v>
      </c>
      <c r="R12" s="7"/>
      <c r="S12" s="6">
        <v>13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0.45833333333333331</v>
      </c>
      <c r="AD12" s="10">
        <f t="shared" ref="AD12" si="10">AC12*AB12*(1-O12)</f>
        <v>0.45833333333333331</v>
      </c>
      <c r="AE12" s="36">
        <f t="shared" si="8"/>
        <v>0.53333333333333333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117</v>
      </c>
      <c r="E13" s="53" t="s">
        <v>370</v>
      </c>
      <c r="F13" s="30" t="s">
        <v>148</v>
      </c>
      <c r="G13" s="33">
        <v>1</v>
      </c>
      <c r="H13" s="35">
        <v>24</v>
      </c>
      <c r="I13" s="7">
        <v>200</v>
      </c>
      <c r="J13" s="14">
        <v>1108</v>
      </c>
      <c r="K13" s="15">
        <f>L13</f>
        <v>1108</v>
      </c>
      <c r="L13" s="15">
        <f>707+401</f>
        <v>1108</v>
      </c>
      <c r="M13" s="15">
        <f t="shared" si="1"/>
        <v>1108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/>
      <c r="S13" s="6">
        <v>10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0.58333333333333337</v>
      </c>
      <c r="AD13" s="10">
        <f t="shared" si="7"/>
        <v>0.58333333333333337</v>
      </c>
      <c r="AE13" s="36">
        <f t="shared" si="8"/>
        <v>0.53333333333333333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0.53333333333333333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28000</v>
      </c>
      <c r="J15" s="14">
        <v>6499</v>
      </c>
      <c r="K15" s="15">
        <f>L15+3216+6251+3050+5532</f>
        <v>24548</v>
      </c>
      <c r="L15" s="15">
        <f>3091+3408</f>
        <v>6499</v>
      </c>
      <c r="M15" s="15">
        <f t="shared" si="1"/>
        <v>6499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0.53333333333333333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254</v>
      </c>
      <c r="D16" s="52"/>
      <c r="E16" s="53" t="s">
        <v>394</v>
      </c>
      <c r="F16" s="30" t="s">
        <v>151</v>
      </c>
      <c r="G16" s="12">
        <v>1</v>
      </c>
      <c r="H16" s="13">
        <v>28</v>
      </c>
      <c r="I16" s="7">
        <v>1500</v>
      </c>
      <c r="J16" s="14">
        <v>3460</v>
      </c>
      <c r="K16" s="15">
        <f>L16</f>
        <v>3460</v>
      </c>
      <c r="L16" s="15">
        <f>929+2531</f>
        <v>3460</v>
      </c>
      <c r="M16" s="15">
        <f t="shared" si="1"/>
        <v>3460</v>
      </c>
      <c r="N16" s="15">
        <v>0</v>
      </c>
      <c r="O16" s="58">
        <f t="shared" si="2"/>
        <v>0</v>
      </c>
      <c r="P16" s="39">
        <f t="shared" si="3"/>
        <v>20</v>
      </c>
      <c r="Q16" s="40">
        <f t="shared" si="4"/>
        <v>4</v>
      </c>
      <c r="R16" s="7"/>
      <c r="S16" s="6"/>
      <c r="T16" s="16">
        <v>4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0.83333333333333337</v>
      </c>
      <c r="AD16" s="10">
        <f t="shared" si="7"/>
        <v>0.83333333333333337</v>
      </c>
      <c r="AE16" s="36">
        <f t="shared" si="8"/>
        <v>0.53333333333333333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11" t="s">
        <v>130</v>
      </c>
      <c r="D17" s="52" t="s">
        <v>125</v>
      </c>
      <c r="E17" s="53" t="s">
        <v>318</v>
      </c>
      <c r="F17" s="30" t="s">
        <v>137</v>
      </c>
      <c r="G17" s="33">
        <v>1</v>
      </c>
      <c r="H17" s="35">
        <v>20</v>
      </c>
      <c r="I17" s="7">
        <v>30000</v>
      </c>
      <c r="J17" s="14">
        <v>11296</v>
      </c>
      <c r="K17" s="15">
        <f>L17+19668+11296</f>
        <v>30964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/>
      <c r="X17" s="16"/>
      <c r="Y17" s="16"/>
      <c r="Z17" s="16"/>
      <c r="AA17" s="18">
        <v>24</v>
      </c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0.53333333333333333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124</v>
      </c>
      <c r="D18" s="52" t="s">
        <v>125</v>
      </c>
      <c r="E18" s="53" t="s">
        <v>379</v>
      </c>
      <c r="F18" s="30" t="s">
        <v>380</v>
      </c>
      <c r="G18" s="33">
        <v>1</v>
      </c>
      <c r="H18" s="35">
        <v>24</v>
      </c>
      <c r="I18" s="7">
        <v>3700</v>
      </c>
      <c r="J18" s="14">
        <v>1987</v>
      </c>
      <c r="K18" s="15">
        <f>L18+1945</f>
        <v>3932</v>
      </c>
      <c r="L18" s="15">
        <f>1987</f>
        <v>1987</v>
      </c>
      <c r="M18" s="15">
        <f t="shared" si="1"/>
        <v>1987</v>
      </c>
      <c r="N18" s="15">
        <v>0</v>
      </c>
      <c r="O18" s="58">
        <f t="shared" si="2"/>
        <v>0</v>
      </c>
      <c r="P18" s="39">
        <f t="shared" si="3"/>
        <v>14</v>
      </c>
      <c r="Q18" s="40">
        <f t="shared" si="4"/>
        <v>10</v>
      </c>
      <c r="R18" s="7"/>
      <c r="S18" s="6"/>
      <c r="T18" s="16"/>
      <c r="U18" s="16"/>
      <c r="V18" s="17"/>
      <c r="W18" s="5">
        <v>10</v>
      </c>
      <c r="X18" s="16"/>
      <c r="Y18" s="16"/>
      <c r="Z18" s="16"/>
      <c r="AA18" s="18"/>
      <c r="AB18" s="8">
        <f t="shared" si="5"/>
        <v>1</v>
      </c>
      <c r="AC18" s="9">
        <f t="shared" si="6"/>
        <v>0.58333333333333337</v>
      </c>
      <c r="AD18" s="10">
        <f t="shared" si="7"/>
        <v>0.58333333333333337</v>
      </c>
      <c r="AE18" s="36">
        <f t="shared" si="8"/>
        <v>0.53333333333333333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297</v>
      </c>
      <c r="F19" s="30" t="s">
        <v>121</v>
      </c>
      <c r="G19" s="33">
        <v>1</v>
      </c>
      <c r="H19" s="35">
        <v>24</v>
      </c>
      <c r="I19" s="7">
        <v>60000</v>
      </c>
      <c r="J19" s="14">
        <v>5075</v>
      </c>
      <c r="K19" s="15">
        <f>L19+4692+4864+4990+3865+2322+4113</f>
        <v>29921</v>
      </c>
      <c r="L19" s="15">
        <f>2369+2706</f>
        <v>5075</v>
      </c>
      <c r="M19" s="15">
        <f t="shared" si="1"/>
        <v>5075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0.53333333333333333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345</v>
      </c>
      <c r="F20" s="12" t="s">
        <v>116</v>
      </c>
      <c r="G20" s="12">
        <v>4</v>
      </c>
      <c r="H20" s="35">
        <v>20</v>
      </c>
      <c r="I20" s="7">
        <v>100000</v>
      </c>
      <c r="J20" s="14">
        <v>72432</v>
      </c>
      <c r="K20" s="15">
        <f>L20+38096+37796</f>
        <v>148324</v>
      </c>
      <c r="L20" s="15">
        <f>9810*4+8298*4</f>
        <v>72432</v>
      </c>
      <c r="M20" s="15">
        <f t="shared" si="1"/>
        <v>72432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0.53333333333333333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323700</v>
      </c>
      <c r="J21" s="19">
        <f t="shared" si="11"/>
        <v>126339</v>
      </c>
      <c r="K21" s="20">
        <f t="shared" si="11"/>
        <v>346555</v>
      </c>
      <c r="L21" s="21">
        <f t="shared" si="11"/>
        <v>112466</v>
      </c>
      <c r="M21" s="20">
        <f t="shared" si="11"/>
        <v>112466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192</v>
      </c>
      <c r="Q21" s="43">
        <f t="shared" si="12"/>
        <v>168</v>
      </c>
      <c r="R21" s="23">
        <f t="shared" si="12"/>
        <v>24</v>
      </c>
      <c r="S21" s="24">
        <f t="shared" si="12"/>
        <v>45</v>
      </c>
      <c r="T21" s="24">
        <f t="shared" si="12"/>
        <v>7</v>
      </c>
      <c r="U21" s="24">
        <f t="shared" si="12"/>
        <v>0</v>
      </c>
      <c r="V21" s="25">
        <f t="shared" si="12"/>
        <v>24</v>
      </c>
      <c r="W21" s="26">
        <f t="shared" si="12"/>
        <v>44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0.73333333333333328</v>
      </c>
      <c r="AC21" s="4">
        <f>SUM(AC6:AC20)/15</f>
        <v>0.53333333333333333</v>
      </c>
      <c r="AD21" s="4">
        <f>SUM(AD6:AD20)/15</f>
        <v>0.53333333333333333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395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398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261" t="s">
        <v>46</v>
      </c>
      <c r="D50" s="261" t="s">
        <v>47</v>
      </c>
      <c r="E50" s="261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261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114</v>
      </c>
      <c r="B51" s="486"/>
      <c r="C51" s="263" t="s">
        <v>144</v>
      </c>
      <c r="D51" s="263" t="s">
        <v>117</v>
      </c>
      <c r="E51" s="263" t="s">
        <v>396</v>
      </c>
      <c r="F51" s="487" t="s">
        <v>397</v>
      </c>
      <c r="G51" s="488"/>
      <c r="H51" s="488"/>
      <c r="I51" s="488"/>
      <c r="J51" s="488"/>
      <c r="K51" s="488"/>
      <c r="L51" s="488"/>
      <c r="M51" s="489"/>
      <c r="N51" s="262" t="s">
        <v>124</v>
      </c>
      <c r="O51" s="267" t="s">
        <v>144</v>
      </c>
      <c r="P51" s="499" t="s">
        <v>136</v>
      </c>
      <c r="Q51" s="500"/>
      <c r="R51" s="486" t="s">
        <v>293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114</v>
      </c>
      <c r="B52" s="486"/>
      <c r="C52" s="263" t="s">
        <v>128</v>
      </c>
      <c r="D52" s="263" t="s">
        <v>165</v>
      </c>
      <c r="E52" s="263" t="s">
        <v>207</v>
      </c>
      <c r="F52" s="487" t="s">
        <v>204</v>
      </c>
      <c r="G52" s="488"/>
      <c r="H52" s="488"/>
      <c r="I52" s="488"/>
      <c r="J52" s="488"/>
      <c r="K52" s="488"/>
      <c r="L52" s="488"/>
      <c r="M52" s="489"/>
      <c r="N52" s="262" t="s">
        <v>130</v>
      </c>
      <c r="O52" s="267" t="s">
        <v>178</v>
      </c>
      <c r="P52" s="499" t="s">
        <v>117</v>
      </c>
      <c r="Q52" s="500"/>
      <c r="R52" s="486" t="s">
        <v>161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263" t="s">
        <v>178</v>
      </c>
      <c r="D53" s="263" t="s">
        <v>117</v>
      </c>
      <c r="E53" s="263" t="s">
        <v>370</v>
      </c>
      <c r="F53" s="487" t="s">
        <v>204</v>
      </c>
      <c r="G53" s="488"/>
      <c r="H53" s="488"/>
      <c r="I53" s="488"/>
      <c r="J53" s="488"/>
      <c r="K53" s="488"/>
      <c r="L53" s="488"/>
      <c r="M53" s="489"/>
      <c r="N53" s="262" t="s">
        <v>124</v>
      </c>
      <c r="O53" s="267" t="s">
        <v>128</v>
      </c>
      <c r="P53" s="499" t="s">
        <v>138</v>
      </c>
      <c r="Q53" s="500"/>
      <c r="R53" s="486" t="s">
        <v>399</v>
      </c>
      <c r="S53" s="486"/>
      <c r="T53" s="486"/>
      <c r="U53" s="486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263" t="s">
        <v>134</v>
      </c>
      <c r="D54" s="263" t="s">
        <v>117</v>
      </c>
      <c r="E54" s="263" t="s">
        <v>118</v>
      </c>
      <c r="F54" s="487" t="s">
        <v>204</v>
      </c>
      <c r="G54" s="488"/>
      <c r="H54" s="488"/>
      <c r="I54" s="488"/>
      <c r="J54" s="488"/>
      <c r="K54" s="488"/>
      <c r="L54" s="488"/>
      <c r="M54" s="489"/>
      <c r="N54" s="262" t="s">
        <v>114</v>
      </c>
      <c r="O54" s="267" t="s">
        <v>143</v>
      </c>
      <c r="P54" s="499" t="s">
        <v>401</v>
      </c>
      <c r="Q54" s="500"/>
      <c r="R54" s="499" t="s">
        <v>400</v>
      </c>
      <c r="S54" s="501"/>
      <c r="T54" s="501"/>
      <c r="U54" s="500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263" t="s">
        <v>149</v>
      </c>
      <c r="D55" s="263" t="s">
        <v>136</v>
      </c>
      <c r="E55" s="263" t="s">
        <v>293</v>
      </c>
      <c r="F55" s="487" t="s">
        <v>263</v>
      </c>
      <c r="G55" s="488"/>
      <c r="H55" s="488"/>
      <c r="I55" s="488"/>
      <c r="J55" s="488"/>
      <c r="K55" s="488"/>
      <c r="L55" s="488"/>
      <c r="M55" s="489"/>
      <c r="N55" s="262"/>
      <c r="O55" s="267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124</v>
      </c>
      <c r="B56" s="486"/>
      <c r="C56" s="263" t="s">
        <v>149</v>
      </c>
      <c r="D56" s="263" t="s">
        <v>138</v>
      </c>
      <c r="E56" s="263" t="s">
        <v>387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262"/>
      <c r="O56" s="267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263"/>
      <c r="D57" s="263"/>
      <c r="E57" s="263"/>
      <c r="F57" s="487"/>
      <c r="G57" s="488"/>
      <c r="H57" s="488"/>
      <c r="I57" s="488"/>
      <c r="J57" s="488"/>
      <c r="K57" s="488"/>
      <c r="L57" s="488"/>
      <c r="M57" s="489"/>
      <c r="N57" s="262"/>
      <c r="O57" s="267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263"/>
      <c r="D58" s="263"/>
      <c r="E58" s="263"/>
      <c r="F58" s="487"/>
      <c r="G58" s="488"/>
      <c r="H58" s="488"/>
      <c r="I58" s="488"/>
      <c r="J58" s="488"/>
      <c r="K58" s="488"/>
      <c r="L58" s="488"/>
      <c r="M58" s="489"/>
      <c r="N58" s="262"/>
      <c r="O58" s="267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263"/>
      <c r="D59" s="263"/>
      <c r="E59" s="263"/>
      <c r="F59" s="487"/>
      <c r="G59" s="488"/>
      <c r="H59" s="488"/>
      <c r="I59" s="488"/>
      <c r="J59" s="488"/>
      <c r="K59" s="488"/>
      <c r="L59" s="488"/>
      <c r="M59" s="489"/>
      <c r="N59" s="262"/>
      <c r="O59" s="267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264"/>
      <c r="D60" s="264"/>
      <c r="E60" s="264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402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265" t="s">
        <v>2</v>
      </c>
      <c r="D62" s="265" t="s">
        <v>37</v>
      </c>
      <c r="E62" s="265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265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130</v>
      </c>
      <c r="D63" s="269"/>
      <c r="E63" s="266" t="s">
        <v>117</v>
      </c>
      <c r="F63" s="474" t="s">
        <v>378</v>
      </c>
      <c r="G63" s="466"/>
      <c r="H63" s="466"/>
      <c r="I63" s="466"/>
      <c r="J63" s="466"/>
      <c r="K63" s="466" t="s">
        <v>135</v>
      </c>
      <c r="L63" s="466"/>
      <c r="M63" s="51" t="s">
        <v>403</v>
      </c>
      <c r="N63" s="477" t="s">
        <v>178</v>
      </c>
      <c r="O63" s="477"/>
      <c r="P63" s="475">
        <v>100</v>
      </c>
      <c r="Q63" s="475"/>
      <c r="R63" s="476"/>
      <c r="S63" s="476"/>
      <c r="T63" s="476"/>
      <c r="U63" s="476"/>
      <c r="V63" s="476"/>
      <c r="W63" s="476"/>
      <c r="X63" s="476"/>
      <c r="Y63" s="476"/>
      <c r="Z63" s="476"/>
      <c r="AA63" s="476"/>
      <c r="AB63" s="466"/>
      <c r="AC63" s="466"/>
      <c r="AD63" s="467"/>
      <c r="AF63" s="50"/>
    </row>
    <row r="64" spans="1:32" ht="25.5" customHeight="1">
      <c r="A64" s="472">
        <v>2</v>
      </c>
      <c r="B64" s="473"/>
      <c r="C64" s="117" t="s">
        <v>124</v>
      </c>
      <c r="D64" s="269"/>
      <c r="E64" s="266" t="s">
        <v>117</v>
      </c>
      <c r="F64" s="474" t="s">
        <v>404</v>
      </c>
      <c r="G64" s="466"/>
      <c r="H64" s="466"/>
      <c r="I64" s="466"/>
      <c r="J64" s="466"/>
      <c r="K64" s="466" t="s">
        <v>150</v>
      </c>
      <c r="L64" s="466"/>
      <c r="M64" s="51" t="s">
        <v>216</v>
      </c>
      <c r="N64" s="477" t="s">
        <v>143</v>
      </c>
      <c r="O64" s="477"/>
      <c r="P64" s="475">
        <v>50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 t="s">
        <v>124</v>
      </c>
      <c r="D65" s="269"/>
      <c r="E65" s="266" t="s">
        <v>125</v>
      </c>
      <c r="F65" s="474" t="s">
        <v>405</v>
      </c>
      <c r="G65" s="466"/>
      <c r="H65" s="466"/>
      <c r="I65" s="466"/>
      <c r="J65" s="466"/>
      <c r="K65" s="466" t="s">
        <v>406</v>
      </c>
      <c r="L65" s="466"/>
      <c r="M65" s="51" t="s">
        <v>216</v>
      </c>
      <c r="N65" s="477" t="s">
        <v>143</v>
      </c>
      <c r="O65" s="477"/>
      <c r="P65" s="475">
        <v>50</v>
      </c>
      <c r="Q65" s="475"/>
      <c r="R65" s="476" t="s">
        <v>407</v>
      </c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 t="s">
        <v>124</v>
      </c>
      <c r="D66" s="269"/>
      <c r="E66" s="266" t="s">
        <v>183</v>
      </c>
      <c r="F66" s="474" t="s">
        <v>408</v>
      </c>
      <c r="G66" s="466"/>
      <c r="H66" s="466"/>
      <c r="I66" s="466"/>
      <c r="J66" s="466"/>
      <c r="K66" s="466" t="s">
        <v>154</v>
      </c>
      <c r="L66" s="466"/>
      <c r="M66" s="51" t="s">
        <v>216</v>
      </c>
      <c r="N66" s="477" t="s">
        <v>132</v>
      </c>
      <c r="O66" s="477"/>
      <c r="P66" s="475">
        <v>50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269"/>
      <c r="E67" s="266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269"/>
      <c r="E68" s="266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269"/>
      <c r="E69" s="266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269"/>
      <c r="E70" s="266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409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268" t="s">
        <v>2</v>
      </c>
      <c r="D72" s="268" t="s">
        <v>37</v>
      </c>
      <c r="E72" s="268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270" t="s">
        <v>114</v>
      </c>
      <c r="D73" s="270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269"/>
      <c r="D74" s="269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269"/>
      <c r="D75" s="269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269"/>
      <c r="D76" s="269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269"/>
      <c r="D77" s="269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269"/>
      <c r="D78" s="269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269"/>
      <c r="D79" s="269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269"/>
      <c r="D80" s="269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269"/>
      <c r="D81" s="269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410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0744-0103-4955-8F92-D8909648CF89}"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411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81" t="s">
        <v>17</v>
      </c>
      <c r="L5" s="281" t="s">
        <v>18</v>
      </c>
      <c r="M5" s="281" t="s">
        <v>19</v>
      </c>
      <c r="N5" s="28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>$AD$23</f>
        <v>0.49040427999156655</v>
      </c>
      <c r="AF6" s="87">
        <f t="shared" ref="AF6:AF22" si="8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>$AD$23</f>
        <v>0.49040427999156655</v>
      </c>
      <c r="AF7" s="87">
        <f t="shared" si="8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6037</v>
      </c>
      <c r="K8" s="15">
        <f>L8+5138+6028+6101+5921+6078+2856+4676+6141</f>
        <v>48976</v>
      </c>
      <c r="L8" s="15">
        <f>3459+2578</f>
        <v>6037</v>
      </c>
      <c r="M8" s="15">
        <f t="shared" si="1"/>
        <v>6037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>$AD$23</f>
        <v>0.49040427999156655</v>
      </c>
      <c r="AF8" s="87">
        <f t="shared" si="8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117</v>
      </c>
      <c r="E9" s="53" t="s">
        <v>386</v>
      </c>
      <c r="F9" s="30" t="s">
        <v>123</v>
      </c>
      <c r="G9" s="33">
        <v>1</v>
      </c>
      <c r="H9" s="35">
        <v>24</v>
      </c>
      <c r="I9" s="7">
        <v>5000</v>
      </c>
      <c r="J9" s="14">
        <v>2160</v>
      </c>
      <c r="K9" s="15">
        <f>L9+4216</f>
        <v>6376</v>
      </c>
      <c r="L9" s="15">
        <v>2160</v>
      </c>
      <c r="M9" s="15">
        <f t="shared" si="1"/>
        <v>2160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/>
      <c r="T9" s="16"/>
      <c r="U9" s="16"/>
      <c r="V9" s="17"/>
      <c r="W9" s="5">
        <v>14</v>
      </c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ref="AE9:AE10" si="9">$AD$23</f>
        <v>0.49040427999156655</v>
      </c>
      <c r="AF9" s="87">
        <f t="shared" si="8"/>
        <v>4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122</v>
      </c>
      <c r="E10" s="53" t="s">
        <v>293</v>
      </c>
      <c r="F10" s="30" t="s">
        <v>127</v>
      </c>
      <c r="G10" s="33">
        <v>1</v>
      </c>
      <c r="H10" s="35">
        <v>24</v>
      </c>
      <c r="I10" s="7">
        <v>10000</v>
      </c>
      <c r="J10" s="14">
        <v>4216</v>
      </c>
      <c r="K10" s="15">
        <f>L10</f>
        <v>575</v>
      </c>
      <c r="L10" s="15">
        <f>575</f>
        <v>575</v>
      </c>
      <c r="M10" s="15">
        <f t="shared" si="1"/>
        <v>575</v>
      </c>
      <c r="N10" s="15">
        <v>0</v>
      </c>
      <c r="O10" s="58">
        <f t="shared" si="2"/>
        <v>0</v>
      </c>
      <c r="P10" s="39">
        <f t="shared" si="3"/>
        <v>4</v>
      </c>
      <c r="Q10" s="40">
        <f t="shared" si="4"/>
        <v>20</v>
      </c>
      <c r="R10" s="7"/>
      <c r="S10" s="6">
        <v>8</v>
      </c>
      <c r="T10" s="16">
        <v>12</v>
      </c>
      <c r="U10" s="16"/>
      <c r="V10" s="17"/>
      <c r="W10" s="5"/>
      <c r="X10" s="16"/>
      <c r="Y10" s="16"/>
      <c r="Z10" s="16"/>
      <c r="AA10" s="18"/>
      <c r="AB10" s="8">
        <f t="shared" si="5"/>
        <v>0.13638519924098672</v>
      </c>
      <c r="AC10" s="9">
        <f t="shared" si="6"/>
        <v>0.16666666666666666</v>
      </c>
      <c r="AD10" s="10">
        <f t="shared" si="7"/>
        <v>2.273086654016445E-2</v>
      </c>
      <c r="AE10" s="36">
        <f t="shared" si="9"/>
        <v>0.49040427999156655</v>
      </c>
      <c r="AF10" s="87">
        <f t="shared" si="8"/>
        <v>4</v>
      </c>
    </row>
    <row r="11" spans="1:32" ht="27" customHeight="1">
      <c r="A11" s="103">
        <v>5</v>
      </c>
      <c r="B11" s="11" t="s">
        <v>57</v>
      </c>
      <c r="C11" s="34" t="s">
        <v>124</v>
      </c>
      <c r="D11" s="52" t="s">
        <v>138</v>
      </c>
      <c r="E11" s="53" t="s">
        <v>399</v>
      </c>
      <c r="F11" s="30" t="s">
        <v>126</v>
      </c>
      <c r="G11" s="33">
        <v>2</v>
      </c>
      <c r="H11" s="35">
        <v>24</v>
      </c>
      <c r="I11" s="7">
        <v>16000</v>
      </c>
      <c r="J11" s="5">
        <v>4478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ref="AE11:AE22" si="10">$AD$23</f>
        <v>0.49040427999156655</v>
      </c>
      <c r="AF11" s="87">
        <f t="shared" si="8"/>
        <v>5</v>
      </c>
    </row>
    <row r="12" spans="1:32" ht="27" customHeight="1">
      <c r="A12" s="103">
        <v>5</v>
      </c>
      <c r="B12" s="11" t="s">
        <v>57</v>
      </c>
      <c r="C12" s="34" t="s">
        <v>124</v>
      </c>
      <c r="D12" s="52" t="s">
        <v>412</v>
      </c>
      <c r="E12" s="53">
        <v>3159016</v>
      </c>
      <c r="F12" s="30" t="s">
        <v>274</v>
      </c>
      <c r="G12" s="33">
        <v>4</v>
      </c>
      <c r="H12" s="35">
        <v>24</v>
      </c>
      <c r="I12" s="7">
        <v>2000</v>
      </c>
      <c r="J12" s="5">
        <v>6924</v>
      </c>
      <c r="K12" s="15">
        <f>L12</f>
        <v>6924</v>
      </c>
      <c r="L12" s="15">
        <f>907*4+824*4</f>
        <v>6924</v>
      </c>
      <c r="M12" s="15">
        <f t="shared" ref="M12" si="11">L12-N12</f>
        <v>6924</v>
      </c>
      <c r="N12" s="15">
        <v>0</v>
      </c>
      <c r="O12" s="58">
        <f t="shared" ref="O12" si="12">IF(L12=0,"0",N12/L12)</f>
        <v>0</v>
      </c>
      <c r="P12" s="39">
        <f t="shared" ref="P12" si="13">IF(L12=0,"0",(24-Q12))</f>
        <v>10</v>
      </c>
      <c r="Q12" s="40">
        <f t="shared" ref="Q12" si="14">SUM(R12:AA12)</f>
        <v>14</v>
      </c>
      <c r="R12" s="7"/>
      <c r="S12" s="6"/>
      <c r="T12" s="16">
        <v>14</v>
      </c>
      <c r="U12" s="16"/>
      <c r="V12" s="17"/>
      <c r="W12" s="5"/>
      <c r="X12" s="16"/>
      <c r="Y12" s="16"/>
      <c r="Z12" s="16"/>
      <c r="AA12" s="18"/>
      <c r="AB12" s="8">
        <f t="shared" ref="AB12" si="15">IF(J12=0,"0",(L12/J12))</f>
        <v>1</v>
      </c>
      <c r="AC12" s="9">
        <f t="shared" ref="AC12" si="16">IF(P12=0,"0",(P12/24))</f>
        <v>0.41666666666666669</v>
      </c>
      <c r="AD12" s="10">
        <f>AC12*AB12*(1-O12)</f>
        <v>0.41666666666666669</v>
      </c>
      <c r="AE12" s="36">
        <f t="shared" si="10"/>
        <v>0.49040427999156655</v>
      </c>
      <c r="AF12" s="87">
        <f t="shared" ref="AF12" si="17">A12</f>
        <v>5</v>
      </c>
    </row>
    <row r="13" spans="1:32" ht="27" customHeight="1">
      <c r="A13" s="103">
        <v>6</v>
      </c>
      <c r="B13" s="11" t="s">
        <v>57</v>
      </c>
      <c r="C13" s="34" t="s">
        <v>124</v>
      </c>
      <c r="D13" s="52" t="s">
        <v>138</v>
      </c>
      <c r="E13" s="53" t="s">
        <v>387</v>
      </c>
      <c r="F13" s="30" t="s">
        <v>274</v>
      </c>
      <c r="G13" s="33">
        <v>1</v>
      </c>
      <c r="H13" s="35">
        <v>24</v>
      </c>
      <c r="I13" s="7">
        <v>2000</v>
      </c>
      <c r="J13" s="5">
        <v>5228</v>
      </c>
      <c r="K13" s="15">
        <f>L13+5228</f>
        <v>5228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/>
      <c r="T13" s="16"/>
      <c r="U13" s="16"/>
      <c r="V13" s="17"/>
      <c r="W13" s="5"/>
      <c r="X13" s="16"/>
      <c r="Y13" s="16"/>
      <c r="Z13" s="16"/>
      <c r="AA13" s="18">
        <v>24</v>
      </c>
      <c r="AB13" s="8">
        <f t="shared" si="5"/>
        <v>0</v>
      </c>
      <c r="AC13" s="9">
        <f t="shared" si="6"/>
        <v>0</v>
      </c>
      <c r="AD13" s="10">
        <f>AC13*AB13*(1-O13)</f>
        <v>0</v>
      </c>
      <c r="AE13" s="36">
        <f t="shared" si="10"/>
        <v>0.49040427999156655</v>
      </c>
      <c r="AF13" s="87">
        <f t="shared" si="8"/>
        <v>6</v>
      </c>
    </row>
    <row r="14" spans="1:32" ht="27" customHeight="1">
      <c r="A14" s="103">
        <v>7</v>
      </c>
      <c r="B14" s="11" t="s">
        <v>57</v>
      </c>
      <c r="C14" s="11" t="s">
        <v>114</v>
      </c>
      <c r="D14" s="52" t="s">
        <v>117</v>
      </c>
      <c r="E14" s="53" t="s">
        <v>118</v>
      </c>
      <c r="F14" s="30" t="s">
        <v>121</v>
      </c>
      <c r="G14" s="33">
        <v>1</v>
      </c>
      <c r="H14" s="35">
        <v>24</v>
      </c>
      <c r="I14" s="7">
        <v>48000</v>
      </c>
      <c r="J14" s="14">
        <v>700</v>
      </c>
      <c r="K14" s="15">
        <f>L14+4623+4705+5405+1826+2220+3415+4921+2272+679+1842</f>
        <v>32608</v>
      </c>
      <c r="L14" s="15">
        <v>700</v>
      </c>
      <c r="M14" s="15">
        <f t="shared" si="1"/>
        <v>700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0.16666666666666666</v>
      </c>
      <c r="AD14" s="10">
        <f t="shared" ref="AD14" si="18">AC14*AB14*(1-O14)</f>
        <v>0.16666666666666666</v>
      </c>
      <c r="AE14" s="36">
        <f t="shared" si="10"/>
        <v>0.49040427999156655</v>
      </c>
      <c r="AF14" s="87">
        <f t="shared" si="8"/>
        <v>7</v>
      </c>
    </row>
    <row r="15" spans="1:32" ht="27" customHeight="1">
      <c r="A15" s="103">
        <v>8</v>
      </c>
      <c r="B15" s="11" t="s">
        <v>57</v>
      </c>
      <c r="C15" s="11" t="s">
        <v>130</v>
      </c>
      <c r="D15" s="52" t="s">
        <v>117</v>
      </c>
      <c r="E15" s="53" t="s">
        <v>161</v>
      </c>
      <c r="F15" s="30" t="s">
        <v>135</v>
      </c>
      <c r="G15" s="33">
        <v>2</v>
      </c>
      <c r="H15" s="35">
        <v>24</v>
      </c>
      <c r="I15" s="7">
        <v>22000</v>
      </c>
      <c r="J15" s="14">
        <v>3768</v>
      </c>
      <c r="K15" s="15">
        <f>L15</f>
        <v>3768</v>
      </c>
      <c r="L15" s="15">
        <f>1884*2</f>
        <v>3768</v>
      </c>
      <c r="M15" s="15">
        <f t="shared" si="1"/>
        <v>3768</v>
      </c>
      <c r="N15" s="15">
        <v>0</v>
      </c>
      <c r="O15" s="58">
        <f t="shared" si="2"/>
        <v>0</v>
      </c>
      <c r="P15" s="39">
        <f t="shared" si="3"/>
        <v>10</v>
      </c>
      <c r="Q15" s="40">
        <f t="shared" si="4"/>
        <v>14</v>
      </c>
      <c r="R15" s="7"/>
      <c r="S15" s="6">
        <v>14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0.41666666666666669</v>
      </c>
      <c r="AD15" s="10">
        <f t="shared" si="7"/>
        <v>0.41666666666666669</v>
      </c>
      <c r="AE15" s="36">
        <f t="shared" si="10"/>
        <v>0.49040427999156655</v>
      </c>
      <c r="AF15" s="87">
        <f t="shared" si="8"/>
        <v>8</v>
      </c>
    </row>
    <row r="16" spans="1:32" ht="27" customHeight="1">
      <c r="A16" s="118">
        <v>9</v>
      </c>
      <c r="B16" s="11" t="s">
        <v>57</v>
      </c>
      <c r="C16" s="34" t="s">
        <v>124</v>
      </c>
      <c r="D16" s="52" t="s">
        <v>117</v>
      </c>
      <c r="E16" s="53" t="s">
        <v>371</v>
      </c>
      <c r="F16" s="30" t="s">
        <v>151</v>
      </c>
      <c r="G16" s="12">
        <v>1</v>
      </c>
      <c r="H16" s="13">
        <v>45</v>
      </c>
      <c r="I16" s="7">
        <v>300</v>
      </c>
      <c r="J16" s="5">
        <v>516</v>
      </c>
      <c r="K16" s="15">
        <f>L16+516</f>
        <v>516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10"/>
        <v>0.49040427999156655</v>
      </c>
      <c r="AF16" s="87">
        <f t="shared" si="8"/>
        <v>9</v>
      </c>
    </row>
    <row r="17" spans="1:32" ht="27" customHeight="1">
      <c r="A17" s="102">
        <v>10</v>
      </c>
      <c r="B17" s="11" t="s">
        <v>57</v>
      </c>
      <c r="C17" s="34" t="s">
        <v>285</v>
      </c>
      <c r="D17" s="52"/>
      <c r="E17" s="53" t="s">
        <v>286</v>
      </c>
      <c r="F17" s="12" t="s">
        <v>287</v>
      </c>
      <c r="G17" s="12" t="s">
        <v>197</v>
      </c>
      <c r="H17" s="13">
        <v>24</v>
      </c>
      <c r="I17" s="31">
        <v>28000</v>
      </c>
      <c r="J17" s="14">
        <v>6687</v>
      </c>
      <c r="K17" s="15">
        <f>L17+3216+6251+3050+5532+6499</f>
        <v>31235</v>
      </c>
      <c r="L17" s="15">
        <f>3608+2650+429</f>
        <v>6687</v>
      </c>
      <c r="M17" s="15">
        <f t="shared" si="1"/>
        <v>6687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10"/>
        <v>0.49040427999156655</v>
      </c>
      <c r="AF17" s="87">
        <f t="shared" si="8"/>
        <v>10</v>
      </c>
    </row>
    <row r="18" spans="1:32" ht="30" customHeight="1">
      <c r="A18" s="102">
        <v>11</v>
      </c>
      <c r="B18" s="11" t="s">
        <v>57</v>
      </c>
      <c r="C18" s="34" t="s">
        <v>254</v>
      </c>
      <c r="D18" s="52"/>
      <c r="E18" s="53" t="s">
        <v>394</v>
      </c>
      <c r="F18" s="30" t="s">
        <v>151</v>
      </c>
      <c r="G18" s="12">
        <v>1</v>
      </c>
      <c r="H18" s="13">
        <v>28</v>
      </c>
      <c r="I18" s="7">
        <v>1500</v>
      </c>
      <c r="J18" s="14">
        <v>5512</v>
      </c>
      <c r="K18" s="15">
        <f>L18+3460</f>
        <v>8972</v>
      </c>
      <c r="L18" s="15">
        <f>2431+3081</f>
        <v>5512</v>
      </c>
      <c r="M18" s="15">
        <f t="shared" si="1"/>
        <v>5512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10"/>
        <v>0.49040427999156655</v>
      </c>
      <c r="AF18" s="87">
        <f t="shared" si="8"/>
        <v>11</v>
      </c>
    </row>
    <row r="19" spans="1:32" ht="27" customHeight="1">
      <c r="A19" s="102">
        <v>12</v>
      </c>
      <c r="B19" s="11" t="s">
        <v>57</v>
      </c>
      <c r="C19" s="11" t="s">
        <v>130</v>
      </c>
      <c r="D19" s="52" t="s">
        <v>125</v>
      </c>
      <c r="E19" s="53" t="s">
        <v>318</v>
      </c>
      <c r="F19" s="30" t="s">
        <v>137</v>
      </c>
      <c r="G19" s="33">
        <v>1</v>
      </c>
      <c r="H19" s="35">
        <v>20</v>
      </c>
      <c r="I19" s="7">
        <v>30000</v>
      </c>
      <c r="J19" s="14">
        <v>11296</v>
      </c>
      <c r="K19" s="15">
        <f>L19+19668+11296</f>
        <v>30964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10"/>
        <v>0.49040427999156655</v>
      </c>
      <c r="AF19" s="87">
        <f t="shared" si="8"/>
        <v>12</v>
      </c>
    </row>
    <row r="20" spans="1:32" ht="27" customHeight="1">
      <c r="A20" s="103">
        <v>13</v>
      </c>
      <c r="B20" s="11" t="s">
        <v>57</v>
      </c>
      <c r="C20" s="11" t="s">
        <v>114</v>
      </c>
      <c r="D20" s="52" t="s">
        <v>401</v>
      </c>
      <c r="E20" s="53" t="s">
        <v>400</v>
      </c>
      <c r="F20" s="30" t="s">
        <v>380</v>
      </c>
      <c r="G20" s="33">
        <v>1</v>
      </c>
      <c r="H20" s="35">
        <v>24</v>
      </c>
      <c r="I20" s="7">
        <v>25000</v>
      </c>
      <c r="J20" s="14">
        <v>5017</v>
      </c>
      <c r="K20" s="15">
        <f>L20</f>
        <v>5017</v>
      </c>
      <c r="L20" s="15">
        <f>2290+2727</f>
        <v>5017</v>
      </c>
      <c r="M20" s="15">
        <f t="shared" si="1"/>
        <v>5017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10"/>
        <v>0.49040427999156655</v>
      </c>
      <c r="AF20" s="87">
        <f t="shared" si="8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297</v>
      </c>
      <c r="F21" s="30" t="s">
        <v>121</v>
      </c>
      <c r="G21" s="33">
        <v>1</v>
      </c>
      <c r="H21" s="35">
        <v>24</v>
      </c>
      <c r="I21" s="7">
        <v>60000</v>
      </c>
      <c r="J21" s="14">
        <v>4534</v>
      </c>
      <c r="K21" s="15">
        <f>L21+4692+4864+4990+3865+2322+4113+5075</f>
        <v>34455</v>
      </c>
      <c r="L21" s="15">
        <f>2412+2122</f>
        <v>4534</v>
      </c>
      <c r="M21" s="15">
        <f t="shared" si="1"/>
        <v>4534</v>
      </c>
      <c r="N21" s="15">
        <v>0</v>
      </c>
      <c r="O21" s="58">
        <f t="shared" si="2"/>
        <v>0</v>
      </c>
      <c r="P21" s="39">
        <f t="shared" si="3"/>
        <v>22</v>
      </c>
      <c r="Q21" s="40">
        <f t="shared" si="4"/>
        <v>2</v>
      </c>
      <c r="R21" s="7"/>
      <c r="S21" s="6">
        <v>2</v>
      </c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0.91666666666666663</v>
      </c>
      <c r="AD21" s="10">
        <f t="shared" si="7"/>
        <v>0.91666666666666663</v>
      </c>
      <c r="AE21" s="36">
        <f t="shared" si="10"/>
        <v>0.49040427999156655</v>
      </c>
      <c r="AF21" s="87">
        <f t="shared" si="8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345</v>
      </c>
      <c r="F22" s="12" t="s">
        <v>116</v>
      </c>
      <c r="G22" s="12">
        <v>4</v>
      </c>
      <c r="H22" s="35">
        <v>20</v>
      </c>
      <c r="I22" s="7">
        <v>100000</v>
      </c>
      <c r="J22" s="14">
        <v>78628</v>
      </c>
      <c r="K22" s="15">
        <f>L22+38096+37796+72432</f>
        <v>226952</v>
      </c>
      <c r="L22" s="15">
        <f>11965*4+7692*4</f>
        <v>78628</v>
      </c>
      <c r="M22" s="15">
        <f t="shared" si="1"/>
        <v>78628</v>
      </c>
      <c r="N22" s="15">
        <v>0</v>
      </c>
      <c r="O22" s="58">
        <f t="shared" si="2"/>
        <v>0</v>
      </c>
      <c r="P22" s="39">
        <f t="shared" si="3"/>
        <v>24</v>
      </c>
      <c r="Q22" s="40">
        <f t="shared" si="4"/>
        <v>0</v>
      </c>
      <c r="R22" s="7"/>
      <c r="S22" s="6"/>
      <c r="T22" s="16"/>
      <c r="U22" s="16"/>
      <c r="V22" s="17"/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1</v>
      </c>
      <c r="AD22" s="10">
        <f t="shared" si="7"/>
        <v>1</v>
      </c>
      <c r="AE22" s="36">
        <f t="shared" si="10"/>
        <v>0.49040427999156655</v>
      </c>
      <c r="AF22" s="87">
        <f t="shared" si="8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19">SUM(I6:I22)</f>
        <v>388800</v>
      </c>
      <c r="J23" s="19">
        <f t="shared" si="19"/>
        <v>147762</v>
      </c>
      <c r="K23" s="20">
        <f t="shared" si="19"/>
        <v>454114</v>
      </c>
      <c r="L23" s="21">
        <f t="shared" si="19"/>
        <v>120542</v>
      </c>
      <c r="M23" s="20">
        <f t="shared" si="19"/>
        <v>120542</v>
      </c>
      <c r="N23" s="21">
        <f t="shared" si="19"/>
        <v>0</v>
      </c>
      <c r="O23" s="41">
        <f t="shared" si="2"/>
        <v>0</v>
      </c>
      <c r="P23" s="42">
        <f t="shared" ref="P23:AA23" si="20">SUM(P6:P22)</f>
        <v>180</v>
      </c>
      <c r="Q23" s="43">
        <f t="shared" si="20"/>
        <v>228</v>
      </c>
      <c r="R23" s="23">
        <f t="shared" si="20"/>
        <v>24</v>
      </c>
      <c r="S23" s="24">
        <f t="shared" si="20"/>
        <v>68</v>
      </c>
      <c r="T23" s="24">
        <f t="shared" si="20"/>
        <v>26</v>
      </c>
      <c r="U23" s="24">
        <f t="shared" si="20"/>
        <v>0</v>
      </c>
      <c r="V23" s="25">
        <f t="shared" si="20"/>
        <v>24</v>
      </c>
      <c r="W23" s="26">
        <f t="shared" si="20"/>
        <v>38</v>
      </c>
      <c r="X23" s="27">
        <f t="shared" si="20"/>
        <v>0</v>
      </c>
      <c r="Y23" s="27">
        <f t="shared" si="20"/>
        <v>0</v>
      </c>
      <c r="Z23" s="27">
        <f t="shared" si="20"/>
        <v>0</v>
      </c>
      <c r="AA23" s="27">
        <f t="shared" si="20"/>
        <v>48</v>
      </c>
      <c r="AB23" s="28">
        <f>SUM(AB6:AB22)/15</f>
        <v>0.67575901328273247</v>
      </c>
      <c r="AC23" s="4">
        <f>SUM(AC6:AC22)/15</f>
        <v>0.5</v>
      </c>
      <c r="AD23" s="4">
        <f>SUM(AD6:AD22)/15</f>
        <v>0.49040427999156655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413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417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280" t="s">
        <v>46</v>
      </c>
      <c r="D52" s="280" t="s">
        <v>47</v>
      </c>
      <c r="E52" s="280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280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278" t="s">
        <v>144</v>
      </c>
      <c r="D53" s="278" t="s">
        <v>136</v>
      </c>
      <c r="E53" s="278" t="s">
        <v>293</v>
      </c>
      <c r="F53" s="487" t="s">
        <v>367</v>
      </c>
      <c r="G53" s="488"/>
      <c r="H53" s="488"/>
      <c r="I53" s="488"/>
      <c r="J53" s="488"/>
      <c r="K53" s="488"/>
      <c r="L53" s="488"/>
      <c r="M53" s="489"/>
      <c r="N53" s="277" t="s">
        <v>124</v>
      </c>
      <c r="O53" s="275" t="s">
        <v>144</v>
      </c>
      <c r="P53" s="499" t="s">
        <v>136</v>
      </c>
      <c r="Q53" s="500"/>
      <c r="R53" s="486" t="s">
        <v>293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124</v>
      </c>
      <c r="B54" s="486"/>
      <c r="C54" s="278" t="s">
        <v>128</v>
      </c>
      <c r="D54" s="278" t="s">
        <v>138</v>
      </c>
      <c r="E54" s="278" t="s">
        <v>399</v>
      </c>
      <c r="F54" s="487" t="s">
        <v>414</v>
      </c>
      <c r="G54" s="488"/>
      <c r="H54" s="488"/>
      <c r="I54" s="488"/>
      <c r="J54" s="488"/>
      <c r="K54" s="488"/>
      <c r="L54" s="488"/>
      <c r="M54" s="489"/>
      <c r="N54" s="277" t="s">
        <v>130</v>
      </c>
      <c r="O54" s="275" t="s">
        <v>178</v>
      </c>
      <c r="P54" s="499" t="s">
        <v>117</v>
      </c>
      <c r="Q54" s="500"/>
      <c r="R54" s="486" t="s">
        <v>161</v>
      </c>
      <c r="S54" s="486"/>
      <c r="T54" s="486"/>
      <c r="U54" s="486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278" t="s">
        <v>128</v>
      </c>
      <c r="D55" s="278" t="s">
        <v>412</v>
      </c>
      <c r="E55" s="278" t="s">
        <v>415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277" t="s">
        <v>124</v>
      </c>
      <c r="O55" s="275" t="s">
        <v>128</v>
      </c>
      <c r="P55" s="499" t="s">
        <v>138</v>
      </c>
      <c r="Q55" s="500"/>
      <c r="R55" s="486" t="s">
        <v>399</v>
      </c>
      <c r="S55" s="486"/>
      <c r="T55" s="486"/>
      <c r="U55" s="486"/>
      <c r="V55" s="476" t="s">
        <v>204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278" t="s">
        <v>134</v>
      </c>
      <c r="D56" s="278" t="s">
        <v>117</v>
      </c>
      <c r="E56" s="278" t="s">
        <v>118</v>
      </c>
      <c r="F56" s="487" t="s">
        <v>337</v>
      </c>
      <c r="G56" s="488"/>
      <c r="H56" s="488"/>
      <c r="I56" s="488"/>
      <c r="J56" s="488"/>
      <c r="K56" s="488"/>
      <c r="L56" s="488"/>
      <c r="M56" s="489"/>
      <c r="N56" s="277" t="s">
        <v>114</v>
      </c>
      <c r="O56" s="275" t="s">
        <v>134</v>
      </c>
      <c r="P56" s="499" t="s">
        <v>117</v>
      </c>
      <c r="Q56" s="500"/>
      <c r="R56" s="499" t="s">
        <v>118</v>
      </c>
      <c r="S56" s="501"/>
      <c r="T56" s="501"/>
      <c r="U56" s="500"/>
      <c r="V56" s="476" t="s">
        <v>204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130</v>
      </c>
      <c r="B57" s="486"/>
      <c r="C57" s="278" t="s">
        <v>178</v>
      </c>
      <c r="D57" s="278" t="s">
        <v>117</v>
      </c>
      <c r="E57" s="278" t="s">
        <v>161</v>
      </c>
      <c r="F57" s="487" t="s">
        <v>416</v>
      </c>
      <c r="G57" s="488"/>
      <c r="H57" s="488"/>
      <c r="I57" s="488"/>
      <c r="J57" s="488"/>
      <c r="K57" s="488"/>
      <c r="L57" s="488"/>
      <c r="M57" s="489"/>
      <c r="N57" s="277"/>
      <c r="O57" s="275"/>
      <c r="P57" s="499"/>
      <c r="Q57" s="500"/>
      <c r="R57" s="499"/>
      <c r="S57" s="501"/>
      <c r="T57" s="501"/>
      <c r="U57" s="500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114</v>
      </c>
      <c r="B58" s="486"/>
      <c r="C58" s="278" t="s">
        <v>143</v>
      </c>
      <c r="D58" s="278" t="s">
        <v>401</v>
      </c>
      <c r="E58" s="278" t="s">
        <v>400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277"/>
      <c r="O58" s="27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124</v>
      </c>
      <c r="B59" s="486"/>
      <c r="C59" s="278" t="s">
        <v>211</v>
      </c>
      <c r="D59" s="278" t="s">
        <v>117</v>
      </c>
      <c r="E59" s="278" t="s">
        <v>297</v>
      </c>
      <c r="F59" s="487" t="s">
        <v>200</v>
      </c>
      <c r="G59" s="488"/>
      <c r="H59" s="488"/>
      <c r="I59" s="488"/>
      <c r="J59" s="488"/>
      <c r="K59" s="488"/>
      <c r="L59" s="488"/>
      <c r="M59" s="489"/>
      <c r="N59" s="277"/>
      <c r="O59" s="275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278"/>
      <c r="D60" s="278"/>
      <c r="E60" s="278"/>
      <c r="F60" s="487"/>
      <c r="G60" s="488"/>
      <c r="H60" s="488"/>
      <c r="I60" s="488"/>
      <c r="J60" s="488"/>
      <c r="K60" s="488"/>
      <c r="L60" s="488"/>
      <c r="M60" s="489"/>
      <c r="N60" s="277"/>
      <c r="O60" s="275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278"/>
      <c r="D61" s="278"/>
      <c r="E61" s="278"/>
      <c r="F61" s="487"/>
      <c r="G61" s="488"/>
      <c r="H61" s="488"/>
      <c r="I61" s="488"/>
      <c r="J61" s="488"/>
      <c r="K61" s="488"/>
      <c r="L61" s="488"/>
      <c r="M61" s="489"/>
      <c r="N61" s="277"/>
      <c r="O61" s="275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279"/>
      <c r="D62" s="279"/>
      <c r="E62" s="279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418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276" t="s">
        <v>2</v>
      </c>
      <c r="D64" s="276" t="s">
        <v>37</v>
      </c>
      <c r="E64" s="276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276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114</v>
      </c>
      <c r="D65" s="271"/>
      <c r="E65" s="274" t="s">
        <v>117</v>
      </c>
      <c r="F65" s="474" t="s">
        <v>419</v>
      </c>
      <c r="G65" s="466"/>
      <c r="H65" s="466"/>
      <c r="I65" s="466"/>
      <c r="J65" s="466"/>
      <c r="K65" s="466" t="s">
        <v>121</v>
      </c>
      <c r="L65" s="466"/>
      <c r="M65" s="51" t="s">
        <v>216</v>
      </c>
      <c r="N65" s="477" t="s">
        <v>149</v>
      </c>
      <c r="O65" s="477"/>
      <c r="P65" s="475"/>
      <c r="Q65" s="475"/>
      <c r="R65" s="476" t="s">
        <v>420</v>
      </c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 t="s">
        <v>114</v>
      </c>
      <c r="D66" s="271"/>
      <c r="E66" s="274" t="s">
        <v>401</v>
      </c>
      <c r="F66" s="474" t="s">
        <v>421</v>
      </c>
      <c r="G66" s="466"/>
      <c r="H66" s="466"/>
      <c r="I66" s="466"/>
      <c r="J66" s="466"/>
      <c r="K66" s="466" t="s">
        <v>422</v>
      </c>
      <c r="L66" s="466"/>
      <c r="M66" s="51" t="s">
        <v>216</v>
      </c>
      <c r="N66" s="477" t="s">
        <v>149</v>
      </c>
      <c r="O66" s="477"/>
      <c r="P66" s="475">
        <v>30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 t="s">
        <v>114</v>
      </c>
      <c r="D67" s="271"/>
      <c r="E67" s="274" t="s">
        <v>401</v>
      </c>
      <c r="F67" s="474" t="s">
        <v>423</v>
      </c>
      <c r="G67" s="466"/>
      <c r="H67" s="466"/>
      <c r="I67" s="466"/>
      <c r="J67" s="466"/>
      <c r="K67" s="466" t="s">
        <v>135</v>
      </c>
      <c r="L67" s="466"/>
      <c r="M67" s="51" t="s">
        <v>216</v>
      </c>
      <c r="N67" s="477" t="s">
        <v>149</v>
      </c>
      <c r="O67" s="477"/>
      <c r="P67" s="475">
        <v>200</v>
      </c>
      <c r="Q67" s="475"/>
      <c r="R67" s="476" t="s">
        <v>424</v>
      </c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 t="s">
        <v>114</v>
      </c>
      <c r="D68" s="271"/>
      <c r="E68" s="274" t="s">
        <v>117</v>
      </c>
      <c r="F68" s="474" t="s">
        <v>419</v>
      </c>
      <c r="G68" s="466"/>
      <c r="H68" s="466"/>
      <c r="I68" s="466"/>
      <c r="J68" s="466"/>
      <c r="K68" s="466" t="s">
        <v>121</v>
      </c>
      <c r="L68" s="466"/>
      <c r="M68" s="51" t="s">
        <v>216</v>
      </c>
      <c r="N68" s="477" t="s">
        <v>134</v>
      </c>
      <c r="O68" s="477"/>
      <c r="P68" s="475">
        <v>50</v>
      </c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 t="s">
        <v>114</v>
      </c>
      <c r="D69" s="271"/>
      <c r="E69" s="274" t="s">
        <v>117</v>
      </c>
      <c r="F69" s="474" t="s">
        <v>425</v>
      </c>
      <c r="G69" s="466"/>
      <c r="H69" s="466"/>
      <c r="I69" s="466"/>
      <c r="J69" s="466"/>
      <c r="K69" s="466" t="s">
        <v>426</v>
      </c>
      <c r="L69" s="466"/>
      <c r="M69" s="51" t="s">
        <v>216</v>
      </c>
      <c r="N69" s="477" t="s">
        <v>178</v>
      </c>
      <c r="O69" s="477"/>
      <c r="P69" s="475">
        <v>200</v>
      </c>
      <c r="Q69" s="475"/>
      <c r="R69" s="476" t="s">
        <v>427</v>
      </c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 t="s">
        <v>114</v>
      </c>
      <c r="D70" s="271"/>
      <c r="E70" s="274" t="s">
        <v>183</v>
      </c>
      <c r="F70" s="474" t="s">
        <v>428</v>
      </c>
      <c r="G70" s="466"/>
      <c r="H70" s="466"/>
      <c r="I70" s="466"/>
      <c r="J70" s="466"/>
      <c r="K70" s="466" t="s">
        <v>154</v>
      </c>
      <c r="L70" s="466"/>
      <c r="M70" s="51" t="s">
        <v>216</v>
      </c>
      <c r="N70" s="477" t="s">
        <v>132</v>
      </c>
      <c r="O70" s="477"/>
      <c r="P70" s="475">
        <v>200</v>
      </c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 t="s">
        <v>124</v>
      </c>
      <c r="D71" s="271"/>
      <c r="E71" s="274" t="s">
        <v>183</v>
      </c>
      <c r="F71" s="474" t="s">
        <v>429</v>
      </c>
      <c r="G71" s="466"/>
      <c r="H71" s="466"/>
      <c r="I71" s="466"/>
      <c r="J71" s="466"/>
      <c r="K71" s="466" t="s">
        <v>154</v>
      </c>
      <c r="L71" s="466"/>
      <c r="M71" s="51" t="s">
        <v>216</v>
      </c>
      <c r="N71" s="477" t="s">
        <v>132</v>
      </c>
      <c r="O71" s="477"/>
      <c r="P71" s="475">
        <v>50</v>
      </c>
      <c r="Q71" s="475"/>
      <c r="R71" s="476" t="s">
        <v>300</v>
      </c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271"/>
      <c r="E72" s="274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430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273" t="s">
        <v>2</v>
      </c>
      <c r="D74" s="273" t="s">
        <v>37</v>
      </c>
      <c r="E74" s="273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272" t="s">
        <v>114</v>
      </c>
      <c r="D75" s="272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271"/>
      <c r="D76" s="271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1">A76+1</f>
        <v>3</v>
      </c>
      <c r="B77" s="434"/>
      <c r="C77" s="271"/>
      <c r="D77" s="271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4</v>
      </c>
      <c r="B78" s="434"/>
      <c r="C78" s="271"/>
      <c r="D78" s="271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5</v>
      </c>
      <c r="B79" s="434"/>
      <c r="C79" s="271"/>
      <c r="D79" s="271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6</v>
      </c>
      <c r="B80" s="434"/>
      <c r="C80" s="271"/>
      <c r="D80" s="271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7</v>
      </c>
      <c r="B81" s="434"/>
      <c r="C81" s="271"/>
      <c r="D81" s="271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8</v>
      </c>
      <c r="B82" s="434"/>
      <c r="C82" s="271"/>
      <c r="D82" s="271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1"/>
        <v>9</v>
      </c>
      <c r="B83" s="434"/>
      <c r="C83" s="271"/>
      <c r="D83" s="271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431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7C15-B257-4F97-B92E-3655B999051B}">
  <dimension ref="A1:AF87"/>
  <sheetViews>
    <sheetView zoomScale="72" zoomScaleNormal="72" zoomScaleSheetLayoutView="70" workbookViewId="0">
      <selection activeCell="A13" sqref="A13:XFD1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432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282" t="s">
        <v>17</v>
      </c>
      <c r="L5" s="282" t="s">
        <v>18</v>
      </c>
      <c r="M5" s="282" t="s">
        <v>19</v>
      </c>
      <c r="N5" s="28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0.42222222222222222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0.42222222222222222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6035</v>
      </c>
      <c r="K8" s="15">
        <f>L8+5138+6028+6101+5921+6078+2856+4676+6141+6037</f>
        <v>55011</v>
      </c>
      <c r="L8" s="15">
        <f>3082+2953</f>
        <v>6035</v>
      </c>
      <c r="M8" s="15">
        <f t="shared" si="1"/>
        <v>6035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0.42222222222222222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1451</v>
      </c>
      <c r="K9" s="15">
        <f>L9+575</f>
        <v>2026</v>
      </c>
      <c r="L9" s="15">
        <f>938+513</f>
        <v>1451</v>
      </c>
      <c r="M9" s="15">
        <f t="shared" si="1"/>
        <v>1451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0.42222222222222222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138</v>
      </c>
      <c r="E10" s="53" t="s">
        <v>399</v>
      </c>
      <c r="F10" s="30" t="s">
        <v>126</v>
      </c>
      <c r="G10" s="33">
        <v>2</v>
      </c>
      <c r="H10" s="35">
        <v>24</v>
      </c>
      <c r="I10" s="7">
        <v>16000</v>
      </c>
      <c r="J10" s="5">
        <v>9320</v>
      </c>
      <c r="K10" s="15">
        <f>L10</f>
        <v>9320</v>
      </c>
      <c r="L10" s="15">
        <f>3412*2+1248*2</f>
        <v>9320</v>
      </c>
      <c r="M10" s="15">
        <f t="shared" si="1"/>
        <v>9320</v>
      </c>
      <c r="N10" s="15">
        <v>0</v>
      </c>
      <c r="O10" s="58">
        <f t="shared" si="2"/>
        <v>0</v>
      </c>
      <c r="P10" s="39">
        <f t="shared" si="3"/>
        <v>19</v>
      </c>
      <c r="Q10" s="40">
        <f t="shared" si="4"/>
        <v>5</v>
      </c>
      <c r="R10" s="7"/>
      <c r="S10" s="6">
        <v>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0.79166666666666663</v>
      </c>
      <c r="AD10" s="10">
        <f>AC10*AB10*(1-O10)</f>
        <v>0.79166666666666663</v>
      </c>
      <c r="AE10" s="36">
        <f t="shared" si="8"/>
        <v>0.42222222222222222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4769</v>
      </c>
      <c r="K11" s="15">
        <f>L11</f>
        <v>4769</v>
      </c>
      <c r="L11" s="15">
        <f>1710+3059</f>
        <v>4769</v>
      </c>
      <c r="M11" s="15">
        <f t="shared" si="1"/>
        <v>4769</v>
      </c>
      <c r="N11" s="15">
        <v>0</v>
      </c>
      <c r="O11" s="58">
        <f t="shared" si="2"/>
        <v>0</v>
      </c>
      <c r="P11" s="39">
        <f t="shared" si="3"/>
        <v>19</v>
      </c>
      <c r="Q11" s="40">
        <f t="shared" si="4"/>
        <v>5</v>
      </c>
      <c r="R11" s="7"/>
      <c r="S11" s="6">
        <v>5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0.79166666666666663</v>
      </c>
      <c r="AD11" s="10">
        <f>AC11*AB11*(1-O11)</f>
        <v>0.79166666666666663</v>
      </c>
      <c r="AE11" s="36">
        <f t="shared" si="8"/>
        <v>0.42222222222222222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2356</v>
      </c>
      <c r="K12" s="15">
        <f>L12+4623+4705+5405+1826+2220+3415+4921+2272+679+1842+700</f>
        <v>34964</v>
      </c>
      <c r="L12" s="15">
        <f>1016+1340</f>
        <v>2356</v>
      </c>
      <c r="M12" s="15">
        <f t="shared" si="1"/>
        <v>2356</v>
      </c>
      <c r="N12" s="15">
        <v>0</v>
      </c>
      <c r="O12" s="58">
        <f t="shared" si="2"/>
        <v>0</v>
      </c>
      <c r="P12" s="39">
        <f t="shared" si="3"/>
        <v>14</v>
      </c>
      <c r="Q12" s="40">
        <f t="shared" si="4"/>
        <v>10</v>
      </c>
      <c r="R12" s="7"/>
      <c r="S12" s="6">
        <v>10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0.58333333333333337</v>
      </c>
      <c r="AD12" s="10">
        <f t="shared" ref="AD12" si="10">AC12*AB12*(1-O12)</f>
        <v>0.58333333333333337</v>
      </c>
      <c r="AE12" s="36">
        <f t="shared" si="8"/>
        <v>0.42222222222222222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161</v>
      </c>
      <c r="F13" s="30" t="s">
        <v>135</v>
      </c>
      <c r="G13" s="33">
        <v>2</v>
      </c>
      <c r="H13" s="35">
        <v>24</v>
      </c>
      <c r="I13" s="7">
        <v>22000</v>
      </c>
      <c r="J13" s="14">
        <v>3768</v>
      </c>
      <c r="K13" s="15">
        <f>L13+3768</f>
        <v>3768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0.42222222222222222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0.42222222222222222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28000</v>
      </c>
      <c r="J15" s="14">
        <v>608</v>
      </c>
      <c r="K15" s="15">
        <f>L15+3216+6251+3050+5532+6499+6687</f>
        <v>31843</v>
      </c>
      <c r="L15" s="15">
        <v>608</v>
      </c>
      <c r="M15" s="15">
        <f t="shared" si="1"/>
        <v>608</v>
      </c>
      <c r="N15" s="15">
        <v>0</v>
      </c>
      <c r="O15" s="58">
        <f t="shared" si="2"/>
        <v>0</v>
      </c>
      <c r="P15" s="39">
        <f t="shared" si="3"/>
        <v>4</v>
      </c>
      <c r="Q15" s="40">
        <f t="shared" si="4"/>
        <v>20</v>
      </c>
      <c r="R15" s="7"/>
      <c r="S15" s="6">
        <v>20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0.16666666666666666</v>
      </c>
      <c r="AD15" s="10">
        <f t="shared" si="7"/>
        <v>0.16666666666666666</v>
      </c>
      <c r="AE15" s="36">
        <f t="shared" si="8"/>
        <v>0.42222222222222222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254</v>
      </c>
      <c r="D16" s="52"/>
      <c r="E16" s="53" t="s">
        <v>394</v>
      </c>
      <c r="F16" s="30" t="s">
        <v>151</v>
      </c>
      <c r="G16" s="12">
        <v>1</v>
      </c>
      <c r="H16" s="13">
        <v>28</v>
      </c>
      <c r="I16" s="7">
        <v>1500</v>
      </c>
      <c r="J16" s="14">
        <v>731</v>
      </c>
      <c r="K16" s="15">
        <f>L16+3460+5512</f>
        <v>9703</v>
      </c>
      <c r="L16" s="15">
        <f>731</f>
        <v>731</v>
      </c>
      <c r="M16" s="15">
        <f t="shared" si="1"/>
        <v>731</v>
      </c>
      <c r="N16" s="15">
        <v>0</v>
      </c>
      <c r="O16" s="58">
        <f t="shared" si="2"/>
        <v>0</v>
      </c>
      <c r="P16" s="39">
        <f t="shared" si="3"/>
        <v>4</v>
      </c>
      <c r="Q16" s="40">
        <f t="shared" si="4"/>
        <v>20</v>
      </c>
      <c r="R16" s="7"/>
      <c r="S16" s="6"/>
      <c r="T16" s="16"/>
      <c r="U16" s="16"/>
      <c r="V16" s="17"/>
      <c r="W16" s="5">
        <v>20</v>
      </c>
      <c r="X16" s="16"/>
      <c r="Y16" s="16"/>
      <c r="Z16" s="16"/>
      <c r="AA16" s="18"/>
      <c r="AB16" s="8">
        <f t="shared" si="5"/>
        <v>1</v>
      </c>
      <c r="AC16" s="9">
        <f t="shared" si="6"/>
        <v>0.16666666666666666</v>
      </c>
      <c r="AD16" s="10">
        <f t="shared" si="7"/>
        <v>0.16666666666666666</v>
      </c>
      <c r="AE16" s="36">
        <f t="shared" si="8"/>
        <v>0.42222222222222222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117</v>
      </c>
      <c r="E17" s="53" t="s">
        <v>295</v>
      </c>
      <c r="F17" s="30" t="s">
        <v>126</v>
      </c>
      <c r="G17" s="12">
        <v>1</v>
      </c>
      <c r="H17" s="13">
        <v>28</v>
      </c>
      <c r="I17" s="7">
        <v>10000</v>
      </c>
      <c r="J17" s="14">
        <v>2311</v>
      </c>
      <c r="K17" s="15">
        <f>L17</f>
        <v>2311</v>
      </c>
      <c r="L17" s="15">
        <v>2311</v>
      </c>
      <c r="M17" s="15">
        <f t="shared" ref="M17" si="11">L17-N17</f>
        <v>2311</v>
      </c>
      <c r="N17" s="15">
        <v>0</v>
      </c>
      <c r="O17" s="58">
        <f t="shared" ref="O17" si="12">IF(L17=0,"0",N17/L17)</f>
        <v>0</v>
      </c>
      <c r="P17" s="39">
        <f t="shared" ref="P17" si="13">IF(L17=0,"0",(24-Q17))</f>
        <v>14</v>
      </c>
      <c r="Q17" s="40">
        <f t="shared" ref="Q17" si="14">SUM(R17:AA17)</f>
        <v>10</v>
      </c>
      <c r="R17" s="7"/>
      <c r="S17" s="6"/>
      <c r="T17" s="16">
        <v>10</v>
      </c>
      <c r="U17" s="16"/>
      <c r="V17" s="17"/>
      <c r="W17" s="5"/>
      <c r="X17" s="16"/>
      <c r="Y17" s="16"/>
      <c r="Z17" s="16"/>
      <c r="AA17" s="18"/>
      <c r="AB17" s="8">
        <f t="shared" ref="AB17" si="15">IF(J17=0,"0",(L17/J17))</f>
        <v>1</v>
      </c>
      <c r="AC17" s="9">
        <f t="shared" ref="AC17" si="16">IF(P17=0,"0",(P17/24))</f>
        <v>0.58333333333333337</v>
      </c>
      <c r="AD17" s="10">
        <f t="shared" ref="AD17" si="17">AC17*AB17*(1-O17)</f>
        <v>0.58333333333333337</v>
      </c>
      <c r="AE17" s="36">
        <f t="shared" si="8"/>
        <v>0.42222222222222222</v>
      </c>
      <c r="AF17" s="87">
        <f t="shared" ref="AF17" si="18">A17</f>
        <v>11</v>
      </c>
    </row>
    <row r="18" spans="1:32" ht="27" customHeight="1">
      <c r="A18" s="102">
        <v>12</v>
      </c>
      <c r="B18" s="11" t="s">
        <v>57</v>
      </c>
      <c r="C18" s="11" t="s">
        <v>130</v>
      </c>
      <c r="D18" s="52" t="s">
        <v>125</v>
      </c>
      <c r="E18" s="53" t="s">
        <v>318</v>
      </c>
      <c r="F18" s="30" t="s">
        <v>137</v>
      </c>
      <c r="G18" s="33">
        <v>1</v>
      </c>
      <c r="H18" s="35">
        <v>20</v>
      </c>
      <c r="I18" s="7">
        <v>30000</v>
      </c>
      <c r="J18" s="14">
        <v>11296</v>
      </c>
      <c r="K18" s="15">
        <f>L18+19668+11296</f>
        <v>30964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0.42222222222222222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114</v>
      </c>
      <c r="D19" s="52" t="s">
        <v>401</v>
      </c>
      <c r="E19" s="53" t="s">
        <v>400</v>
      </c>
      <c r="F19" s="30" t="s">
        <v>380</v>
      </c>
      <c r="G19" s="33">
        <v>1</v>
      </c>
      <c r="H19" s="35">
        <v>24</v>
      </c>
      <c r="I19" s="7">
        <v>25000</v>
      </c>
      <c r="J19" s="14">
        <v>5365</v>
      </c>
      <c r="K19" s="15">
        <f>L19+5017</f>
        <v>10382</v>
      </c>
      <c r="L19" s="15">
        <f>2620+2745</f>
        <v>5365</v>
      </c>
      <c r="M19" s="15">
        <f t="shared" si="1"/>
        <v>5365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0.42222222222222222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297</v>
      </c>
      <c r="F20" s="30" t="s">
        <v>121</v>
      </c>
      <c r="G20" s="33">
        <v>1</v>
      </c>
      <c r="H20" s="35">
        <v>24</v>
      </c>
      <c r="I20" s="7">
        <v>60000</v>
      </c>
      <c r="J20" s="14">
        <v>4265</v>
      </c>
      <c r="K20" s="15">
        <f>L20+4692+4864+4990+3865+2322+4113+5075+4534</f>
        <v>38720</v>
      </c>
      <c r="L20" s="15">
        <f>1725+2540</f>
        <v>4265</v>
      </c>
      <c r="M20" s="15">
        <f t="shared" si="1"/>
        <v>4265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si="7"/>
        <v>0.91666666666666663</v>
      </c>
      <c r="AE20" s="36">
        <f t="shared" si="8"/>
        <v>0.42222222222222222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345</v>
      </c>
      <c r="F21" s="12" t="s">
        <v>116</v>
      </c>
      <c r="G21" s="12">
        <v>4</v>
      </c>
      <c r="H21" s="35">
        <v>20</v>
      </c>
      <c r="I21" s="7">
        <v>100000</v>
      </c>
      <c r="J21" s="14">
        <v>78628</v>
      </c>
      <c r="K21" s="15">
        <f>L21+38096+37796+72432+78628</f>
        <v>226952</v>
      </c>
      <c r="L21" s="15"/>
      <c r="M21" s="15">
        <f t="shared" si="1"/>
        <v>0</v>
      </c>
      <c r="N21" s="15">
        <v>0</v>
      </c>
      <c r="O21" s="58" t="str">
        <f t="shared" si="2"/>
        <v>0</v>
      </c>
      <c r="P21" s="39" t="str">
        <f t="shared" si="3"/>
        <v>0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0</v>
      </c>
      <c r="AC21" s="9">
        <f t="shared" si="6"/>
        <v>0</v>
      </c>
      <c r="AD21" s="10">
        <f t="shared" si="7"/>
        <v>0</v>
      </c>
      <c r="AE21" s="36">
        <f t="shared" si="8"/>
        <v>0.42222222222222222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9">SUM(I6:I21)</f>
        <v>399800</v>
      </c>
      <c r="J22" s="19">
        <f t="shared" si="19"/>
        <v>133480</v>
      </c>
      <c r="K22" s="20">
        <f t="shared" si="19"/>
        <v>472797</v>
      </c>
      <c r="L22" s="21">
        <f t="shared" si="19"/>
        <v>37211</v>
      </c>
      <c r="M22" s="20">
        <f t="shared" si="19"/>
        <v>37211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152</v>
      </c>
      <c r="Q22" s="43">
        <f t="shared" si="20"/>
        <v>208</v>
      </c>
      <c r="R22" s="23">
        <f t="shared" si="20"/>
        <v>24</v>
      </c>
      <c r="S22" s="24">
        <f t="shared" si="20"/>
        <v>82</v>
      </c>
      <c r="T22" s="24">
        <f t="shared" si="20"/>
        <v>10</v>
      </c>
      <c r="U22" s="24">
        <f t="shared" si="20"/>
        <v>0</v>
      </c>
      <c r="V22" s="25">
        <f t="shared" si="20"/>
        <v>24</v>
      </c>
      <c r="W22" s="26">
        <f t="shared" si="20"/>
        <v>44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24</v>
      </c>
      <c r="AB22" s="28">
        <f>SUM(AB6:AB21)/15</f>
        <v>0.66666666666666663</v>
      </c>
      <c r="AC22" s="4">
        <f>SUM(AC6:AC21)/15</f>
        <v>0.42222222222222222</v>
      </c>
      <c r="AD22" s="4">
        <f>SUM(AD6:AD21)/15</f>
        <v>0.42222222222222222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433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437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283" t="s">
        <v>46</v>
      </c>
      <c r="D51" s="283" t="s">
        <v>47</v>
      </c>
      <c r="E51" s="283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283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124</v>
      </c>
      <c r="B52" s="486"/>
      <c r="C52" s="285" t="s">
        <v>144</v>
      </c>
      <c r="D52" s="285" t="s">
        <v>136</v>
      </c>
      <c r="E52" s="285" t="s">
        <v>293</v>
      </c>
      <c r="F52" s="487" t="s">
        <v>367</v>
      </c>
      <c r="G52" s="488"/>
      <c r="H52" s="488"/>
      <c r="I52" s="488"/>
      <c r="J52" s="488"/>
      <c r="K52" s="488"/>
      <c r="L52" s="488"/>
      <c r="M52" s="489"/>
      <c r="N52" s="284" t="s">
        <v>124</v>
      </c>
      <c r="O52" s="289" t="s">
        <v>144</v>
      </c>
      <c r="P52" s="499" t="s">
        <v>136</v>
      </c>
      <c r="Q52" s="500"/>
      <c r="R52" s="486" t="s">
        <v>293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124</v>
      </c>
      <c r="B53" s="486"/>
      <c r="C53" s="285" t="s">
        <v>128</v>
      </c>
      <c r="D53" s="285" t="s">
        <v>138</v>
      </c>
      <c r="E53" s="285" t="s">
        <v>399</v>
      </c>
      <c r="F53" s="487" t="s">
        <v>204</v>
      </c>
      <c r="G53" s="488"/>
      <c r="H53" s="488"/>
      <c r="I53" s="488"/>
      <c r="J53" s="488"/>
      <c r="K53" s="488"/>
      <c r="L53" s="488"/>
      <c r="M53" s="489"/>
      <c r="N53" s="284" t="s">
        <v>130</v>
      </c>
      <c r="O53" s="289" t="s">
        <v>178</v>
      </c>
      <c r="P53" s="499" t="s">
        <v>117</v>
      </c>
      <c r="Q53" s="500"/>
      <c r="R53" s="486" t="s">
        <v>161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124</v>
      </c>
      <c r="B54" s="486"/>
      <c r="C54" s="285" t="s">
        <v>149</v>
      </c>
      <c r="D54" s="285" t="s">
        <v>183</v>
      </c>
      <c r="E54" s="285" t="s">
        <v>408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284" t="s">
        <v>114</v>
      </c>
      <c r="O54" s="289" t="s">
        <v>134</v>
      </c>
      <c r="P54" s="499" t="s">
        <v>117</v>
      </c>
      <c r="Q54" s="500"/>
      <c r="R54" s="499" t="s">
        <v>118</v>
      </c>
      <c r="S54" s="501"/>
      <c r="T54" s="501"/>
      <c r="U54" s="500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285" t="s">
        <v>134</v>
      </c>
      <c r="D55" s="285" t="s">
        <v>117</v>
      </c>
      <c r="E55" s="285" t="s">
        <v>118</v>
      </c>
      <c r="F55" s="487" t="s">
        <v>434</v>
      </c>
      <c r="G55" s="488"/>
      <c r="H55" s="488"/>
      <c r="I55" s="488"/>
      <c r="J55" s="488"/>
      <c r="K55" s="488"/>
      <c r="L55" s="488"/>
      <c r="M55" s="489"/>
      <c r="N55" s="284" t="s">
        <v>285</v>
      </c>
      <c r="O55" s="289" t="s">
        <v>210</v>
      </c>
      <c r="P55" s="499"/>
      <c r="Q55" s="500"/>
      <c r="R55" s="499" t="s">
        <v>286</v>
      </c>
      <c r="S55" s="501"/>
      <c r="T55" s="501"/>
      <c r="U55" s="500"/>
      <c r="V55" s="476" t="s">
        <v>204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285</v>
      </c>
      <c r="B56" s="486"/>
      <c r="C56" s="285" t="s">
        <v>210</v>
      </c>
      <c r="D56" s="285"/>
      <c r="E56" s="285" t="s">
        <v>286</v>
      </c>
      <c r="F56" s="487" t="s">
        <v>435</v>
      </c>
      <c r="G56" s="488"/>
      <c r="H56" s="488"/>
      <c r="I56" s="488"/>
      <c r="J56" s="488"/>
      <c r="K56" s="488"/>
      <c r="L56" s="488"/>
      <c r="M56" s="489"/>
      <c r="N56" s="284"/>
      <c r="O56" s="289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114</v>
      </c>
      <c r="B57" s="486"/>
      <c r="C57" s="285" t="s">
        <v>264</v>
      </c>
      <c r="D57" s="285" t="s">
        <v>117</v>
      </c>
      <c r="E57" s="285" t="s">
        <v>295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284"/>
      <c r="O57" s="289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124</v>
      </c>
      <c r="B58" s="486"/>
      <c r="C58" s="285" t="s">
        <v>211</v>
      </c>
      <c r="D58" s="285" t="s">
        <v>117</v>
      </c>
      <c r="E58" s="285" t="s">
        <v>297</v>
      </c>
      <c r="F58" s="487" t="s">
        <v>200</v>
      </c>
      <c r="G58" s="488"/>
      <c r="H58" s="488"/>
      <c r="I58" s="488"/>
      <c r="J58" s="488"/>
      <c r="K58" s="488"/>
      <c r="L58" s="488"/>
      <c r="M58" s="489"/>
      <c r="N58" s="284"/>
      <c r="O58" s="289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115</v>
      </c>
      <c r="B59" s="486"/>
      <c r="C59" s="285" t="s">
        <v>291</v>
      </c>
      <c r="D59" s="285"/>
      <c r="E59" s="285" t="s">
        <v>260</v>
      </c>
      <c r="F59" s="487" t="s">
        <v>436</v>
      </c>
      <c r="G59" s="488"/>
      <c r="H59" s="488"/>
      <c r="I59" s="488"/>
      <c r="J59" s="488"/>
      <c r="K59" s="488"/>
      <c r="L59" s="488"/>
      <c r="M59" s="489"/>
      <c r="N59" s="284"/>
      <c r="O59" s="289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285"/>
      <c r="D60" s="285"/>
      <c r="E60" s="285"/>
      <c r="F60" s="487"/>
      <c r="G60" s="488"/>
      <c r="H60" s="488"/>
      <c r="I60" s="488"/>
      <c r="J60" s="488"/>
      <c r="K60" s="488"/>
      <c r="L60" s="488"/>
      <c r="M60" s="489"/>
      <c r="N60" s="284"/>
      <c r="O60" s="289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286"/>
      <c r="D61" s="286"/>
      <c r="E61" s="286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438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287" t="s">
        <v>2</v>
      </c>
      <c r="D63" s="287" t="s">
        <v>37</v>
      </c>
      <c r="E63" s="287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287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 t="s">
        <v>124</v>
      </c>
      <c r="D64" s="291"/>
      <c r="E64" s="288" t="s">
        <v>136</v>
      </c>
      <c r="F64" s="474" t="s">
        <v>439</v>
      </c>
      <c r="G64" s="466"/>
      <c r="H64" s="466"/>
      <c r="I64" s="466"/>
      <c r="J64" s="466"/>
      <c r="K64" s="466" t="s">
        <v>127</v>
      </c>
      <c r="L64" s="466"/>
      <c r="M64" s="51" t="s">
        <v>214</v>
      </c>
      <c r="N64" s="477" t="s">
        <v>149</v>
      </c>
      <c r="O64" s="477"/>
      <c r="P64" s="475">
        <v>50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 t="s">
        <v>114</v>
      </c>
      <c r="D65" s="291"/>
      <c r="E65" s="288" t="s">
        <v>125</v>
      </c>
      <c r="F65" s="474" t="s">
        <v>440</v>
      </c>
      <c r="G65" s="466"/>
      <c r="H65" s="466"/>
      <c r="I65" s="466"/>
      <c r="J65" s="466"/>
      <c r="K65" s="466" t="s">
        <v>127</v>
      </c>
      <c r="L65" s="466"/>
      <c r="M65" s="51" t="s">
        <v>325</v>
      </c>
      <c r="N65" s="477" t="s">
        <v>264</v>
      </c>
      <c r="O65" s="477"/>
      <c r="P65" s="475">
        <v>50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291"/>
      <c r="E66" s="288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291"/>
      <c r="E67" s="288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291"/>
      <c r="E68" s="288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291"/>
      <c r="E69" s="288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291"/>
      <c r="E70" s="288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291"/>
      <c r="E71" s="288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441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290" t="s">
        <v>2</v>
      </c>
      <c r="D73" s="290" t="s">
        <v>37</v>
      </c>
      <c r="E73" s="290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292" t="s">
        <v>114</v>
      </c>
      <c r="D74" s="292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291"/>
      <c r="D75" s="291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1">A75+1</f>
        <v>3</v>
      </c>
      <c r="B76" s="434"/>
      <c r="C76" s="291"/>
      <c r="D76" s="291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1"/>
        <v>4</v>
      </c>
      <c r="B77" s="434"/>
      <c r="C77" s="291"/>
      <c r="D77" s="291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5</v>
      </c>
      <c r="B78" s="434"/>
      <c r="C78" s="291"/>
      <c r="D78" s="291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6</v>
      </c>
      <c r="B79" s="434"/>
      <c r="C79" s="291"/>
      <c r="D79" s="291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7</v>
      </c>
      <c r="B80" s="434"/>
      <c r="C80" s="291"/>
      <c r="D80" s="291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8</v>
      </c>
      <c r="B81" s="434"/>
      <c r="C81" s="291"/>
      <c r="D81" s="291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9</v>
      </c>
      <c r="B82" s="434"/>
      <c r="C82" s="291"/>
      <c r="D82" s="291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442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99B7-CB7D-4047-ADF8-A9D8A6957D13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443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03" t="s">
        <v>17</v>
      </c>
      <c r="L5" s="303" t="s">
        <v>18</v>
      </c>
      <c r="M5" s="303" t="s">
        <v>19</v>
      </c>
      <c r="N5" s="30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0.47222222222222221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0.47222222222222221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6050</v>
      </c>
      <c r="K8" s="15">
        <f>L8+5138+6028+6101+5921+6078+2856+4676+6141+6037+6035</f>
        <v>61061</v>
      </c>
      <c r="L8" s="15">
        <f>3120+2930</f>
        <v>6050</v>
      </c>
      <c r="M8" s="15">
        <f t="shared" si="1"/>
        <v>6050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0.47222222222222221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1396</v>
      </c>
      <c r="K9" s="15">
        <f>L9+575+1451</f>
        <v>3422</v>
      </c>
      <c r="L9" s="15">
        <f>221+1175</f>
        <v>1396</v>
      </c>
      <c r="M9" s="15">
        <f t="shared" si="1"/>
        <v>1396</v>
      </c>
      <c r="N9" s="15">
        <v>0</v>
      </c>
      <c r="O9" s="58">
        <f t="shared" si="2"/>
        <v>0</v>
      </c>
      <c r="P9" s="39">
        <f t="shared" si="3"/>
        <v>8</v>
      </c>
      <c r="Q9" s="40">
        <f t="shared" si="4"/>
        <v>16</v>
      </c>
      <c r="R9" s="7"/>
      <c r="S9" s="6">
        <v>16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0.33333333333333331</v>
      </c>
      <c r="AD9" s="10">
        <f t="shared" si="7"/>
        <v>0.33333333333333331</v>
      </c>
      <c r="AE9" s="36">
        <f t="shared" si="8"/>
        <v>0.47222222222222221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138</v>
      </c>
      <c r="E10" s="53" t="s">
        <v>399</v>
      </c>
      <c r="F10" s="30" t="s">
        <v>126</v>
      </c>
      <c r="G10" s="33">
        <v>2</v>
      </c>
      <c r="H10" s="35">
        <v>24</v>
      </c>
      <c r="I10" s="7">
        <v>16000</v>
      </c>
      <c r="J10" s="5">
        <v>13288</v>
      </c>
      <c r="K10" s="15">
        <f>L10+9320</f>
        <v>22608</v>
      </c>
      <c r="L10" s="15">
        <f>3404*2+3240*2</f>
        <v>13288</v>
      </c>
      <c r="M10" s="15">
        <f t="shared" si="1"/>
        <v>13288</v>
      </c>
      <c r="N10" s="15">
        <v>0</v>
      </c>
      <c r="O10" s="58">
        <f t="shared" si="2"/>
        <v>0</v>
      </c>
      <c r="P10" s="39">
        <f t="shared" si="3"/>
        <v>24</v>
      </c>
      <c r="Q10" s="40">
        <f t="shared" si="4"/>
        <v>0</v>
      </c>
      <c r="R10" s="7"/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1</v>
      </c>
      <c r="AD10" s="10">
        <f>AC10*AB10*(1-O10)</f>
        <v>1</v>
      </c>
      <c r="AE10" s="36">
        <f t="shared" si="8"/>
        <v>0.47222222222222221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871</v>
      </c>
      <c r="K11" s="15">
        <f>L11+4769</f>
        <v>5640</v>
      </c>
      <c r="L11" s="15">
        <f>50+821</f>
        <v>871</v>
      </c>
      <c r="M11" s="15">
        <f t="shared" si="1"/>
        <v>871</v>
      </c>
      <c r="N11" s="15">
        <v>0</v>
      </c>
      <c r="O11" s="58">
        <f t="shared" si="2"/>
        <v>0</v>
      </c>
      <c r="P11" s="39">
        <f t="shared" si="3"/>
        <v>6</v>
      </c>
      <c r="Q11" s="40">
        <f t="shared" si="4"/>
        <v>18</v>
      </c>
      <c r="R11" s="7">
        <v>8</v>
      </c>
      <c r="S11" s="6">
        <v>10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0.25</v>
      </c>
      <c r="AD11" s="10">
        <f>AC11*AB11*(1-O11)</f>
        <v>0.25</v>
      </c>
      <c r="AE11" s="36">
        <f t="shared" si="8"/>
        <v>0.47222222222222221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2282</v>
      </c>
      <c r="K12" s="15">
        <f>L12+4623+4705+5405+1826+2220+3415+4921+2272+679+1842+700+2356</f>
        <v>37246</v>
      </c>
      <c r="L12" s="15">
        <v>2282</v>
      </c>
      <c r="M12" s="15">
        <f t="shared" si="1"/>
        <v>2282</v>
      </c>
      <c r="N12" s="15">
        <v>0</v>
      </c>
      <c r="O12" s="58">
        <f t="shared" si="2"/>
        <v>0</v>
      </c>
      <c r="P12" s="39">
        <f t="shared" si="3"/>
        <v>12</v>
      </c>
      <c r="Q12" s="40">
        <f t="shared" si="4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</v>
      </c>
      <c r="AD12" s="10">
        <f t="shared" ref="AD12" si="10">AC12*AB12*(1-O12)</f>
        <v>0.5</v>
      </c>
      <c r="AE12" s="36">
        <f t="shared" si="8"/>
        <v>0.47222222222222221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125</v>
      </c>
      <c r="E13" s="53" t="s">
        <v>444</v>
      </c>
      <c r="F13" s="30" t="s">
        <v>406</v>
      </c>
      <c r="G13" s="33">
        <v>1</v>
      </c>
      <c r="H13" s="35">
        <v>24</v>
      </c>
      <c r="I13" s="7">
        <v>2000</v>
      </c>
      <c r="J13" s="14">
        <v>153</v>
      </c>
      <c r="K13" s="15">
        <f>L13</f>
        <v>153</v>
      </c>
      <c r="L13" s="15">
        <v>153</v>
      </c>
      <c r="M13" s="15">
        <f t="shared" si="1"/>
        <v>153</v>
      </c>
      <c r="N13" s="15">
        <v>0</v>
      </c>
      <c r="O13" s="58">
        <f t="shared" si="2"/>
        <v>0</v>
      </c>
      <c r="P13" s="39">
        <f t="shared" si="3"/>
        <v>2</v>
      </c>
      <c r="Q13" s="40">
        <f t="shared" si="4"/>
        <v>22</v>
      </c>
      <c r="R13" s="7"/>
      <c r="S13" s="6"/>
      <c r="T13" s="16">
        <v>8</v>
      </c>
      <c r="U13" s="16"/>
      <c r="V13" s="17"/>
      <c r="W13" s="5"/>
      <c r="X13" s="16"/>
      <c r="Y13" s="16"/>
      <c r="Z13" s="16"/>
      <c r="AA13" s="18">
        <v>14</v>
      </c>
      <c r="AB13" s="8">
        <f t="shared" si="5"/>
        <v>1</v>
      </c>
      <c r="AC13" s="9">
        <f t="shared" si="6"/>
        <v>8.3333333333333329E-2</v>
      </c>
      <c r="AD13" s="10">
        <f t="shared" si="7"/>
        <v>8.3333333333333329E-2</v>
      </c>
      <c r="AE13" s="36">
        <f t="shared" si="8"/>
        <v>0.47222222222222221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0.47222222222222221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28000</v>
      </c>
      <c r="J15" s="14">
        <v>4996</v>
      </c>
      <c r="K15" s="15">
        <f>L15+3216+6251+3050+5532+6499+6687+608</f>
        <v>36839</v>
      </c>
      <c r="L15" s="15">
        <f>2646+2350</f>
        <v>4996</v>
      </c>
      <c r="M15" s="15">
        <f t="shared" si="1"/>
        <v>4996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0.47222222222222221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117</v>
      </c>
      <c r="E16" s="53" t="s">
        <v>295</v>
      </c>
      <c r="F16" s="30" t="s">
        <v>126</v>
      </c>
      <c r="G16" s="12">
        <v>1</v>
      </c>
      <c r="H16" s="13">
        <v>28</v>
      </c>
      <c r="I16" s="7">
        <v>10000</v>
      </c>
      <c r="J16" s="14">
        <v>3474</v>
      </c>
      <c r="K16" s="15">
        <f>L16+2311</f>
        <v>5785</v>
      </c>
      <c r="L16" s="15">
        <f>1374+2100</f>
        <v>3474</v>
      </c>
      <c r="M16" s="15">
        <f t="shared" si="1"/>
        <v>3474</v>
      </c>
      <c r="N16" s="15">
        <v>0</v>
      </c>
      <c r="O16" s="58">
        <f t="shared" si="2"/>
        <v>0</v>
      </c>
      <c r="P16" s="39">
        <f t="shared" si="3"/>
        <v>20</v>
      </c>
      <c r="Q16" s="40">
        <f t="shared" si="4"/>
        <v>4</v>
      </c>
      <c r="R16" s="7"/>
      <c r="S16" s="6">
        <v>4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0.83333333333333337</v>
      </c>
      <c r="AD16" s="10">
        <f t="shared" si="7"/>
        <v>0.83333333333333337</v>
      </c>
      <c r="AE16" s="36">
        <f t="shared" si="8"/>
        <v>0.47222222222222221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183</v>
      </c>
      <c r="E17" s="53" t="s">
        <v>408</v>
      </c>
      <c r="F17" s="30" t="s">
        <v>154</v>
      </c>
      <c r="G17" s="33">
        <v>1</v>
      </c>
      <c r="H17" s="35">
        <v>24</v>
      </c>
      <c r="I17" s="7">
        <v>10000</v>
      </c>
      <c r="J17" s="5">
        <v>550</v>
      </c>
      <c r="K17" s="15">
        <f>L17+4769</f>
        <v>5319</v>
      </c>
      <c r="L17" s="15">
        <v>550</v>
      </c>
      <c r="M17" s="15">
        <f t="shared" si="1"/>
        <v>550</v>
      </c>
      <c r="N17" s="15">
        <v>0</v>
      </c>
      <c r="O17" s="58">
        <f t="shared" si="2"/>
        <v>0</v>
      </c>
      <c r="P17" s="39">
        <f t="shared" si="3"/>
        <v>4</v>
      </c>
      <c r="Q17" s="40">
        <f t="shared" si="4"/>
        <v>20</v>
      </c>
      <c r="R17" s="7"/>
      <c r="S17" s="6"/>
      <c r="T17" s="16">
        <v>20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0.16666666666666666</v>
      </c>
      <c r="AD17" s="10">
        <f t="shared" si="7"/>
        <v>0.16666666666666666</v>
      </c>
      <c r="AE17" s="36">
        <f t="shared" si="8"/>
        <v>0.47222222222222221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401</v>
      </c>
      <c r="E18" s="53" t="s">
        <v>400</v>
      </c>
      <c r="F18" s="30" t="s">
        <v>380</v>
      </c>
      <c r="G18" s="33">
        <v>1</v>
      </c>
      <c r="H18" s="35">
        <v>24</v>
      </c>
      <c r="I18" s="7">
        <v>25000</v>
      </c>
      <c r="J18" s="14">
        <v>5021</v>
      </c>
      <c r="K18" s="15">
        <f>L18+5017+5365</f>
        <v>15403</v>
      </c>
      <c r="L18" s="15">
        <f>2543+2478</f>
        <v>5021</v>
      </c>
      <c r="M18" s="15">
        <f t="shared" si="1"/>
        <v>5021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0.47222222222222221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297</v>
      </c>
      <c r="F19" s="30" t="s">
        <v>121</v>
      </c>
      <c r="G19" s="33">
        <v>1</v>
      </c>
      <c r="H19" s="35">
        <v>24</v>
      </c>
      <c r="I19" s="7">
        <v>60000</v>
      </c>
      <c r="J19" s="14">
        <v>1292</v>
      </c>
      <c r="K19" s="15">
        <f>L19+4692+4864+4990+3865+2322+4113+5075+4534+4265</f>
        <v>40012</v>
      </c>
      <c r="L19" s="15">
        <v>1292</v>
      </c>
      <c r="M19" s="15">
        <f t="shared" si="1"/>
        <v>1292</v>
      </c>
      <c r="N19" s="15">
        <v>0</v>
      </c>
      <c r="O19" s="58">
        <f t="shared" si="2"/>
        <v>0</v>
      </c>
      <c r="P19" s="39">
        <f t="shared" si="3"/>
        <v>12</v>
      </c>
      <c r="Q19" s="40">
        <f t="shared" si="4"/>
        <v>12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>
        <v>10</v>
      </c>
      <c r="AB19" s="8">
        <f t="shared" si="5"/>
        <v>1</v>
      </c>
      <c r="AC19" s="9">
        <f t="shared" si="6"/>
        <v>0.5</v>
      </c>
      <c r="AD19" s="10">
        <f t="shared" si="7"/>
        <v>0.5</v>
      </c>
      <c r="AE19" s="36">
        <f t="shared" si="8"/>
        <v>0.47222222222222221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157</v>
      </c>
      <c r="F20" s="12" t="s">
        <v>116</v>
      </c>
      <c r="G20" s="12">
        <v>4</v>
      </c>
      <c r="H20" s="35">
        <v>20</v>
      </c>
      <c r="I20" s="7">
        <v>500000</v>
      </c>
      <c r="J20" s="14">
        <v>29900</v>
      </c>
      <c r="K20" s="15">
        <f>L20</f>
        <v>29900</v>
      </c>
      <c r="L20" s="15">
        <f>7475*4</f>
        <v>29900</v>
      </c>
      <c r="M20" s="15">
        <f t="shared" si="1"/>
        <v>29900</v>
      </c>
      <c r="N20" s="15">
        <v>0</v>
      </c>
      <c r="O20" s="58">
        <f t="shared" si="2"/>
        <v>0</v>
      </c>
      <c r="P20" s="39">
        <f t="shared" si="3"/>
        <v>10</v>
      </c>
      <c r="Q20" s="40">
        <f t="shared" si="4"/>
        <v>14</v>
      </c>
      <c r="R20" s="7"/>
      <c r="S20" s="6"/>
      <c r="T20" s="16"/>
      <c r="U20" s="16"/>
      <c r="V20" s="17">
        <v>14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0.41666666666666669</v>
      </c>
      <c r="AD20" s="10">
        <f t="shared" si="7"/>
        <v>0.41666666666666669</v>
      </c>
      <c r="AE20" s="36">
        <f t="shared" si="8"/>
        <v>0.47222222222222221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758300</v>
      </c>
      <c r="J21" s="19">
        <f t="shared" si="11"/>
        <v>71850</v>
      </c>
      <c r="K21" s="20">
        <f t="shared" si="11"/>
        <v>275452</v>
      </c>
      <c r="L21" s="21">
        <f t="shared" si="11"/>
        <v>69273</v>
      </c>
      <c r="M21" s="20">
        <f t="shared" si="11"/>
        <v>69273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170</v>
      </c>
      <c r="Q21" s="43">
        <f t="shared" si="12"/>
        <v>190</v>
      </c>
      <c r="R21" s="23">
        <f t="shared" si="12"/>
        <v>32</v>
      </c>
      <c r="S21" s="24">
        <f t="shared" si="12"/>
        <v>44</v>
      </c>
      <c r="T21" s="24">
        <f t="shared" si="12"/>
        <v>28</v>
      </c>
      <c r="U21" s="24">
        <f t="shared" si="12"/>
        <v>0</v>
      </c>
      <c r="V21" s="25">
        <f t="shared" si="12"/>
        <v>38</v>
      </c>
      <c r="W21" s="26">
        <f t="shared" si="12"/>
        <v>24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0.8</v>
      </c>
      <c r="AC21" s="4">
        <f>SUM(AC6:AC20)/15</f>
        <v>0.47222222222222221</v>
      </c>
      <c r="AD21" s="4">
        <f>SUM(AD6:AD20)/15</f>
        <v>0.47222222222222221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445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448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302" t="s">
        <v>46</v>
      </c>
      <c r="D50" s="302" t="s">
        <v>47</v>
      </c>
      <c r="E50" s="302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302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124</v>
      </c>
      <c r="B51" s="486"/>
      <c r="C51" s="300" t="s">
        <v>144</v>
      </c>
      <c r="D51" s="300" t="s">
        <v>136</v>
      </c>
      <c r="E51" s="300" t="s">
        <v>293</v>
      </c>
      <c r="F51" s="487" t="s">
        <v>367</v>
      </c>
      <c r="G51" s="488"/>
      <c r="H51" s="488"/>
      <c r="I51" s="488"/>
      <c r="J51" s="488"/>
      <c r="K51" s="488"/>
      <c r="L51" s="488"/>
      <c r="M51" s="489"/>
      <c r="N51" s="299" t="s">
        <v>124</v>
      </c>
      <c r="O51" s="297" t="s">
        <v>144</v>
      </c>
      <c r="P51" s="499" t="s">
        <v>136</v>
      </c>
      <c r="Q51" s="500"/>
      <c r="R51" s="486" t="s">
        <v>293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124</v>
      </c>
      <c r="B52" s="486"/>
      <c r="C52" s="300" t="s">
        <v>149</v>
      </c>
      <c r="D52" s="300" t="s">
        <v>183</v>
      </c>
      <c r="E52" s="300" t="s">
        <v>408</v>
      </c>
      <c r="F52" s="487" t="s">
        <v>446</v>
      </c>
      <c r="G52" s="488"/>
      <c r="H52" s="488"/>
      <c r="I52" s="488"/>
      <c r="J52" s="488"/>
      <c r="K52" s="488"/>
      <c r="L52" s="488"/>
      <c r="M52" s="489"/>
      <c r="N52" s="299" t="s">
        <v>124</v>
      </c>
      <c r="O52" s="297" t="s">
        <v>178</v>
      </c>
      <c r="P52" s="499" t="s">
        <v>125</v>
      </c>
      <c r="Q52" s="500"/>
      <c r="R52" s="486" t="s">
        <v>444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300" t="s">
        <v>134</v>
      </c>
      <c r="D53" s="300" t="s">
        <v>117</v>
      </c>
      <c r="E53" s="300" t="s">
        <v>118</v>
      </c>
      <c r="F53" s="487" t="s">
        <v>434</v>
      </c>
      <c r="G53" s="488"/>
      <c r="H53" s="488"/>
      <c r="I53" s="488"/>
      <c r="J53" s="488"/>
      <c r="K53" s="488"/>
      <c r="L53" s="488"/>
      <c r="M53" s="489"/>
      <c r="N53" s="299" t="s">
        <v>114</v>
      </c>
      <c r="O53" s="297" t="s">
        <v>134</v>
      </c>
      <c r="P53" s="499" t="s">
        <v>117</v>
      </c>
      <c r="Q53" s="500"/>
      <c r="R53" s="499" t="s">
        <v>118</v>
      </c>
      <c r="S53" s="501"/>
      <c r="T53" s="501"/>
      <c r="U53" s="500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285</v>
      </c>
      <c r="B54" s="486"/>
      <c r="C54" s="300" t="s">
        <v>210</v>
      </c>
      <c r="D54" s="300"/>
      <c r="E54" s="300" t="s">
        <v>286</v>
      </c>
      <c r="F54" s="487" t="s">
        <v>204</v>
      </c>
      <c r="G54" s="488"/>
      <c r="H54" s="488"/>
      <c r="I54" s="488"/>
      <c r="J54" s="488"/>
      <c r="K54" s="488"/>
      <c r="L54" s="488"/>
      <c r="M54" s="489"/>
      <c r="N54" s="299" t="s">
        <v>209</v>
      </c>
      <c r="O54" s="297" t="s">
        <v>211</v>
      </c>
      <c r="P54" s="499"/>
      <c r="Q54" s="500"/>
      <c r="R54" s="499" t="s">
        <v>450</v>
      </c>
      <c r="S54" s="501"/>
      <c r="T54" s="501"/>
      <c r="U54" s="500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300" t="s">
        <v>264</v>
      </c>
      <c r="D55" s="300" t="s">
        <v>117</v>
      </c>
      <c r="E55" s="300" t="s">
        <v>295</v>
      </c>
      <c r="F55" s="487" t="s">
        <v>447</v>
      </c>
      <c r="G55" s="488"/>
      <c r="H55" s="488"/>
      <c r="I55" s="488"/>
      <c r="J55" s="488"/>
      <c r="K55" s="488"/>
      <c r="L55" s="488"/>
      <c r="M55" s="489"/>
      <c r="N55" s="299"/>
      <c r="O55" s="297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115</v>
      </c>
      <c r="B56" s="486"/>
      <c r="C56" s="300" t="s">
        <v>291</v>
      </c>
      <c r="D56" s="300"/>
      <c r="E56" s="300" t="s">
        <v>157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299"/>
      <c r="O56" s="297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124</v>
      </c>
      <c r="B57" s="486"/>
      <c r="C57" s="300" t="s">
        <v>178</v>
      </c>
      <c r="D57" s="300" t="s">
        <v>125</v>
      </c>
      <c r="E57" s="300" t="s">
        <v>444</v>
      </c>
      <c r="F57" s="487" t="s">
        <v>449</v>
      </c>
      <c r="G57" s="488"/>
      <c r="H57" s="488"/>
      <c r="I57" s="488"/>
      <c r="J57" s="488"/>
      <c r="K57" s="488"/>
      <c r="L57" s="488"/>
      <c r="M57" s="489"/>
      <c r="N57" s="299"/>
      <c r="O57" s="297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00"/>
      <c r="D58" s="300"/>
      <c r="E58" s="300"/>
      <c r="F58" s="487"/>
      <c r="G58" s="488"/>
      <c r="H58" s="488"/>
      <c r="I58" s="488"/>
      <c r="J58" s="488"/>
      <c r="K58" s="488"/>
      <c r="L58" s="488"/>
      <c r="M58" s="489"/>
      <c r="N58" s="299"/>
      <c r="O58" s="297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00"/>
      <c r="D59" s="300"/>
      <c r="E59" s="300"/>
      <c r="F59" s="487"/>
      <c r="G59" s="488"/>
      <c r="H59" s="488"/>
      <c r="I59" s="488"/>
      <c r="J59" s="488"/>
      <c r="K59" s="488"/>
      <c r="L59" s="488"/>
      <c r="M59" s="489"/>
      <c r="N59" s="299"/>
      <c r="O59" s="297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301"/>
      <c r="D60" s="301"/>
      <c r="E60" s="301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451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298" t="s">
        <v>2</v>
      </c>
      <c r="D62" s="298" t="s">
        <v>37</v>
      </c>
      <c r="E62" s="298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298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114</v>
      </c>
      <c r="D63" s="293"/>
      <c r="E63" s="296" t="s">
        <v>125</v>
      </c>
      <c r="F63" s="474" t="s">
        <v>440</v>
      </c>
      <c r="G63" s="466"/>
      <c r="H63" s="466"/>
      <c r="I63" s="466"/>
      <c r="J63" s="466"/>
      <c r="K63" s="466" t="s">
        <v>127</v>
      </c>
      <c r="L63" s="466"/>
      <c r="M63" s="51" t="s">
        <v>452</v>
      </c>
      <c r="N63" s="477" t="s">
        <v>178</v>
      </c>
      <c r="O63" s="477"/>
      <c r="P63" s="475">
        <v>500</v>
      </c>
      <c r="Q63" s="475"/>
      <c r="R63" s="476"/>
      <c r="S63" s="476"/>
      <c r="T63" s="476"/>
      <c r="U63" s="476"/>
      <c r="V63" s="476"/>
      <c r="W63" s="476"/>
      <c r="X63" s="476"/>
      <c r="Y63" s="476"/>
      <c r="Z63" s="476"/>
      <c r="AA63" s="476"/>
      <c r="AB63" s="466"/>
      <c r="AC63" s="466"/>
      <c r="AD63" s="467"/>
      <c r="AF63" s="50"/>
    </row>
    <row r="64" spans="1:32" ht="25.5" customHeight="1">
      <c r="A64" s="472">
        <v>2</v>
      </c>
      <c r="B64" s="473"/>
      <c r="C64" s="117" t="s">
        <v>114</v>
      </c>
      <c r="D64" s="293"/>
      <c r="E64" s="296" t="s">
        <v>117</v>
      </c>
      <c r="F64" s="474" t="s">
        <v>419</v>
      </c>
      <c r="G64" s="466"/>
      <c r="H64" s="466"/>
      <c r="I64" s="466"/>
      <c r="J64" s="466"/>
      <c r="K64" s="466" t="s">
        <v>121</v>
      </c>
      <c r="L64" s="466"/>
      <c r="M64" s="51" t="s">
        <v>452</v>
      </c>
      <c r="N64" s="477" t="s">
        <v>134</v>
      </c>
      <c r="O64" s="477"/>
      <c r="P64" s="475">
        <v>500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 t="s">
        <v>114</v>
      </c>
      <c r="D65" s="293"/>
      <c r="E65" s="296" t="s">
        <v>401</v>
      </c>
      <c r="F65" s="474" t="s">
        <v>453</v>
      </c>
      <c r="G65" s="466"/>
      <c r="H65" s="466"/>
      <c r="I65" s="466"/>
      <c r="J65" s="466"/>
      <c r="K65" s="466" t="s">
        <v>127</v>
      </c>
      <c r="L65" s="466"/>
      <c r="M65" s="51" t="s">
        <v>452</v>
      </c>
      <c r="N65" s="477" t="s">
        <v>211</v>
      </c>
      <c r="O65" s="477"/>
      <c r="P65" s="475">
        <v>500</v>
      </c>
      <c r="Q65" s="475"/>
      <c r="R65" s="476" t="s">
        <v>454</v>
      </c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 t="s">
        <v>114</v>
      </c>
      <c r="D66" s="293"/>
      <c r="E66" s="296" t="s">
        <v>455</v>
      </c>
      <c r="F66" s="474" t="s">
        <v>456</v>
      </c>
      <c r="G66" s="466"/>
      <c r="H66" s="466"/>
      <c r="I66" s="466"/>
      <c r="J66" s="466"/>
      <c r="K66" s="466" t="s">
        <v>274</v>
      </c>
      <c r="L66" s="466"/>
      <c r="M66" s="51" t="s">
        <v>452</v>
      </c>
      <c r="N66" s="477" t="s">
        <v>178</v>
      </c>
      <c r="O66" s="477"/>
      <c r="P66" s="475">
        <v>500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293"/>
      <c r="E67" s="296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293"/>
      <c r="E68" s="296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293"/>
      <c r="E69" s="296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293"/>
      <c r="E70" s="296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457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295" t="s">
        <v>2</v>
      </c>
      <c r="D72" s="295" t="s">
        <v>37</v>
      </c>
      <c r="E72" s="295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294" t="s">
        <v>114</v>
      </c>
      <c r="D73" s="294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293"/>
      <c r="D74" s="293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293"/>
      <c r="D75" s="293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293"/>
      <c r="D76" s="293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293"/>
      <c r="D77" s="293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293"/>
      <c r="D78" s="293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293"/>
      <c r="D79" s="293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293"/>
      <c r="D80" s="293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293"/>
      <c r="D81" s="293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458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CDD0-95A9-4666-97AB-33C4EBC10D53}"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459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04" t="s">
        <v>17</v>
      </c>
      <c r="L5" s="304" t="s">
        <v>18</v>
      </c>
      <c r="M5" s="304" t="s">
        <v>19</v>
      </c>
      <c r="N5" s="304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0.45598701183168766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0.45598701183168766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5014</v>
      </c>
      <c r="K8" s="15">
        <f>L8+5138+6028+6101+5921+6078+2856+4676+6141+6037+6035+6050</f>
        <v>66075</v>
      </c>
      <c r="L8" s="15">
        <f>3169+1845</f>
        <v>5014</v>
      </c>
      <c r="M8" s="15">
        <f t="shared" si="1"/>
        <v>5014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0.45598701183168766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1396</v>
      </c>
      <c r="K9" s="15">
        <f>L9+575+1451+1396</f>
        <v>3422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0.45598701183168766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138</v>
      </c>
      <c r="E10" s="53" t="s">
        <v>399</v>
      </c>
      <c r="F10" s="30" t="s">
        <v>126</v>
      </c>
      <c r="G10" s="33">
        <v>2</v>
      </c>
      <c r="H10" s="35">
        <v>24</v>
      </c>
      <c r="I10" s="7">
        <v>16000</v>
      </c>
      <c r="J10" s="5">
        <v>13288</v>
      </c>
      <c r="K10" s="15">
        <f>L10+9320+13288</f>
        <v>22608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>
        <v>24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0.45598701183168766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871</v>
      </c>
      <c r="K11" s="15">
        <f>L11+4769+871</f>
        <v>5640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0.45598701183168766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3779</v>
      </c>
      <c r="K12" s="15">
        <f>L12+4623+4705+5405+1826+2220+3415+4921+2272+679+1842+700+2356+2282</f>
        <v>41025</v>
      </c>
      <c r="L12" s="15">
        <f>2494+1285</f>
        <v>3779</v>
      </c>
      <c r="M12" s="15">
        <f t="shared" si="1"/>
        <v>3779</v>
      </c>
      <c r="N12" s="15">
        <v>0</v>
      </c>
      <c r="O12" s="58">
        <f t="shared" si="2"/>
        <v>0</v>
      </c>
      <c r="P12" s="39">
        <f t="shared" si="3"/>
        <v>20</v>
      </c>
      <c r="Q12" s="40">
        <f t="shared" si="4"/>
        <v>4</v>
      </c>
      <c r="R12" s="7"/>
      <c r="S12" s="6">
        <v>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0.83333333333333337</v>
      </c>
      <c r="AD12" s="10">
        <f t="shared" ref="AD12" si="10">AC12*AB12*(1-O12)</f>
        <v>0.83333333333333337</v>
      </c>
      <c r="AE12" s="36">
        <f t="shared" si="8"/>
        <v>0.45598701183168766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125</v>
      </c>
      <c r="E13" s="53" t="s">
        <v>444</v>
      </c>
      <c r="F13" s="30" t="s">
        <v>406</v>
      </c>
      <c r="G13" s="33">
        <v>1</v>
      </c>
      <c r="H13" s="35">
        <v>24</v>
      </c>
      <c r="I13" s="7">
        <v>2000</v>
      </c>
      <c r="J13" s="14">
        <v>2095</v>
      </c>
      <c r="K13" s="15">
        <f>L13+153</f>
        <v>2248</v>
      </c>
      <c r="L13" s="15">
        <f>675+1420</f>
        <v>2095</v>
      </c>
      <c r="M13" s="15">
        <f t="shared" si="1"/>
        <v>2095</v>
      </c>
      <c r="N13" s="15">
        <v>0</v>
      </c>
      <c r="O13" s="58">
        <f t="shared" si="2"/>
        <v>0</v>
      </c>
      <c r="P13" s="39">
        <f t="shared" si="3"/>
        <v>14</v>
      </c>
      <c r="Q13" s="40">
        <f t="shared" si="4"/>
        <v>10</v>
      </c>
      <c r="R13" s="7"/>
      <c r="S13" s="6">
        <v>5</v>
      </c>
      <c r="T13" s="16"/>
      <c r="U13" s="16"/>
      <c r="V13" s="17"/>
      <c r="W13" s="5">
        <v>5</v>
      </c>
      <c r="X13" s="16"/>
      <c r="Y13" s="16"/>
      <c r="Z13" s="16"/>
      <c r="AA13" s="18"/>
      <c r="AB13" s="8">
        <f t="shared" si="5"/>
        <v>1</v>
      </c>
      <c r="AC13" s="9">
        <f t="shared" si="6"/>
        <v>0.58333333333333337</v>
      </c>
      <c r="AD13" s="10">
        <f t="shared" si="7"/>
        <v>0.58333333333333337</v>
      </c>
      <c r="AE13" s="36">
        <f t="shared" si="8"/>
        <v>0.45598701183168766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0.45598701183168766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50000</v>
      </c>
      <c r="J15" s="14">
        <v>4996</v>
      </c>
      <c r="K15" s="15">
        <f>L15+3216+6251+3050+5532+6499+6687+608+4996</f>
        <v>41451</v>
      </c>
      <c r="L15" s="15">
        <f>2982+1630</f>
        <v>4612</v>
      </c>
      <c r="M15" s="15">
        <f t="shared" si="1"/>
        <v>4612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0.92313851080864695</v>
      </c>
      <c r="AC15" s="9">
        <f t="shared" si="6"/>
        <v>1</v>
      </c>
      <c r="AD15" s="10">
        <f t="shared" si="7"/>
        <v>0.92313851080864695</v>
      </c>
      <c r="AE15" s="36">
        <f t="shared" si="8"/>
        <v>0.45598701183168766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117</v>
      </c>
      <c r="E16" s="53" t="s">
        <v>295</v>
      </c>
      <c r="F16" s="30" t="s">
        <v>126</v>
      </c>
      <c r="G16" s="12">
        <v>1</v>
      </c>
      <c r="H16" s="13">
        <v>28</v>
      </c>
      <c r="I16" s="7">
        <v>10000</v>
      </c>
      <c r="J16" s="14">
        <v>2422</v>
      </c>
      <c r="K16" s="15">
        <f>L16+2311+3474</f>
        <v>8207</v>
      </c>
      <c r="L16" s="15">
        <f>2422</f>
        <v>2422</v>
      </c>
      <c r="M16" s="15">
        <f t="shared" si="1"/>
        <v>2422</v>
      </c>
      <c r="N16" s="15">
        <v>0</v>
      </c>
      <c r="O16" s="58">
        <f t="shared" si="2"/>
        <v>0</v>
      </c>
      <c r="P16" s="39">
        <f t="shared" si="3"/>
        <v>14</v>
      </c>
      <c r="Q16" s="40">
        <f t="shared" si="4"/>
        <v>10</v>
      </c>
      <c r="R16" s="7"/>
      <c r="S16" s="6">
        <v>10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0.58333333333333337</v>
      </c>
      <c r="AD16" s="10">
        <f t="shared" si="7"/>
        <v>0.58333333333333337</v>
      </c>
      <c r="AE16" s="36">
        <f t="shared" si="8"/>
        <v>0.45598701183168766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183</v>
      </c>
      <c r="E17" s="53" t="s">
        <v>408</v>
      </c>
      <c r="F17" s="30" t="s">
        <v>154</v>
      </c>
      <c r="G17" s="33">
        <v>1</v>
      </c>
      <c r="H17" s="35">
        <v>24</v>
      </c>
      <c r="I17" s="7">
        <v>10000</v>
      </c>
      <c r="J17" s="5">
        <v>1640</v>
      </c>
      <c r="K17" s="15">
        <f>L17+4769+550</f>
        <v>6959</v>
      </c>
      <c r="L17" s="15">
        <v>1640</v>
      </c>
      <c r="M17" s="15">
        <f t="shared" si="1"/>
        <v>1640</v>
      </c>
      <c r="N17" s="15">
        <v>0</v>
      </c>
      <c r="O17" s="58">
        <f t="shared" si="2"/>
        <v>0</v>
      </c>
      <c r="P17" s="39">
        <f t="shared" si="3"/>
        <v>9</v>
      </c>
      <c r="Q17" s="40">
        <f t="shared" si="4"/>
        <v>15</v>
      </c>
      <c r="R17" s="7"/>
      <c r="S17" s="6">
        <v>15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0.375</v>
      </c>
      <c r="AD17" s="10">
        <f t="shared" si="7"/>
        <v>0.375</v>
      </c>
      <c r="AE17" s="36">
        <f t="shared" si="8"/>
        <v>0.45598701183168766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401</v>
      </c>
      <c r="E18" s="53" t="s">
        <v>400</v>
      </c>
      <c r="F18" s="30" t="s">
        <v>380</v>
      </c>
      <c r="G18" s="33">
        <v>1</v>
      </c>
      <c r="H18" s="35">
        <v>24</v>
      </c>
      <c r="I18" s="7">
        <v>25000</v>
      </c>
      <c r="J18" s="14">
        <v>5605</v>
      </c>
      <c r="K18" s="15">
        <f>L18+5017+5365+5021</f>
        <v>21008</v>
      </c>
      <c r="L18" s="15">
        <f>2545+3060</f>
        <v>5605</v>
      </c>
      <c r="M18" s="15">
        <f t="shared" si="1"/>
        <v>5605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0.45598701183168766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209</v>
      </c>
      <c r="D19" s="52" t="s">
        <v>125</v>
      </c>
      <c r="E19" s="53" t="s">
        <v>460</v>
      </c>
      <c r="F19" s="30" t="s">
        <v>380</v>
      </c>
      <c r="G19" s="33">
        <v>1</v>
      </c>
      <c r="H19" s="35">
        <v>24</v>
      </c>
      <c r="I19" s="7">
        <v>5600</v>
      </c>
      <c r="J19" s="14">
        <v>2658</v>
      </c>
      <c r="K19" s="15">
        <f>L19</f>
        <v>2658</v>
      </c>
      <c r="L19" s="15">
        <f>2658</f>
        <v>2658</v>
      </c>
      <c r="M19" s="15">
        <f t="shared" si="1"/>
        <v>2658</v>
      </c>
      <c r="N19" s="15">
        <v>0</v>
      </c>
      <c r="O19" s="58">
        <f t="shared" si="2"/>
        <v>0</v>
      </c>
      <c r="P19" s="39">
        <f t="shared" si="3"/>
        <v>15</v>
      </c>
      <c r="Q19" s="40">
        <f t="shared" si="4"/>
        <v>9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9</v>
      </c>
      <c r="AB19" s="8">
        <f t="shared" si="5"/>
        <v>1</v>
      </c>
      <c r="AC19" s="9">
        <f t="shared" si="6"/>
        <v>0.625</v>
      </c>
      <c r="AD19" s="10">
        <f t="shared" si="7"/>
        <v>0.625</v>
      </c>
      <c r="AE19" s="36">
        <f t="shared" si="8"/>
        <v>0.45598701183168766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157</v>
      </c>
      <c r="F20" s="12" t="s">
        <v>116</v>
      </c>
      <c r="G20" s="12">
        <v>4</v>
      </c>
      <c r="H20" s="35">
        <v>20</v>
      </c>
      <c r="I20" s="7">
        <v>500000</v>
      </c>
      <c r="J20" s="14">
        <v>71464</v>
      </c>
      <c r="K20" s="15">
        <f>L20+29900</f>
        <v>101364</v>
      </c>
      <c r="L20" s="15">
        <f>7820*4+10046*4</f>
        <v>71464</v>
      </c>
      <c r="M20" s="15">
        <f t="shared" si="1"/>
        <v>71464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0.45598701183168766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725900</v>
      </c>
      <c r="J21" s="19">
        <f t="shared" si="11"/>
        <v>117805</v>
      </c>
      <c r="K21" s="20">
        <f t="shared" si="11"/>
        <v>334729</v>
      </c>
      <c r="L21" s="21">
        <f t="shared" si="11"/>
        <v>99289</v>
      </c>
      <c r="M21" s="20">
        <f t="shared" si="11"/>
        <v>99289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166</v>
      </c>
      <c r="Q21" s="43">
        <f t="shared" si="12"/>
        <v>194</v>
      </c>
      <c r="R21" s="23">
        <f t="shared" si="12"/>
        <v>72</v>
      </c>
      <c r="S21" s="24">
        <f t="shared" si="12"/>
        <v>60</v>
      </c>
      <c r="T21" s="24">
        <f t="shared" si="12"/>
        <v>0</v>
      </c>
      <c r="U21" s="24">
        <f t="shared" si="12"/>
        <v>0</v>
      </c>
      <c r="V21" s="25">
        <f t="shared" si="12"/>
        <v>24</v>
      </c>
      <c r="W21" s="26">
        <f t="shared" si="12"/>
        <v>29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9</v>
      </c>
      <c r="AB21" s="28">
        <f>SUM(AB6:AB20)/15</f>
        <v>0.5948759007205765</v>
      </c>
      <c r="AC21" s="4">
        <f>SUM(AC6:AC20)/15</f>
        <v>0.46111111111111114</v>
      </c>
      <c r="AD21" s="4">
        <f>SUM(AD6:AD20)/15</f>
        <v>0.45598701183168766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461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464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305" t="s">
        <v>46</v>
      </c>
      <c r="D50" s="305" t="s">
        <v>47</v>
      </c>
      <c r="E50" s="305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305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124</v>
      </c>
      <c r="B51" s="486"/>
      <c r="C51" s="307" t="s">
        <v>144</v>
      </c>
      <c r="D51" s="307" t="s">
        <v>136</v>
      </c>
      <c r="E51" s="307" t="s">
        <v>293</v>
      </c>
      <c r="F51" s="487" t="s">
        <v>367</v>
      </c>
      <c r="G51" s="488"/>
      <c r="H51" s="488"/>
      <c r="I51" s="488"/>
      <c r="J51" s="488"/>
      <c r="K51" s="488"/>
      <c r="L51" s="488"/>
      <c r="M51" s="489"/>
      <c r="N51" s="306" t="s">
        <v>124</v>
      </c>
      <c r="O51" s="311" t="s">
        <v>144</v>
      </c>
      <c r="P51" s="499" t="s">
        <v>136</v>
      </c>
      <c r="Q51" s="500"/>
      <c r="R51" s="486" t="s">
        <v>293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124</v>
      </c>
      <c r="B52" s="486"/>
      <c r="C52" s="307" t="s">
        <v>132</v>
      </c>
      <c r="D52" s="307" t="s">
        <v>183</v>
      </c>
      <c r="E52" s="307" t="s">
        <v>408</v>
      </c>
      <c r="F52" s="487" t="s">
        <v>462</v>
      </c>
      <c r="G52" s="488"/>
      <c r="H52" s="488"/>
      <c r="I52" s="488"/>
      <c r="J52" s="488"/>
      <c r="K52" s="488"/>
      <c r="L52" s="488"/>
      <c r="M52" s="489"/>
      <c r="N52" s="306" t="s">
        <v>124</v>
      </c>
      <c r="O52" s="311" t="s">
        <v>178</v>
      </c>
      <c r="P52" s="499" t="s">
        <v>183</v>
      </c>
      <c r="Q52" s="500"/>
      <c r="R52" s="486" t="s">
        <v>465</v>
      </c>
      <c r="S52" s="486"/>
      <c r="T52" s="486"/>
      <c r="U52" s="486"/>
      <c r="V52" s="476" t="s">
        <v>120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307" t="s">
        <v>134</v>
      </c>
      <c r="D53" s="307" t="s">
        <v>117</v>
      </c>
      <c r="E53" s="307" t="s">
        <v>118</v>
      </c>
      <c r="F53" s="487" t="s">
        <v>204</v>
      </c>
      <c r="G53" s="488"/>
      <c r="H53" s="488"/>
      <c r="I53" s="488"/>
      <c r="J53" s="488"/>
      <c r="K53" s="488"/>
      <c r="L53" s="488"/>
      <c r="M53" s="489"/>
      <c r="N53" s="306" t="s">
        <v>124</v>
      </c>
      <c r="O53" s="311" t="s">
        <v>262</v>
      </c>
      <c r="P53" s="499" t="s">
        <v>122</v>
      </c>
      <c r="Q53" s="500"/>
      <c r="R53" s="499" t="s">
        <v>253</v>
      </c>
      <c r="S53" s="501"/>
      <c r="T53" s="501"/>
      <c r="U53" s="500"/>
      <c r="V53" s="476" t="s">
        <v>200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307" t="s">
        <v>264</v>
      </c>
      <c r="D54" s="307" t="s">
        <v>117</v>
      </c>
      <c r="E54" s="307" t="s">
        <v>295</v>
      </c>
      <c r="F54" s="487" t="s">
        <v>463</v>
      </c>
      <c r="G54" s="488"/>
      <c r="H54" s="488"/>
      <c r="I54" s="488"/>
      <c r="J54" s="488"/>
      <c r="K54" s="488"/>
      <c r="L54" s="488"/>
      <c r="M54" s="489"/>
      <c r="N54" s="306" t="s">
        <v>285</v>
      </c>
      <c r="O54" s="311" t="s">
        <v>210</v>
      </c>
      <c r="P54" s="499"/>
      <c r="Q54" s="500"/>
      <c r="R54" s="499" t="s">
        <v>286</v>
      </c>
      <c r="S54" s="501"/>
      <c r="T54" s="501"/>
      <c r="U54" s="500"/>
      <c r="V54" s="476" t="s">
        <v>466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209</v>
      </c>
      <c r="B55" s="486"/>
      <c r="C55" s="307" t="s">
        <v>211</v>
      </c>
      <c r="D55" s="307" t="s">
        <v>125</v>
      </c>
      <c r="E55" s="307" t="s">
        <v>460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306"/>
      <c r="O55" s="311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124</v>
      </c>
      <c r="B56" s="486"/>
      <c r="C56" s="307" t="s">
        <v>178</v>
      </c>
      <c r="D56" s="307" t="s">
        <v>125</v>
      </c>
      <c r="E56" s="307" t="s">
        <v>444</v>
      </c>
      <c r="F56" s="487" t="s">
        <v>204</v>
      </c>
      <c r="G56" s="488"/>
      <c r="H56" s="488"/>
      <c r="I56" s="488"/>
      <c r="J56" s="488"/>
      <c r="K56" s="488"/>
      <c r="L56" s="488"/>
      <c r="M56" s="489"/>
      <c r="N56" s="306"/>
      <c r="O56" s="311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307"/>
      <c r="D57" s="307"/>
      <c r="E57" s="307"/>
      <c r="F57" s="487"/>
      <c r="G57" s="488"/>
      <c r="H57" s="488"/>
      <c r="I57" s="488"/>
      <c r="J57" s="488"/>
      <c r="K57" s="488"/>
      <c r="L57" s="488"/>
      <c r="M57" s="489"/>
      <c r="N57" s="306"/>
      <c r="O57" s="311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07"/>
      <c r="D58" s="307"/>
      <c r="E58" s="307"/>
      <c r="F58" s="487"/>
      <c r="G58" s="488"/>
      <c r="H58" s="488"/>
      <c r="I58" s="488"/>
      <c r="J58" s="488"/>
      <c r="K58" s="488"/>
      <c r="L58" s="488"/>
      <c r="M58" s="489"/>
      <c r="N58" s="306"/>
      <c r="O58" s="311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07"/>
      <c r="D59" s="307"/>
      <c r="E59" s="307"/>
      <c r="F59" s="487"/>
      <c r="G59" s="488"/>
      <c r="H59" s="488"/>
      <c r="I59" s="488"/>
      <c r="J59" s="488"/>
      <c r="K59" s="488"/>
      <c r="L59" s="488"/>
      <c r="M59" s="489"/>
      <c r="N59" s="306"/>
      <c r="O59" s="311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308"/>
      <c r="D60" s="308"/>
      <c r="E60" s="308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467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309" t="s">
        <v>2</v>
      </c>
      <c r="D62" s="309" t="s">
        <v>37</v>
      </c>
      <c r="E62" s="309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309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114</v>
      </c>
      <c r="D63" s="313"/>
      <c r="E63" s="310" t="s">
        <v>122</v>
      </c>
      <c r="F63" s="474" t="s">
        <v>468</v>
      </c>
      <c r="G63" s="466"/>
      <c r="H63" s="466"/>
      <c r="I63" s="466"/>
      <c r="J63" s="466"/>
      <c r="K63" s="466" t="s">
        <v>123</v>
      </c>
      <c r="L63" s="466"/>
      <c r="M63" s="51" t="s">
        <v>452</v>
      </c>
      <c r="N63" s="477" t="s">
        <v>211</v>
      </c>
      <c r="O63" s="477"/>
      <c r="P63" s="475">
        <v>500</v>
      </c>
      <c r="Q63" s="475"/>
      <c r="R63" s="476" t="s">
        <v>469</v>
      </c>
      <c r="S63" s="476"/>
      <c r="T63" s="476"/>
      <c r="U63" s="476"/>
      <c r="V63" s="476"/>
      <c r="W63" s="476"/>
      <c r="X63" s="476"/>
      <c r="Y63" s="476"/>
      <c r="Z63" s="476"/>
      <c r="AA63" s="476"/>
      <c r="AB63" s="466"/>
      <c r="AC63" s="466"/>
      <c r="AD63" s="467"/>
      <c r="AF63" s="50"/>
    </row>
    <row r="64" spans="1:32" ht="25.5" customHeight="1">
      <c r="A64" s="472">
        <v>2</v>
      </c>
      <c r="B64" s="473"/>
      <c r="C64" s="117"/>
      <c r="D64" s="313"/>
      <c r="E64" s="310"/>
      <c r="F64" s="474"/>
      <c r="G64" s="466"/>
      <c r="H64" s="466"/>
      <c r="I64" s="466"/>
      <c r="J64" s="466"/>
      <c r="K64" s="466"/>
      <c r="L64" s="466"/>
      <c r="M64" s="51"/>
      <c r="N64" s="477"/>
      <c r="O64" s="477"/>
      <c r="P64" s="475"/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/>
      <c r="D65" s="313"/>
      <c r="E65" s="310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/>
      <c r="D66" s="313"/>
      <c r="E66" s="310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313"/>
      <c r="E67" s="310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313"/>
      <c r="E68" s="310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313"/>
      <c r="E69" s="310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313"/>
      <c r="E70" s="310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470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312" t="s">
        <v>2</v>
      </c>
      <c r="D72" s="312" t="s">
        <v>37</v>
      </c>
      <c r="E72" s="312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314" t="s">
        <v>114</v>
      </c>
      <c r="D73" s="314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313"/>
      <c r="D74" s="313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313"/>
      <c r="D75" s="313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313"/>
      <c r="D76" s="313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313"/>
      <c r="D77" s="313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313"/>
      <c r="D78" s="313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313"/>
      <c r="D79" s="313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313"/>
      <c r="D80" s="313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313"/>
      <c r="D81" s="313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471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779B-A01F-475C-AAD6-558D98F0C04B}">
  <dimension ref="A1:AF86"/>
  <sheetViews>
    <sheetView zoomScale="72" zoomScaleNormal="72" zoomScaleSheetLayoutView="70" workbookViewId="0">
      <selection activeCell="F77" sqref="F77:J7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472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25" t="s">
        <v>17</v>
      </c>
      <c r="L5" s="325" t="s">
        <v>18</v>
      </c>
      <c r="M5" s="325" t="s">
        <v>19</v>
      </c>
      <c r="N5" s="325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0.1444444444444444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0.1444444444444444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122</v>
      </c>
      <c r="E8" s="53" t="s">
        <v>253</v>
      </c>
      <c r="F8" s="30" t="s">
        <v>123</v>
      </c>
      <c r="G8" s="33">
        <v>1</v>
      </c>
      <c r="H8" s="35">
        <v>24</v>
      </c>
      <c r="I8" s="7">
        <v>18000</v>
      </c>
      <c r="J8" s="14">
        <v>2731</v>
      </c>
      <c r="K8" s="15">
        <f>L8+5138+6028+6101+5921+6078+2856+4676+6141+6037+6035+6050+5014</f>
        <v>68806</v>
      </c>
      <c r="L8" s="15">
        <v>2731</v>
      </c>
      <c r="M8" s="15">
        <f t="shared" si="1"/>
        <v>2731</v>
      </c>
      <c r="N8" s="15">
        <v>0</v>
      </c>
      <c r="O8" s="58">
        <f t="shared" si="2"/>
        <v>0</v>
      </c>
      <c r="P8" s="39">
        <f t="shared" si="3"/>
        <v>12</v>
      </c>
      <c r="Q8" s="40">
        <f t="shared" si="4"/>
        <v>12</v>
      </c>
      <c r="R8" s="7"/>
      <c r="S8" s="6"/>
      <c r="T8" s="16"/>
      <c r="U8" s="16"/>
      <c r="V8" s="17">
        <v>12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0.5</v>
      </c>
      <c r="AD8" s="10">
        <f t="shared" si="7"/>
        <v>0.5</v>
      </c>
      <c r="AE8" s="36">
        <f t="shared" si="8"/>
        <v>0.1444444444444444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910</v>
      </c>
      <c r="K9" s="15">
        <f>L9+575+1451+1396</f>
        <v>4332</v>
      </c>
      <c r="L9" s="15">
        <v>910</v>
      </c>
      <c r="M9" s="15">
        <f t="shared" si="1"/>
        <v>910</v>
      </c>
      <c r="N9" s="15">
        <v>0</v>
      </c>
      <c r="O9" s="58">
        <f t="shared" si="2"/>
        <v>0</v>
      </c>
      <c r="P9" s="39">
        <f t="shared" si="3"/>
        <v>4</v>
      </c>
      <c r="Q9" s="40">
        <f t="shared" si="4"/>
        <v>20</v>
      </c>
      <c r="R9" s="7"/>
      <c r="S9" s="6">
        <v>20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0.16666666666666666</v>
      </c>
      <c r="AD9" s="10">
        <f t="shared" si="7"/>
        <v>0.16666666666666666</v>
      </c>
      <c r="AE9" s="36">
        <f t="shared" si="8"/>
        <v>0.1444444444444444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124</v>
      </c>
      <c r="D10" s="52" t="s">
        <v>138</v>
      </c>
      <c r="E10" s="53" t="s">
        <v>399</v>
      </c>
      <c r="F10" s="30" t="s">
        <v>126</v>
      </c>
      <c r="G10" s="33">
        <v>2</v>
      </c>
      <c r="H10" s="35">
        <v>24</v>
      </c>
      <c r="I10" s="7">
        <v>16000</v>
      </c>
      <c r="J10" s="5">
        <v>13288</v>
      </c>
      <c r="K10" s="15">
        <f>L10+9320+13288</f>
        <v>22608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>
        <v>24</v>
      </c>
      <c r="S10" s="6"/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0.1444444444444444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871</v>
      </c>
      <c r="K11" s="15">
        <f>L11+4769+871</f>
        <v>5640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>
        <v>24</v>
      </c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0.1444444444444444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2173</v>
      </c>
      <c r="K12" s="15">
        <f>L12+4623+4705+5405+1826+2220+3415+4921+2272+679+1842+700+2356+2282+3779</f>
        <v>43198</v>
      </c>
      <c r="L12" s="15">
        <f>2173</f>
        <v>2173</v>
      </c>
      <c r="M12" s="15">
        <f t="shared" si="1"/>
        <v>2173</v>
      </c>
      <c r="N12" s="15">
        <v>0</v>
      </c>
      <c r="O12" s="58">
        <f t="shared" si="2"/>
        <v>0</v>
      </c>
      <c r="P12" s="39">
        <f t="shared" si="3"/>
        <v>12</v>
      </c>
      <c r="Q12" s="40">
        <f t="shared" si="4"/>
        <v>12</v>
      </c>
      <c r="R12" s="7"/>
      <c r="S12" s="6"/>
      <c r="T12" s="16"/>
      <c r="U12" s="16"/>
      <c r="V12" s="17">
        <v>12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</v>
      </c>
      <c r="AD12" s="10">
        <f t="shared" ref="AD12" si="10">AC12*AB12*(1-O12)</f>
        <v>0.5</v>
      </c>
      <c r="AE12" s="36">
        <f t="shared" si="8"/>
        <v>0.1444444444444444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124</v>
      </c>
      <c r="D13" s="52" t="s">
        <v>183</v>
      </c>
      <c r="E13" s="53" t="s">
        <v>465</v>
      </c>
      <c r="F13" s="30" t="s">
        <v>380</v>
      </c>
      <c r="G13" s="33">
        <v>1</v>
      </c>
      <c r="H13" s="35">
        <v>24</v>
      </c>
      <c r="I13" s="7">
        <v>1000</v>
      </c>
      <c r="J13" s="14">
        <v>1225</v>
      </c>
      <c r="K13" s="15">
        <f>L13</f>
        <v>1225</v>
      </c>
      <c r="L13" s="15">
        <v>1225</v>
      </c>
      <c r="M13" s="15">
        <f t="shared" si="1"/>
        <v>1225</v>
      </c>
      <c r="N13" s="15">
        <v>0</v>
      </c>
      <c r="O13" s="58">
        <f t="shared" si="2"/>
        <v>0</v>
      </c>
      <c r="P13" s="39">
        <f t="shared" si="3"/>
        <v>8</v>
      </c>
      <c r="Q13" s="40">
        <f t="shared" si="4"/>
        <v>16</v>
      </c>
      <c r="R13" s="7"/>
      <c r="S13" s="6">
        <v>2</v>
      </c>
      <c r="T13" s="16"/>
      <c r="U13" s="16"/>
      <c r="V13" s="17">
        <v>14</v>
      </c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0.33333333333333331</v>
      </c>
      <c r="AD13" s="10">
        <f t="shared" si="7"/>
        <v>0.33333333333333331</v>
      </c>
      <c r="AE13" s="36">
        <f t="shared" si="8"/>
        <v>0.1444444444444444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0.1444444444444444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50000</v>
      </c>
      <c r="J15" s="14">
        <v>1299</v>
      </c>
      <c r="K15" s="15">
        <f>L15+3216+6251+3050+5532+6499+6687+608+4996+4612</f>
        <v>42750</v>
      </c>
      <c r="L15" s="15">
        <f>1299</f>
        <v>1299</v>
      </c>
      <c r="M15" s="15">
        <f t="shared" si="1"/>
        <v>1299</v>
      </c>
      <c r="N15" s="15">
        <v>0</v>
      </c>
      <c r="O15" s="58">
        <f t="shared" si="2"/>
        <v>0</v>
      </c>
      <c r="P15" s="39">
        <f t="shared" si="3"/>
        <v>8</v>
      </c>
      <c r="Q15" s="40">
        <f t="shared" si="4"/>
        <v>16</v>
      </c>
      <c r="R15" s="7"/>
      <c r="S15" s="6">
        <v>2</v>
      </c>
      <c r="T15" s="16"/>
      <c r="U15" s="16"/>
      <c r="V15" s="17">
        <v>14</v>
      </c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0.33333333333333331</v>
      </c>
      <c r="AD15" s="10">
        <f t="shared" si="7"/>
        <v>0.33333333333333331</v>
      </c>
      <c r="AE15" s="36">
        <f t="shared" si="8"/>
        <v>0.1444444444444444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117</v>
      </c>
      <c r="E16" s="53" t="s">
        <v>295</v>
      </c>
      <c r="F16" s="30" t="s">
        <v>126</v>
      </c>
      <c r="G16" s="12">
        <v>1</v>
      </c>
      <c r="H16" s="13">
        <v>28</v>
      </c>
      <c r="I16" s="7">
        <v>10000</v>
      </c>
      <c r="J16" s="14">
        <v>781</v>
      </c>
      <c r="K16" s="15">
        <f>L16+2311+3474+2422</f>
        <v>8988</v>
      </c>
      <c r="L16" s="15">
        <v>781</v>
      </c>
      <c r="M16" s="15">
        <f t="shared" si="1"/>
        <v>781</v>
      </c>
      <c r="N16" s="15">
        <v>0</v>
      </c>
      <c r="O16" s="58">
        <f t="shared" si="2"/>
        <v>0</v>
      </c>
      <c r="P16" s="39">
        <f t="shared" si="3"/>
        <v>7</v>
      </c>
      <c r="Q16" s="40">
        <f t="shared" si="4"/>
        <v>17</v>
      </c>
      <c r="R16" s="7"/>
      <c r="S16" s="6">
        <v>3</v>
      </c>
      <c r="T16" s="16"/>
      <c r="U16" s="16"/>
      <c r="V16" s="17">
        <v>14</v>
      </c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0.29166666666666669</v>
      </c>
      <c r="AD16" s="10">
        <f t="shared" si="7"/>
        <v>0.29166666666666669</v>
      </c>
      <c r="AE16" s="36">
        <f t="shared" si="8"/>
        <v>0.1444444444444444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124</v>
      </c>
      <c r="D17" s="52" t="s">
        <v>183</v>
      </c>
      <c r="E17" s="53" t="s">
        <v>408</v>
      </c>
      <c r="F17" s="30" t="s">
        <v>154</v>
      </c>
      <c r="G17" s="33">
        <v>1</v>
      </c>
      <c r="H17" s="35">
        <v>24</v>
      </c>
      <c r="I17" s="7">
        <v>10000</v>
      </c>
      <c r="J17" s="5">
        <v>1640</v>
      </c>
      <c r="K17" s="15">
        <f>L17+4769+550+1640</f>
        <v>6959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>
        <v>24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0.1444444444444444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401</v>
      </c>
      <c r="E18" s="53" t="s">
        <v>400</v>
      </c>
      <c r="F18" s="30" t="s">
        <v>380</v>
      </c>
      <c r="G18" s="33">
        <v>1</v>
      </c>
      <c r="H18" s="35">
        <v>24</v>
      </c>
      <c r="I18" s="7">
        <v>25000</v>
      </c>
      <c r="J18" s="14">
        <v>5605</v>
      </c>
      <c r="K18" s="15">
        <f>L18+5017+5365+5021+5605</f>
        <v>21008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>
        <v>24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0.1444444444444444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209</v>
      </c>
      <c r="D19" s="52" t="s">
        <v>125</v>
      </c>
      <c r="E19" s="53" t="s">
        <v>460</v>
      </c>
      <c r="F19" s="30" t="s">
        <v>380</v>
      </c>
      <c r="G19" s="33">
        <v>1</v>
      </c>
      <c r="H19" s="35">
        <v>24</v>
      </c>
      <c r="I19" s="7">
        <v>5600</v>
      </c>
      <c r="J19" s="14">
        <v>2225</v>
      </c>
      <c r="K19" s="15">
        <f>L19+2658</f>
        <v>4883</v>
      </c>
      <c r="L19" s="15">
        <v>2225</v>
      </c>
      <c r="M19" s="15">
        <f t="shared" si="1"/>
        <v>2225</v>
      </c>
      <c r="N19" s="15">
        <v>0</v>
      </c>
      <c r="O19" s="58">
        <f t="shared" si="2"/>
        <v>0</v>
      </c>
      <c r="P19" s="39">
        <f t="shared" si="3"/>
        <v>1</v>
      </c>
      <c r="Q19" s="40">
        <f t="shared" si="4"/>
        <v>23</v>
      </c>
      <c r="R19" s="7"/>
      <c r="S19" s="6"/>
      <c r="T19" s="16"/>
      <c r="U19" s="16"/>
      <c r="V19" s="17">
        <v>14</v>
      </c>
      <c r="W19" s="5"/>
      <c r="X19" s="16"/>
      <c r="Y19" s="16"/>
      <c r="Z19" s="16"/>
      <c r="AA19" s="18">
        <v>9</v>
      </c>
      <c r="AB19" s="8">
        <f t="shared" si="5"/>
        <v>1</v>
      </c>
      <c r="AC19" s="9">
        <f t="shared" si="6"/>
        <v>4.1666666666666664E-2</v>
      </c>
      <c r="AD19" s="10">
        <f t="shared" si="7"/>
        <v>4.1666666666666664E-2</v>
      </c>
      <c r="AE19" s="36">
        <f t="shared" si="8"/>
        <v>0.1444444444444444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157</v>
      </c>
      <c r="F20" s="12" t="s">
        <v>116</v>
      </c>
      <c r="G20" s="12">
        <v>4</v>
      </c>
      <c r="H20" s="35">
        <v>20</v>
      </c>
      <c r="I20" s="7">
        <v>500000</v>
      </c>
      <c r="J20" s="14">
        <v>71464</v>
      </c>
      <c r="K20" s="15">
        <f>L20+29900+71464</f>
        <v>101364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>
        <v>24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0.1444444444444444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724900</v>
      </c>
      <c r="J21" s="19">
        <f t="shared" si="11"/>
        <v>106789</v>
      </c>
      <c r="K21" s="20">
        <f t="shared" si="11"/>
        <v>343825</v>
      </c>
      <c r="L21" s="21">
        <f t="shared" si="11"/>
        <v>11344</v>
      </c>
      <c r="M21" s="20">
        <f t="shared" si="11"/>
        <v>11344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52</v>
      </c>
      <c r="Q21" s="43">
        <f t="shared" si="12"/>
        <v>308</v>
      </c>
      <c r="R21" s="23">
        <f t="shared" si="12"/>
        <v>72</v>
      </c>
      <c r="S21" s="24">
        <f t="shared" si="12"/>
        <v>99</v>
      </c>
      <c r="T21" s="24">
        <f t="shared" si="12"/>
        <v>0</v>
      </c>
      <c r="U21" s="24">
        <f t="shared" si="12"/>
        <v>0</v>
      </c>
      <c r="V21" s="25">
        <f t="shared" si="12"/>
        <v>104</v>
      </c>
      <c r="W21" s="26">
        <f t="shared" si="12"/>
        <v>24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9</v>
      </c>
      <c r="AB21" s="28">
        <f>SUM(AB6:AB20)/15</f>
        <v>0.46666666666666667</v>
      </c>
      <c r="AC21" s="4">
        <f>SUM(AC6:AC20)/15</f>
        <v>0.1444444444444444</v>
      </c>
      <c r="AD21" s="4">
        <f>SUM(AD6:AD20)/15</f>
        <v>0.1444444444444444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473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477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324" t="s">
        <v>46</v>
      </c>
      <c r="D50" s="324" t="s">
        <v>47</v>
      </c>
      <c r="E50" s="324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324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124</v>
      </c>
      <c r="B51" s="486"/>
      <c r="C51" s="322" t="s">
        <v>144</v>
      </c>
      <c r="D51" s="322" t="s">
        <v>136</v>
      </c>
      <c r="E51" s="322" t="s">
        <v>293</v>
      </c>
      <c r="F51" s="487" t="s">
        <v>382</v>
      </c>
      <c r="G51" s="488"/>
      <c r="H51" s="488"/>
      <c r="I51" s="488"/>
      <c r="J51" s="488"/>
      <c r="K51" s="488"/>
      <c r="L51" s="488"/>
      <c r="M51" s="489"/>
      <c r="N51" s="321" t="s">
        <v>124</v>
      </c>
      <c r="O51" s="319" t="s">
        <v>144</v>
      </c>
      <c r="P51" s="499" t="s">
        <v>136</v>
      </c>
      <c r="Q51" s="500"/>
      <c r="R51" s="486" t="s">
        <v>293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124</v>
      </c>
      <c r="B52" s="486"/>
      <c r="C52" s="322" t="s">
        <v>178</v>
      </c>
      <c r="D52" s="322" t="s">
        <v>183</v>
      </c>
      <c r="E52" s="322" t="s">
        <v>465</v>
      </c>
      <c r="F52" s="487" t="s">
        <v>120</v>
      </c>
      <c r="G52" s="488"/>
      <c r="H52" s="488"/>
      <c r="I52" s="488"/>
      <c r="J52" s="488"/>
      <c r="K52" s="488"/>
      <c r="L52" s="488"/>
      <c r="M52" s="489"/>
      <c r="N52" s="321" t="s">
        <v>130</v>
      </c>
      <c r="O52" s="319" t="s">
        <v>178</v>
      </c>
      <c r="P52" s="499" t="s">
        <v>117</v>
      </c>
      <c r="Q52" s="500"/>
      <c r="R52" s="486" t="s">
        <v>478</v>
      </c>
      <c r="S52" s="486"/>
      <c r="T52" s="486"/>
      <c r="U52" s="486"/>
      <c r="V52" s="476" t="s">
        <v>120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474</v>
      </c>
      <c r="B53" s="486"/>
      <c r="C53" s="322" t="s">
        <v>475</v>
      </c>
      <c r="D53" s="322" t="s">
        <v>476</v>
      </c>
      <c r="E53" s="322" t="s">
        <v>295</v>
      </c>
      <c r="F53" s="487" t="s">
        <v>204</v>
      </c>
      <c r="G53" s="488"/>
      <c r="H53" s="488"/>
      <c r="I53" s="488"/>
      <c r="J53" s="488"/>
      <c r="K53" s="488"/>
      <c r="L53" s="488"/>
      <c r="M53" s="489"/>
      <c r="N53" s="321" t="s">
        <v>130</v>
      </c>
      <c r="O53" s="319" t="s">
        <v>132</v>
      </c>
      <c r="P53" s="499" t="s">
        <v>136</v>
      </c>
      <c r="Q53" s="500"/>
      <c r="R53" s="486" t="s">
        <v>479</v>
      </c>
      <c r="S53" s="486"/>
      <c r="T53" s="486"/>
      <c r="U53" s="486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/>
      <c r="B54" s="486"/>
      <c r="C54" s="322"/>
      <c r="D54" s="322"/>
      <c r="E54" s="322"/>
      <c r="F54" s="487"/>
      <c r="G54" s="488"/>
      <c r="H54" s="488"/>
      <c r="I54" s="488"/>
      <c r="J54" s="488"/>
      <c r="K54" s="488"/>
      <c r="L54" s="488"/>
      <c r="M54" s="489"/>
      <c r="N54" s="321" t="s">
        <v>130</v>
      </c>
      <c r="O54" s="319" t="s">
        <v>262</v>
      </c>
      <c r="P54" s="499" t="s">
        <v>480</v>
      </c>
      <c r="Q54" s="500"/>
      <c r="R54" s="486" t="s">
        <v>481</v>
      </c>
      <c r="S54" s="486"/>
      <c r="T54" s="486"/>
      <c r="U54" s="486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/>
      <c r="B55" s="486"/>
      <c r="C55" s="322"/>
      <c r="D55" s="322"/>
      <c r="E55" s="322"/>
      <c r="F55" s="487"/>
      <c r="G55" s="488"/>
      <c r="H55" s="488"/>
      <c r="I55" s="488"/>
      <c r="J55" s="488"/>
      <c r="K55" s="488"/>
      <c r="L55" s="488"/>
      <c r="M55" s="489"/>
      <c r="N55" s="321"/>
      <c r="O55" s="319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/>
      <c r="B56" s="486"/>
      <c r="C56" s="322"/>
      <c r="D56" s="322"/>
      <c r="E56" s="322"/>
      <c r="F56" s="487"/>
      <c r="G56" s="488"/>
      <c r="H56" s="488"/>
      <c r="I56" s="488"/>
      <c r="J56" s="488"/>
      <c r="K56" s="488"/>
      <c r="L56" s="488"/>
      <c r="M56" s="489"/>
      <c r="N56" s="321"/>
      <c r="O56" s="319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322"/>
      <c r="D57" s="322"/>
      <c r="E57" s="322"/>
      <c r="F57" s="487"/>
      <c r="G57" s="488"/>
      <c r="H57" s="488"/>
      <c r="I57" s="488"/>
      <c r="J57" s="488"/>
      <c r="K57" s="488"/>
      <c r="L57" s="488"/>
      <c r="M57" s="489"/>
      <c r="N57" s="321"/>
      <c r="O57" s="319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22"/>
      <c r="D58" s="322"/>
      <c r="E58" s="322"/>
      <c r="F58" s="487"/>
      <c r="G58" s="488"/>
      <c r="H58" s="488"/>
      <c r="I58" s="488"/>
      <c r="J58" s="488"/>
      <c r="K58" s="488"/>
      <c r="L58" s="488"/>
      <c r="M58" s="489"/>
      <c r="N58" s="321"/>
      <c r="O58" s="319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22"/>
      <c r="D59" s="322"/>
      <c r="E59" s="322"/>
      <c r="F59" s="487"/>
      <c r="G59" s="488"/>
      <c r="H59" s="488"/>
      <c r="I59" s="488"/>
      <c r="J59" s="488"/>
      <c r="K59" s="488"/>
      <c r="L59" s="488"/>
      <c r="M59" s="489"/>
      <c r="N59" s="321"/>
      <c r="O59" s="319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323"/>
      <c r="D60" s="323"/>
      <c r="E60" s="323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482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320" t="s">
        <v>2</v>
      </c>
      <c r="D62" s="320" t="s">
        <v>37</v>
      </c>
      <c r="E62" s="320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320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114</v>
      </c>
      <c r="D63" s="315"/>
      <c r="E63" s="318" t="s">
        <v>122</v>
      </c>
      <c r="F63" s="474" t="s">
        <v>468</v>
      </c>
      <c r="G63" s="466"/>
      <c r="H63" s="466"/>
      <c r="I63" s="466"/>
      <c r="J63" s="466"/>
      <c r="K63" s="466" t="s">
        <v>123</v>
      </c>
      <c r="L63" s="466"/>
      <c r="M63" s="51" t="s">
        <v>452</v>
      </c>
      <c r="N63" s="477" t="s">
        <v>143</v>
      </c>
      <c r="O63" s="477"/>
      <c r="P63" s="475">
        <v>500</v>
      </c>
      <c r="Q63" s="475"/>
      <c r="R63" s="476"/>
      <c r="S63" s="476"/>
      <c r="T63" s="476"/>
      <c r="U63" s="476"/>
      <c r="V63" s="476"/>
      <c r="W63" s="476"/>
      <c r="X63" s="476"/>
      <c r="Y63" s="476"/>
      <c r="Z63" s="476"/>
      <c r="AA63" s="476"/>
      <c r="AB63" s="466"/>
      <c r="AC63" s="466"/>
      <c r="AD63" s="467"/>
      <c r="AF63" s="50"/>
    </row>
    <row r="64" spans="1:32" ht="25.5" customHeight="1">
      <c r="A64" s="472">
        <v>2</v>
      </c>
      <c r="B64" s="473"/>
      <c r="C64" s="117"/>
      <c r="D64" s="315"/>
      <c r="E64" s="318"/>
      <c r="F64" s="474"/>
      <c r="G64" s="466"/>
      <c r="H64" s="466"/>
      <c r="I64" s="466"/>
      <c r="J64" s="466"/>
      <c r="K64" s="466"/>
      <c r="L64" s="466"/>
      <c r="M64" s="51"/>
      <c r="N64" s="477"/>
      <c r="O64" s="477"/>
      <c r="P64" s="475"/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/>
      <c r="D65" s="315"/>
      <c r="E65" s="318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/>
      <c r="D66" s="315"/>
      <c r="E66" s="318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315"/>
      <c r="E67" s="318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315"/>
      <c r="E68" s="318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315"/>
      <c r="E69" s="318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315"/>
      <c r="E70" s="318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483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317" t="s">
        <v>2</v>
      </c>
      <c r="D72" s="317" t="s">
        <v>37</v>
      </c>
      <c r="E72" s="317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316" t="s">
        <v>114</v>
      </c>
      <c r="D73" s="316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315"/>
      <c r="D74" s="315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315"/>
      <c r="D75" s="315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315"/>
      <c r="D76" s="315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315"/>
      <c r="D77" s="315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315"/>
      <c r="D78" s="315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315"/>
      <c r="D79" s="315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315"/>
      <c r="D80" s="315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315"/>
      <c r="D81" s="315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484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C6DE-528E-4166-8740-125CCFD7F66F}">
  <dimension ref="A1:AF87"/>
  <sheetViews>
    <sheetView zoomScale="72" zoomScaleNormal="72" zoomScaleSheetLayoutView="70" workbookViewId="0">
      <selection activeCell="F58" sqref="F58:M5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485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26" t="s">
        <v>17</v>
      </c>
      <c r="L5" s="326" t="s">
        <v>18</v>
      </c>
      <c r="M5" s="326" t="s">
        <v>19</v>
      </c>
      <c r="N5" s="326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0.51111111111111118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0.51111111111111118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486</v>
      </c>
      <c r="F8" s="30" t="s">
        <v>151</v>
      </c>
      <c r="G8" s="33">
        <v>1</v>
      </c>
      <c r="H8" s="35">
        <v>24</v>
      </c>
      <c r="I8" s="7">
        <v>2500</v>
      </c>
      <c r="J8" s="14">
        <v>2959</v>
      </c>
      <c r="K8" s="15">
        <f>L8</f>
        <v>2959</v>
      </c>
      <c r="L8" s="15">
        <f>2959</f>
        <v>2959</v>
      </c>
      <c r="M8" s="15">
        <f t="shared" si="1"/>
        <v>2959</v>
      </c>
      <c r="N8" s="15">
        <v>0</v>
      </c>
      <c r="O8" s="58">
        <f t="shared" si="2"/>
        <v>0</v>
      </c>
      <c r="P8" s="39">
        <f t="shared" si="3"/>
        <v>15</v>
      </c>
      <c r="Q8" s="40">
        <f t="shared" si="4"/>
        <v>9</v>
      </c>
      <c r="R8" s="7"/>
      <c r="S8" s="6"/>
      <c r="T8" s="16">
        <v>9</v>
      </c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0.625</v>
      </c>
      <c r="AD8" s="10">
        <f t="shared" si="7"/>
        <v>0.625</v>
      </c>
      <c r="AE8" s="36">
        <f t="shared" si="8"/>
        <v>0.51111111111111118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1674</v>
      </c>
      <c r="K9" s="15">
        <f>L9+575+1451+1396+910</f>
        <v>6006</v>
      </c>
      <c r="L9" s="15">
        <f>574+1100</f>
        <v>1674</v>
      </c>
      <c r="M9" s="15">
        <f t="shared" si="1"/>
        <v>1674</v>
      </c>
      <c r="N9" s="15">
        <v>0</v>
      </c>
      <c r="O9" s="58">
        <f t="shared" si="2"/>
        <v>0</v>
      </c>
      <c r="P9" s="39">
        <f t="shared" si="3"/>
        <v>9</v>
      </c>
      <c r="Q9" s="40">
        <f t="shared" si="4"/>
        <v>15</v>
      </c>
      <c r="R9" s="7"/>
      <c r="S9" s="6">
        <v>15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0.375</v>
      </c>
      <c r="AD9" s="10">
        <f t="shared" si="7"/>
        <v>0.375</v>
      </c>
      <c r="AE9" s="36">
        <f t="shared" si="8"/>
        <v>0.51111111111111118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488</v>
      </c>
      <c r="H10" s="35">
        <v>24</v>
      </c>
      <c r="I10" s="7">
        <v>35000</v>
      </c>
      <c r="J10" s="5">
        <v>13288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0.51111111111111118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1725</v>
      </c>
      <c r="K11" s="15">
        <f>L11+4769+871</f>
        <v>7365</v>
      </c>
      <c r="L11" s="15">
        <f>1725</f>
        <v>1725</v>
      </c>
      <c r="M11" s="15">
        <f t="shared" si="1"/>
        <v>1725</v>
      </c>
      <c r="N11" s="15">
        <v>0</v>
      </c>
      <c r="O11" s="58">
        <f t="shared" si="2"/>
        <v>0</v>
      </c>
      <c r="P11" s="39">
        <f t="shared" si="3"/>
        <v>10</v>
      </c>
      <c r="Q11" s="40">
        <f t="shared" si="4"/>
        <v>14</v>
      </c>
      <c r="R11" s="7"/>
      <c r="S11" s="6">
        <v>14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0.41666666666666669</v>
      </c>
      <c r="AD11" s="10">
        <f>AC11*AB11*(1-O11)</f>
        <v>0.41666666666666669</v>
      </c>
      <c r="AE11" s="36">
        <f t="shared" si="8"/>
        <v>0.51111111111111118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4502</v>
      </c>
      <c r="K12" s="15">
        <f>L12+4623+4705+5405+1826+2220+3415+4921+2272+679+1842+700+2356+2282+3779+2173</f>
        <v>47700</v>
      </c>
      <c r="L12" s="15">
        <f>2415+2087</f>
        <v>4502</v>
      </c>
      <c r="M12" s="15">
        <f t="shared" si="1"/>
        <v>4502</v>
      </c>
      <c r="N12" s="15">
        <v>0</v>
      </c>
      <c r="O12" s="58">
        <f t="shared" si="2"/>
        <v>0</v>
      </c>
      <c r="P12" s="39">
        <f t="shared" si="3"/>
        <v>24</v>
      </c>
      <c r="Q12" s="40">
        <f t="shared" si="4"/>
        <v>0</v>
      </c>
      <c r="R12" s="7"/>
      <c r="S12" s="6"/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1</v>
      </c>
      <c r="AD12" s="10">
        <f t="shared" ref="AD12" si="10">AC12*AB12*(1-O12)</f>
        <v>1</v>
      </c>
      <c r="AE12" s="36">
        <f t="shared" si="8"/>
        <v>0.51111111111111118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478</v>
      </c>
      <c r="F13" s="30" t="s">
        <v>135</v>
      </c>
      <c r="G13" s="33">
        <v>2</v>
      </c>
      <c r="H13" s="35">
        <v>24</v>
      </c>
      <c r="I13" s="7">
        <v>20000</v>
      </c>
      <c r="J13" s="14">
        <v>9334</v>
      </c>
      <c r="K13" s="15">
        <f>L13</f>
        <v>9334</v>
      </c>
      <c r="L13" s="15">
        <f>1735*2+2932*2</f>
        <v>9334</v>
      </c>
      <c r="M13" s="15">
        <f t="shared" si="1"/>
        <v>9334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/>
      <c r="T13" s="16">
        <v>2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7"/>
        <v>0.91666666666666663</v>
      </c>
      <c r="AE13" s="36">
        <f t="shared" si="8"/>
        <v>0.51111111111111118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0.51111111111111118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50000</v>
      </c>
      <c r="J15" s="14">
        <v>3065</v>
      </c>
      <c r="K15" s="15">
        <f>L15+3216+6251+3050+5532+6499+6687+608+4996+4612+1299</f>
        <v>45815</v>
      </c>
      <c r="L15" s="15">
        <f>2320+745</f>
        <v>3065</v>
      </c>
      <c r="M15" s="15">
        <f t="shared" si="1"/>
        <v>3065</v>
      </c>
      <c r="N15" s="15">
        <v>0</v>
      </c>
      <c r="O15" s="58">
        <f t="shared" si="2"/>
        <v>0</v>
      </c>
      <c r="P15" s="39">
        <f t="shared" si="3"/>
        <v>19</v>
      </c>
      <c r="Q15" s="40">
        <f t="shared" si="4"/>
        <v>5</v>
      </c>
      <c r="R15" s="7"/>
      <c r="S15" s="6">
        <v>5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0.79166666666666663</v>
      </c>
      <c r="AD15" s="10">
        <f t="shared" si="7"/>
        <v>0.79166666666666663</v>
      </c>
      <c r="AE15" s="36">
        <f t="shared" si="8"/>
        <v>0.51111111111111118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117</v>
      </c>
      <c r="E16" s="53" t="s">
        <v>295</v>
      </c>
      <c r="F16" s="30" t="s">
        <v>126</v>
      </c>
      <c r="G16" s="12">
        <v>1</v>
      </c>
      <c r="H16" s="13">
        <v>28</v>
      </c>
      <c r="I16" s="7">
        <v>10000</v>
      </c>
      <c r="J16" s="14">
        <v>3352</v>
      </c>
      <c r="K16" s="15">
        <f>L16+2311+3474+2422+781</f>
        <v>12340</v>
      </c>
      <c r="L16" s="15">
        <f>1338+2014</f>
        <v>3352</v>
      </c>
      <c r="M16" s="15">
        <f t="shared" si="1"/>
        <v>3352</v>
      </c>
      <c r="N16" s="15">
        <v>0</v>
      </c>
      <c r="O16" s="58">
        <f t="shared" si="2"/>
        <v>0</v>
      </c>
      <c r="P16" s="39">
        <f t="shared" si="3"/>
        <v>20</v>
      </c>
      <c r="Q16" s="40">
        <f t="shared" si="4"/>
        <v>4</v>
      </c>
      <c r="R16" s="7"/>
      <c r="S16" s="6"/>
      <c r="T16" s="16"/>
      <c r="U16" s="16"/>
      <c r="V16" s="17"/>
      <c r="W16" s="5">
        <v>4</v>
      </c>
      <c r="X16" s="16"/>
      <c r="Y16" s="16"/>
      <c r="Z16" s="16"/>
      <c r="AA16" s="18"/>
      <c r="AB16" s="8">
        <f t="shared" si="5"/>
        <v>1</v>
      </c>
      <c r="AC16" s="9">
        <f t="shared" si="6"/>
        <v>0.83333333333333337</v>
      </c>
      <c r="AD16" s="10">
        <f t="shared" si="7"/>
        <v>0.83333333333333337</v>
      </c>
      <c r="AE16" s="36">
        <f t="shared" si="8"/>
        <v>0.51111111111111118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130</v>
      </c>
      <c r="D17" s="52" t="s">
        <v>136</v>
      </c>
      <c r="E17" s="53" t="s">
        <v>479</v>
      </c>
      <c r="F17" s="30" t="s">
        <v>137</v>
      </c>
      <c r="G17" s="33">
        <v>2</v>
      </c>
      <c r="H17" s="35">
        <v>24</v>
      </c>
      <c r="I17" s="7">
        <v>20000</v>
      </c>
      <c r="J17" s="5">
        <v>10172</v>
      </c>
      <c r="K17" s="15">
        <f>L17</f>
        <v>10172</v>
      </c>
      <c r="L17" s="15">
        <f>1850*2+3236*2</f>
        <v>10172</v>
      </c>
      <c r="M17" s="15">
        <f t="shared" si="1"/>
        <v>10172</v>
      </c>
      <c r="N17" s="15">
        <v>0</v>
      </c>
      <c r="O17" s="58">
        <f t="shared" si="2"/>
        <v>0</v>
      </c>
      <c r="P17" s="39">
        <f t="shared" si="3"/>
        <v>22</v>
      </c>
      <c r="Q17" s="40">
        <f t="shared" si="4"/>
        <v>2</v>
      </c>
      <c r="R17" s="7"/>
      <c r="S17" s="6"/>
      <c r="T17" s="16">
        <v>2</v>
      </c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0.91666666666666663</v>
      </c>
      <c r="AD17" s="10">
        <f t="shared" si="7"/>
        <v>0.91666666666666663</v>
      </c>
      <c r="AE17" s="36">
        <f t="shared" si="8"/>
        <v>0.51111111111111118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401</v>
      </c>
      <c r="E18" s="53" t="s">
        <v>400</v>
      </c>
      <c r="F18" s="30" t="s">
        <v>380</v>
      </c>
      <c r="G18" s="33">
        <v>1</v>
      </c>
      <c r="H18" s="35">
        <v>24</v>
      </c>
      <c r="I18" s="7">
        <v>25000</v>
      </c>
      <c r="J18" s="14">
        <v>2251</v>
      </c>
      <c r="K18" s="15">
        <f>L18+5017+5365+5021+5605</f>
        <v>23259</v>
      </c>
      <c r="L18" s="15">
        <f>2251</f>
        <v>2251</v>
      </c>
      <c r="M18" s="15">
        <f t="shared" si="1"/>
        <v>2251</v>
      </c>
      <c r="N18" s="15">
        <v>0</v>
      </c>
      <c r="O18" s="58">
        <f t="shared" si="2"/>
        <v>0</v>
      </c>
      <c r="P18" s="39">
        <f t="shared" si="3"/>
        <v>12</v>
      </c>
      <c r="Q18" s="40">
        <f t="shared" si="4"/>
        <v>12</v>
      </c>
      <c r="R18" s="7"/>
      <c r="S18" s="6">
        <v>12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0.5</v>
      </c>
      <c r="AD18" s="10">
        <f t="shared" si="7"/>
        <v>0.5</v>
      </c>
      <c r="AE18" s="36">
        <f t="shared" si="8"/>
        <v>0.51111111111111118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209</v>
      </c>
      <c r="D19" s="52" t="s">
        <v>125</v>
      </c>
      <c r="E19" s="53" t="s">
        <v>460</v>
      </c>
      <c r="F19" s="30" t="s">
        <v>380</v>
      </c>
      <c r="G19" s="33">
        <v>1</v>
      </c>
      <c r="H19" s="35">
        <v>24</v>
      </c>
      <c r="I19" s="7">
        <v>5600</v>
      </c>
      <c r="J19" s="14">
        <v>1077</v>
      </c>
      <c r="K19" s="15">
        <f>L19+2658+2225</f>
        <v>5960</v>
      </c>
      <c r="L19" s="15">
        <v>1077</v>
      </c>
      <c r="M19" s="15">
        <f t="shared" ref="M19" si="11">L19-N19</f>
        <v>1077</v>
      </c>
      <c r="N19" s="15">
        <v>0</v>
      </c>
      <c r="O19" s="58">
        <f t="shared" ref="O19" si="12">IF(L19=0,"0",N19/L19)</f>
        <v>0</v>
      </c>
      <c r="P19" s="39">
        <f t="shared" ref="P19" si="13">IF(L19=0,"0",(24-Q19))</f>
        <v>6</v>
      </c>
      <c r="Q19" s="40">
        <f t="shared" ref="Q19" si="14">SUM(R19:AA19)</f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ref="AB19" si="15">IF(J19=0,"0",(L19/J19))</f>
        <v>1</v>
      </c>
      <c r="AC19" s="9">
        <f t="shared" ref="AC19" si="16">IF(P19=0,"0",(P19/24))</f>
        <v>0.25</v>
      </c>
      <c r="AD19" s="10">
        <f t="shared" ref="AD19" si="17">AC19*AB19*(1-O19)</f>
        <v>0.25</v>
      </c>
      <c r="AE19" s="36">
        <f t="shared" si="8"/>
        <v>0.51111111111111118</v>
      </c>
      <c r="AF19" s="87">
        <f t="shared" ref="AF19" si="18">A19</f>
        <v>14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160</v>
      </c>
      <c r="F20" s="30" t="s">
        <v>151</v>
      </c>
      <c r="G20" s="33">
        <v>1</v>
      </c>
      <c r="H20" s="35">
        <v>24</v>
      </c>
      <c r="I20" s="7">
        <v>8000</v>
      </c>
      <c r="J20" s="14">
        <v>3114</v>
      </c>
      <c r="K20" s="15">
        <f>L20</f>
        <v>3114</v>
      </c>
      <c r="L20" s="15">
        <f>654+2460</f>
        <v>3114</v>
      </c>
      <c r="M20" s="15">
        <f t="shared" si="1"/>
        <v>3114</v>
      </c>
      <c r="N20" s="15">
        <v>0</v>
      </c>
      <c r="O20" s="58">
        <f t="shared" si="2"/>
        <v>0</v>
      </c>
      <c r="P20" s="39">
        <f t="shared" si="3"/>
        <v>16</v>
      </c>
      <c r="Q20" s="40">
        <f t="shared" si="4"/>
        <v>8</v>
      </c>
      <c r="R20" s="7"/>
      <c r="S20" s="6"/>
      <c r="T20" s="16">
        <v>8</v>
      </c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0.66666666666666663</v>
      </c>
      <c r="AD20" s="10">
        <f t="shared" si="7"/>
        <v>0.66666666666666663</v>
      </c>
      <c r="AE20" s="36">
        <f t="shared" si="8"/>
        <v>0.51111111111111118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260</v>
      </c>
      <c r="F21" s="12" t="s">
        <v>116</v>
      </c>
      <c r="G21" s="12">
        <v>4</v>
      </c>
      <c r="H21" s="35">
        <v>20</v>
      </c>
      <c r="I21" s="7">
        <v>500000</v>
      </c>
      <c r="J21" s="14">
        <v>16528</v>
      </c>
      <c r="K21" s="15">
        <f>L21</f>
        <v>16528</v>
      </c>
      <c r="L21" s="15">
        <f>863*4+3269*4</f>
        <v>16528</v>
      </c>
      <c r="M21" s="15">
        <f t="shared" si="1"/>
        <v>16528</v>
      </c>
      <c r="N21" s="15">
        <v>0</v>
      </c>
      <c r="O21" s="58">
        <f t="shared" si="2"/>
        <v>0</v>
      </c>
      <c r="P21" s="39">
        <f t="shared" si="3"/>
        <v>9</v>
      </c>
      <c r="Q21" s="40">
        <f t="shared" si="4"/>
        <v>15</v>
      </c>
      <c r="R21" s="7"/>
      <c r="S21" s="6">
        <v>7</v>
      </c>
      <c r="T21" s="16"/>
      <c r="U21" s="16"/>
      <c r="V21" s="17">
        <v>8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0.375</v>
      </c>
      <c r="AD21" s="10">
        <f t="shared" si="7"/>
        <v>0.375</v>
      </c>
      <c r="AE21" s="36">
        <f t="shared" si="8"/>
        <v>0.51111111111111118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9">SUM(I6:I21)</f>
        <v>765400</v>
      </c>
      <c r="J22" s="19">
        <f t="shared" si="19"/>
        <v>75618</v>
      </c>
      <c r="K22" s="20">
        <f t="shared" si="19"/>
        <v>202616</v>
      </c>
      <c r="L22" s="21">
        <f t="shared" si="19"/>
        <v>59753</v>
      </c>
      <c r="M22" s="20">
        <f t="shared" si="19"/>
        <v>59753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184</v>
      </c>
      <c r="Q22" s="43">
        <f t="shared" si="20"/>
        <v>200</v>
      </c>
      <c r="R22" s="23">
        <f t="shared" si="20"/>
        <v>24</v>
      </c>
      <c r="S22" s="24">
        <f t="shared" si="20"/>
        <v>77</v>
      </c>
      <c r="T22" s="24">
        <f t="shared" si="20"/>
        <v>21</v>
      </c>
      <c r="U22" s="24">
        <f t="shared" si="20"/>
        <v>0</v>
      </c>
      <c r="V22" s="25">
        <f t="shared" si="20"/>
        <v>32</v>
      </c>
      <c r="W22" s="26">
        <f t="shared" si="20"/>
        <v>46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0.8</v>
      </c>
      <c r="AC22" s="4">
        <f>SUM(AC6:AC21)/15</f>
        <v>0.51111111111111118</v>
      </c>
      <c r="AD22" s="4">
        <f>SUM(AD6:AD21)/15</f>
        <v>0.51111111111111118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489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505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327" t="s">
        <v>46</v>
      </c>
      <c r="D51" s="327" t="s">
        <v>47</v>
      </c>
      <c r="E51" s="327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327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124</v>
      </c>
      <c r="B52" s="486"/>
      <c r="C52" s="329" t="s">
        <v>144</v>
      </c>
      <c r="D52" s="329" t="s">
        <v>136</v>
      </c>
      <c r="E52" s="329" t="s">
        <v>293</v>
      </c>
      <c r="F52" s="487" t="s">
        <v>490</v>
      </c>
      <c r="G52" s="488"/>
      <c r="H52" s="488"/>
      <c r="I52" s="488"/>
      <c r="J52" s="488"/>
      <c r="K52" s="488"/>
      <c r="L52" s="488"/>
      <c r="M52" s="489"/>
      <c r="N52" s="328" t="s">
        <v>124</v>
      </c>
      <c r="O52" s="333" t="s">
        <v>144</v>
      </c>
      <c r="P52" s="499" t="s">
        <v>136</v>
      </c>
      <c r="Q52" s="500"/>
      <c r="R52" s="486" t="s">
        <v>293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130</v>
      </c>
      <c r="B53" s="486"/>
      <c r="C53" s="329" t="s">
        <v>178</v>
      </c>
      <c r="D53" s="329" t="s">
        <v>117</v>
      </c>
      <c r="E53" s="329" t="s">
        <v>478</v>
      </c>
      <c r="F53" s="487" t="s">
        <v>120</v>
      </c>
      <c r="G53" s="488"/>
      <c r="H53" s="488"/>
      <c r="I53" s="488"/>
      <c r="J53" s="488"/>
      <c r="K53" s="488"/>
      <c r="L53" s="488"/>
      <c r="M53" s="489"/>
      <c r="N53" s="328" t="s">
        <v>506</v>
      </c>
      <c r="O53" s="333" t="s">
        <v>507</v>
      </c>
      <c r="P53" s="499" t="s">
        <v>508</v>
      </c>
      <c r="Q53" s="500"/>
      <c r="R53" s="486" t="s">
        <v>509</v>
      </c>
      <c r="S53" s="486"/>
      <c r="T53" s="486"/>
      <c r="U53" s="486"/>
      <c r="V53" s="476" t="s">
        <v>511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130</v>
      </c>
      <c r="B54" s="486"/>
      <c r="C54" s="329" t="s">
        <v>132</v>
      </c>
      <c r="D54" s="329" t="s">
        <v>136</v>
      </c>
      <c r="E54" s="337" t="s">
        <v>479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328" t="s">
        <v>491</v>
      </c>
      <c r="O54" s="333" t="s">
        <v>513</v>
      </c>
      <c r="P54" s="499" t="s">
        <v>503</v>
      </c>
      <c r="Q54" s="500"/>
      <c r="R54" s="486" t="s">
        <v>512</v>
      </c>
      <c r="S54" s="486"/>
      <c r="T54" s="486"/>
      <c r="U54" s="486"/>
      <c r="V54" s="476" t="s">
        <v>511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491</v>
      </c>
      <c r="B55" s="486"/>
      <c r="C55" s="329" t="s">
        <v>492</v>
      </c>
      <c r="D55" s="329" t="s">
        <v>493</v>
      </c>
      <c r="E55" s="329" t="s">
        <v>494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328"/>
      <c r="O55" s="333"/>
      <c r="P55" s="499"/>
      <c r="Q55" s="500"/>
      <c r="R55" s="486"/>
      <c r="S55" s="486"/>
      <c r="T55" s="486"/>
      <c r="U55" s="486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491</v>
      </c>
      <c r="B56" s="486"/>
      <c r="C56" s="329" t="s">
        <v>495</v>
      </c>
      <c r="D56" s="329" t="s">
        <v>496</v>
      </c>
      <c r="E56" s="329" t="s">
        <v>497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328"/>
      <c r="O56" s="333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498</v>
      </c>
      <c r="B57" s="486"/>
      <c r="C57" s="329" t="s">
        <v>499</v>
      </c>
      <c r="D57" s="329"/>
      <c r="E57" s="329" t="s">
        <v>500</v>
      </c>
      <c r="F57" s="487" t="s">
        <v>501</v>
      </c>
      <c r="G57" s="488"/>
      <c r="H57" s="488"/>
      <c r="I57" s="488"/>
      <c r="J57" s="488"/>
      <c r="K57" s="488"/>
      <c r="L57" s="488"/>
      <c r="M57" s="489"/>
      <c r="N57" s="328"/>
      <c r="O57" s="333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124</v>
      </c>
      <c r="B58" s="486"/>
      <c r="C58" s="329" t="s">
        <v>502</v>
      </c>
      <c r="D58" s="329" t="s">
        <v>503</v>
      </c>
      <c r="E58" s="329" t="s">
        <v>504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328"/>
      <c r="O58" s="333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506</v>
      </c>
      <c r="B59" s="486"/>
      <c r="C59" s="329" t="s">
        <v>507</v>
      </c>
      <c r="D59" s="329" t="s">
        <v>508</v>
      </c>
      <c r="E59" s="329" t="s">
        <v>509</v>
      </c>
      <c r="F59" s="487" t="s">
        <v>510</v>
      </c>
      <c r="G59" s="488"/>
      <c r="H59" s="488"/>
      <c r="I59" s="488"/>
      <c r="J59" s="488"/>
      <c r="K59" s="488"/>
      <c r="L59" s="488"/>
      <c r="M59" s="489"/>
      <c r="N59" s="328"/>
      <c r="O59" s="333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329"/>
      <c r="D60" s="329"/>
      <c r="E60" s="329"/>
      <c r="F60" s="487"/>
      <c r="G60" s="488"/>
      <c r="H60" s="488"/>
      <c r="I60" s="488"/>
      <c r="J60" s="488"/>
      <c r="K60" s="488"/>
      <c r="L60" s="488"/>
      <c r="M60" s="489"/>
      <c r="N60" s="328"/>
      <c r="O60" s="333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330"/>
      <c r="D61" s="330"/>
      <c r="E61" s="330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514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331" t="s">
        <v>2</v>
      </c>
      <c r="D63" s="331" t="s">
        <v>37</v>
      </c>
      <c r="E63" s="331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331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 t="s">
        <v>114</v>
      </c>
      <c r="D64" s="335"/>
      <c r="E64" s="332" t="s">
        <v>122</v>
      </c>
      <c r="F64" s="474" t="s">
        <v>468</v>
      </c>
      <c r="G64" s="466"/>
      <c r="H64" s="466"/>
      <c r="I64" s="466"/>
      <c r="J64" s="466"/>
      <c r="K64" s="466" t="s">
        <v>515</v>
      </c>
      <c r="L64" s="466"/>
      <c r="M64" s="51" t="s">
        <v>325</v>
      </c>
      <c r="N64" s="477" t="s">
        <v>143</v>
      </c>
      <c r="O64" s="477"/>
      <c r="P64" s="475">
        <v>50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2</v>
      </c>
      <c r="B65" s="473"/>
      <c r="C65" s="117"/>
      <c r="D65" s="335"/>
      <c r="E65" s="332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335"/>
      <c r="E66" s="332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335"/>
      <c r="E67" s="332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335"/>
      <c r="E68" s="332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335"/>
      <c r="E69" s="332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335"/>
      <c r="E70" s="332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335"/>
      <c r="E71" s="332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516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334" t="s">
        <v>2</v>
      </c>
      <c r="D73" s="334" t="s">
        <v>37</v>
      </c>
      <c r="E73" s="334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336" t="s">
        <v>114</v>
      </c>
      <c r="D74" s="336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335"/>
      <c r="D75" s="335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1">A75+1</f>
        <v>3</v>
      </c>
      <c r="B76" s="434"/>
      <c r="C76" s="335"/>
      <c r="D76" s="335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1"/>
        <v>4</v>
      </c>
      <c r="B77" s="434"/>
      <c r="C77" s="335"/>
      <c r="D77" s="335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5</v>
      </c>
      <c r="B78" s="434"/>
      <c r="C78" s="335"/>
      <c r="D78" s="335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6</v>
      </c>
      <c r="B79" s="434"/>
      <c r="C79" s="335"/>
      <c r="D79" s="335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7</v>
      </c>
      <c r="B80" s="434"/>
      <c r="C80" s="335"/>
      <c r="D80" s="335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8</v>
      </c>
      <c r="B81" s="434"/>
      <c r="C81" s="335"/>
      <c r="D81" s="335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9</v>
      </c>
      <c r="B82" s="434"/>
      <c r="C82" s="335"/>
      <c r="D82" s="335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517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08EE-77FD-4886-8492-9CB090DF617B}"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518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38" t="s">
        <v>17</v>
      </c>
      <c r="L5" s="338" t="s">
        <v>18</v>
      </c>
      <c r="M5" s="338" t="s">
        <v>19</v>
      </c>
      <c r="N5" s="3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0.51111111111111118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0.51111111111111118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119</v>
      </c>
      <c r="E8" s="53" t="s">
        <v>486</v>
      </c>
      <c r="F8" s="30" t="s">
        <v>151</v>
      </c>
      <c r="G8" s="33">
        <v>1</v>
      </c>
      <c r="H8" s="35">
        <v>24</v>
      </c>
      <c r="I8" s="7">
        <v>2500</v>
      </c>
      <c r="J8" s="14">
        <v>5246</v>
      </c>
      <c r="K8" s="15">
        <f>L8+2959</f>
        <v>8205</v>
      </c>
      <c r="L8" s="15">
        <f>2454+2792</f>
        <v>5246</v>
      </c>
      <c r="M8" s="15">
        <f t="shared" si="1"/>
        <v>5246</v>
      </c>
      <c r="N8" s="15">
        <v>0</v>
      </c>
      <c r="O8" s="58">
        <f t="shared" si="2"/>
        <v>0</v>
      </c>
      <c r="P8" s="39">
        <f t="shared" si="3"/>
        <v>24</v>
      </c>
      <c r="Q8" s="40">
        <f t="shared" si="4"/>
        <v>0</v>
      </c>
      <c r="R8" s="7"/>
      <c r="S8" s="6"/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1</v>
      </c>
      <c r="AD8" s="10">
        <f t="shared" si="7"/>
        <v>1</v>
      </c>
      <c r="AE8" s="36">
        <f t="shared" si="8"/>
        <v>0.51111111111111118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2202</v>
      </c>
      <c r="K9" s="15">
        <f>L9+575+1451+1396+910+1674</f>
        <v>8208</v>
      </c>
      <c r="L9" s="15">
        <f>1108+1094</f>
        <v>2202</v>
      </c>
      <c r="M9" s="15">
        <f t="shared" si="1"/>
        <v>2202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0.51111111111111118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13288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>AC10*AB10*(1-O10)</f>
        <v>0</v>
      </c>
      <c r="AE10" s="36">
        <f t="shared" si="8"/>
        <v>0.51111111111111118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4157</v>
      </c>
      <c r="K11" s="15">
        <f>L11+4769+871+1725</f>
        <v>11522</v>
      </c>
      <c r="L11" s="15">
        <f>3009+1148</f>
        <v>4157</v>
      </c>
      <c r="M11" s="15">
        <f t="shared" si="1"/>
        <v>4157</v>
      </c>
      <c r="N11" s="15">
        <v>0</v>
      </c>
      <c r="O11" s="58">
        <f t="shared" si="2"/>
        <v>0</v>
      </c>
      <c r="P11" s="39">
        <f t="shared" si="3"/>
        <v>20</v>
      </c>
      <c r="Q11" s="40">
        <f t="shared" si="4"/>
        <v>4</v>
      </c>
      <c r="R11" s="7"/>
      <c r="S11" s="6">
        <v>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0.83333333333333337</v>
      </c>
      <c r="AD11" s="10">
        <f>AC11*AB11*(1-O11)</f>
        <v>0.83333333333333337</v>
      </c>
      <c r="AE11" s="36">
        <f t="shared" si="8"/>
        <v>0.51111111111111118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118</v>
      </c>
      <c r="F12" s="30" t="s">
        <v>121</v>
      </c>
      <c r="G12" s="33">
        <v>1</v>
      </c>
      <c r="H12" s="35">
        <v>24</v>
      </c>
      <c r="I12" s="7">
        <v>48000</v>
      </c>
      <c r="J12" s="14">
        <v>583</v>
      </c>
      <c r="K12" s="15">
        <f>L12+4623+4705+5405+1826+2220+3415+4921+2272+679+1842+700+2356+2282+3779+2173+4502</f>
        <v>48283</v>
      </c>
      <c r="L12" s="15">
        <v>583</v>
      </c>
      <c r="M12" s="15">
        <f t="shared" si="1"/>
        <v>583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/>
      <c r="T12" s="16"/>
      <c r="U12" s="16"/>
      <c r="V12" s="17"/>
      <c r="W12" s="5">
        <v>20</v>
      </c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 t="shared" ref="AD12" si="10">AC12*AB12*(1-O12)</f>
        <v>0.16666666666666666</v>
      </c>
      <c r="AE12" s="36">
        <f t="shared" si="8"/>
        <v>0.51111111111111118</v>
      </c>
      <c r="AF12" s="87">
        <f t="shared" si="9"/>
        <v>7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419</v>
      </c>
      <c r="F13" s="30" t="s">
        <v>121</v>
      </c>
      <c r="G13" s="33">
        <v>1</v>
      </c>
      <c r="H13" s="35">
        <v>24</v>
      </c>
      <c r="I13" s="7">
        <v>70000</v>
      </c>
      <c r="J13" s="14">
        <v>1561</v>
      </c>
      <c r="K13" s="15">
        <f>L13</f>
        <v>1561</v>
      </c>
      <c r="L13" s="15">
        <f>1561</f>
        <v>1561</v>
      </c>
      <c r="M13" s="15">
        <f t="shared" ref="M13" si="11">L13-N13</f>
        <v>1561</v>
      </c>
      <c r="N13" s="15">
        <v>0</v>
      </c>
      <c r="O13" s="58">
        <f t="shared" ref="O13" si="12">IF(L13=0,"0",N13/L13)</f>
        <v>0</v>
      </c>
      <c r="P13" s="39">
        <f t="shared" ref="P13" si="13">IF(L13=0,"0",(24-Q13))</f>
        <v>11</v>
      </c>
      <c r="Q13" s="40">
        <f t="shared" ref="Q13" si="14">SUM(R13:AA13)</f>
        <v>13</v>
      </c>
      <c r="R13" s="7"/>
      <c r="S13" s="6">
        <v>13</v>
      </c>
      <c r="T13" s="16"/>
      <c r="U13" s="16"/>
      <c r="V13" s="17"/>
      <c r="W13" s="5"/>
      <c r="X13" s="16"/>
      <c r="Y13" s="16"/>
      <c r="Z13" s="16"/>
      <c r="AA13" s="18"/>
      <c r="AB13" s="8">
        <f t="shared" ref="AB13" si="15">IF(J13=0,"0",(L13/J13))</f>
        <v>1</v>
      </c>
      <c r="AC13" s="9">
        <f t="shared" ref="AC13" si="16">IF(P13=0,"0",(P13/24))</f>
        <v>0.45833333333333331</v>
      </c>
      <c r="AD13" s="10">
        <f t="shared" ref="AD13" si="17">AC13*AB13*(1-O13)</f>
        <v>0.45833333333333331</v>
      </c>
      <c r="AE13" s="36">
        <f t="shared" si="8"/>
        <v>0.51111111111111118</v>
      </c>
      <c r="AF13" s="87">
        <f t="shared" ref="AF13" si="18">A13</f>
        <v>7</v>
      </c>
    </row>
    <row r="14" spans="1:32" ht="27" customHeight="1">
      <c r="A14" s="103">
        <v>8</v>
      </c>
      <c r="B14" s="11" t="s">
        <v>57</v>
      </c>
      <c r="C14" s="11" t="s">
        <v>130</v>
      </c>
      <c r="D14" s="52" t="s">
        <v>117</v>
      </c>
      <c r="E14" s="53" t="s">
        <v>478</v>
      </c>
      <c r="F14" s="30" t="s">
        <v>135</v>
      </c>
      <c r="G14" s="33">
        <v>2</v>
      </c>
      <c r="H14" s="35">
        <v>24</v>
      </c>
      <c r="I14" s="7">
        <v>20000</v>
      </c>
      <c r="J14" s="14">
        <v>1482</v>
      </c>
      <c r="K14" s="15">
        <f>L14+9334</f>
        <v>10816</v>
      </c>
      <c r="L14" s="15">
        <f>741*2</f>
        <v>1482</v>
      </c>
      <c r="M14" s="15">
        <f t="shared" si="1"/>
        <v>1482</v>
      </c>
      <c r="N14" s="15">
        <v>0</v>
      </c>
      <c r="O14" s="58">
        <f t="shared" si="2"/>
        <v>0</v>
      </c>
      <c r="P14" s="39">
        <f t="shared" si="3"/>
        <v>4</v>
      </c>
      <c r="Q14" s="40">
        <f t="shared" si="4"/>
        <v>20</v>
      </c>
      <c r="R14" s="7"/>
      <c r="S14" s="6">
        <v>20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0.16666666666666666</v>
      </c>
      <c r="AD14" s="10">
        <f t="shared" si="7"/>
        <v>0.16666666666666666</v>
      </c>
      <c r="AE14" s="36">
        <f t="shared" si="8"/>
        <v>0.51111111111111118</v>
      </c>
      <c r="AF14" s="87">
        <f t="shared" si="9"/>
        <v>8</v>
      </c>
    </row>
    <row r="15" spans="1:32" ht="27" customHeight="1">
      <c r="A15" s="103">
        <v>8</v>
      </c>
      <c r="B15" s="11" t="s">
        <v>57</v>
      </c>
      <c r="C15" s="11" t="s">
        <v>114</v>
      </c>
      <c r="D15" s="52" t="s">
        <v>117</v>
      </c>
      <c r="E15" s="53" t="s">
        <v>519</v>
      </c>
      <c r="F15" s="30" t="s">
        <v>426</v>
      </c>
      <c r="G15" s="33">
        <v>1</v>
      </c>
      <c r="H15" s="35">
        <v>24</v>
      </c>
      <c r="I15" s="7">
        <v>1000</v>
      </c>
      <c r="J15" s="14">
        <v>1247</v>
      </c>
      <c r="K15" s="15">
        <f>L15</f>
        <v>1247</v>
      </c>
      <c r="L15" s="15">
        <f>1247</f>
        <v>1247</v>
      </c>
      <c r="M15" s="15">
        <f t="shared" ref="M15" si="19">L15-N15</f>
        <v>1247</v>
      </c>
      <c r="N15" s="15">
        <v>0</v>
      </c>
      <c r="O15" s="58">
        <f t="shared" ref="O15" si="20">IF(L15=0,"0",N15/L15)</f>
        <v>0</v>
      </c>
      <c r="P15" s="39">
        <f t="shared" ref="P15" si="21">IF(L15=0,"0",(24-Q15))</f>
        <v>10</v>
      </c>
      <c r="Q15" s="40">
        <f t="shared" ref="Q15" si="22">SUM(R15:AA15)</f>
        <v>14</v>
      </c>
      <c r="R15" s="7"/>
      <c r="S15" s="6">
        <v>14</v>
      </c>
      <c r="T15" s="16"/>
      <c r="U15" s="16"/>
      <c r="V15" s="17"/>
      <c r="W15" s="5"/>
      <c r="X15" s="16"/>
      <c r="Y15" s="16"/>
      <c r="Z15" s="16"/>
      <c r="AA15" s="18"/>
      <c r="AB15" s="8">
        <f t="shared" ref="AB15" si="23">IF(J15=0,"0",(L15/J15))</f>
        <v>1</v>
      </c>
      <c r="AC15" s="9">
        <f t="shared" ref="AC15" si="24">IF(P15=0,"0",(P15/24))</f>
        <v>0.41666666666666669</v>
      </c>
      <c r="AD15" s="10">
        <f t="shared" ref="AD15" si="25">AC15*AB15*(1-O15)</f>
        <v>0.41666666666666669</v>
      </c>
      <c r="AE15" s="36">
        <f t="shared" si="8"/>
        <v>0.51111111111111118</v>
      </c>
      <c r="AF15" s="87">
        <f t="shared" ref="AF15" si="26">A15</f>
        <v>8</v>
      </c>
    </row>
    <row r="16" spans="1:32" ht="27" customHeight="1">
      <c r="A16" s="118">
        <v>9</v>
      </c>
      <c r="B16" s="11" t="s">
        <v>57</v>
      </c>
      <c r="C16" s="34" t="s">
        <v>124</v>
      </c>
      <c r="D16" s="52" t="s">
        <v>117</v>
      </c>
      <c r="E16" s="53" t="s">
        <v>371</v>
      </c>
      <c r="F16" s="30" t="s">
        <v>151</v>
      </c>
      <c r="G16" s="12">
        <v>1</v>
      </c>
      <c r="H16" s="13">
        <v>45</v>
      </c>
      <c r="I16" s="7">
        <v>300</v>
      </c>
      <c r="J16" s="5">
        <v>516</v>
      </c>
      <c r="K16" s="15">
        <f>L16+516</f>
        <v>516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0.51111111111111118</v>
      </c>
      <c r="AF16" s="87">
        <f t="shared" si="9"/>
        <v>9</v>
      </c>
    </row>
    <row r="17" spans="1:32" ht="27" customHeight="1">
      <c r="A17" s="102">
        <v>10</v>
      </c>
      <c r="B17" s="11" t="s">
        <v>57</v>
      </c>
      <c r="C17" s="34" t="s">
        <v>285</v>
      </c>
      <c r="D17" s="52"/>
      <c r="E17" s="53" t="s">
        <v>286</v>
      </c>
      <c r="F17" s="12" t="s">
        <v>287</v>
      </c>
      <c r="G17" s="12" t="s">
        <v>197</v>
      </c>
      <c r="H17" s="13">
        <v>24</v>
      </c>
      <c r="I17" s="31">
        <v>50000</v>
      </c>
      <c r="J17" s="14">
        <v>5013</v>
      </c>
      <c r="K17" s="15">
        <f>L17+3216+6251+3050+5532+6499+6687+608+4996+4612+1299+3065</f>
        <v>50828</v>
      </c>
      <c r="L17" s="15">
        <f>2566+2447</f>
        <v>5013</v>
      </c>
      <c r="M17" s="15">
        <f t="shared" si="1"/>
        <v>5013</v>
      </c>
      <c r="N17" s="15">
        <v>0</v>
      </c>
      <c r="O17" s="58">
        <f t="shared" si="2"/>
        <v>0</v>
      </c>
      <c r="P17" s="39">
        <f t="shared" si="3"/>
        <v>19</v>
      </c>
      <c r="Q17" s="40">
        <f t="shared" si="4"/>
        <v>5</v>
      </c>
      <c r="R17" s="7"/>
      <c r="S17" s="6">
        <v>5</v>
      </c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0.79166666666666663</v>
      </c>
      <c r="AD17" s="10">
        <f t="shared" si="7"/>
        <v>0.79166666666666663</v>
      </c>
      <c r="AE17" s="36">
        <f t="shared" si="8"/>
        <v>0.51111111111111118</v>
      </c>
      <c r="AF17" s="87">
        <f t="shared" si="9"/>
        <v>10</v>
      </c>
    </row>
    <row r="18" spans="1:32" ht="30" customHeight="1">
      <c r="A18" s="102">
        <v>11</v>
      </c>
      <c r="B18" s="11" t="s">
        <v>57</v>
      </c>
      <c r="C18" s="34" t="s">
        <v>114</v>
      </c>
      <c r="D18" s="52" t="s">
        <v>117</v>
      </c>
      <c r="E18" s="53" t="s">
        <v>295</v>
      </c>
      <c r="F18" s="30" t="s">
        <v>126</v>
      </c>
      <c r="G18" s="12">
        <v>1</v>
      </c>
      <c r="H18" s="13">
        <v>28</v>
      </c>
      <c r="I18" s="7">
        <v>10000</v>
      </c>
      <c r="J18" s="14">
        <v>3352</v>
      </c>
      <c r="K18" s="15">
        <f>L18+2311+3474+2422+781+3352</f>
        <v>12340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/>
      <c r="X18" s="16"/>
      <c r="Y18" s="16"/>
      <c r="Z18" s="16"/>
      <c r="AA18" s="18">
        <v>24</v>
      </c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0.51111111111111118</v>
      </c>
      <c r="AF18" s="87">
        <f t="shared" si="9"/>
        <v>11</v>
      </c>
    </row>
    <row r="19" spans="1:32" ht="27" customHeight="1">
      <c r="A19" s="102">
        <v>12</v>
      </c>
      <c r="B19" s="11" t="s">
        <v>57</v>
      </c>
      <c r="C19" s="34" t="s">
        <v>130</v>
      </c>
      <c r="D19" s="52" t="s">
        <v>136</v>
      </c>
      <c r="E19" s="53" t="s">
        <v>479</v>
      </c>
      <c r="F19" s="30" t="s">
        <v>137</v>
      </c>
      <c r="G19" s="33">
        <v>2</v>
      </c>
      <c r="H19" s="35">
        <v>24</v>
      </c>
      <c r="I19" s="7">
        <v>20000</v>
      </c>
      <c r="J19" s="5">
        <v>12160</v>
      </c>
      <c r="K19" s="15">
        <f>L19+10172</f>
        <v>22332</v>
      </c>
      <c r="L19" s="15">
        <f>3069*2+3011*2</f>
        <v>12160</v>
      </c>
      <c r="M19" s="15">
        <f t="shared" si="1"/>
        <v>12160</v>
      </c>
      <c r="N19" s="15">
        <v>0</v>
      </c>
      <c r="O19" s="58">
        <f t="shared" si="2"/>
        <v>0</v>
      </c>
      <c r="P19" s="39">
        <f t="shared" si="3"/>
        <v>24</v>
      </c>
      <c r="Q19" s="40">
        <f t="shared" si="4"/>
        <v>0</v>
      </c>
      <c r="R19" s="7"/>
      <c r="S19" s="6"/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1</v>
      </c>
      <c r="AD19" s="10">
        <f t="shared" si="7"/>
        <v>1</v>
      </c>
      <c r="AE19" s="36">
        <f t="shared" si="8"/>
        <v>0.51111111111111118</v>
      </c>
      <c r="AF19" s="87">
        <f t="shared" si="9"/>
        <v>12</v>
      </c>
    </row>
    <row r="20" spans="1:32" ht="27" customHeight="1">
      <c r="A20" s="103">
        <v>13</v>
      </c>
      <c r="B20" s="11" t="s">
        <v>57</v>
      </c>
      <c r="C20" s="11" t="s">
        <v>114</v>
      </c>
      <c r="D20" s="52" t="s">
        <v>401</v>
      </c>
      <c r="E20" s="53" t="s">
        <v>400</v>
      </c>
      <c r="F20" s="30" t="s">
        <v>380</v>
      </c>
      <c r="G20" s="33">
        <v>1</v>
      </c>
      <c r="H20" s="35">
        <v>24</v>
      </c>
      <c r="I20" s="7">
        <v>25000</v>
      </c>
      <c r="J20" s="14">
        <v>4870</v>
      </c>
      <c r="K20" s="15">
        <f>L20+5017+5365+5021+5605+2251</f>
        <v>28129</v>
      </c>
      <c r="L20" s="15">
        <f>2411+2459</f>
        <v>4870</v>
      </c>
      <c r="M20" s="15">
        <f t="shared" si="1"/>
        <v>4870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0.51111111111111118</v>
      </c>
      <c r="AF20" s="87">
        <f t="shared" si="9"/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160</v>
      </c>
      <c r="F21" s="30" t="s">
        <v>151</v>
      </c>
      <c r="G21" s="33">
        <v>1</v>
      </c>
      <c r="H21" s="35">
        <v>24</v>
      </c>
      <c r="I21" s="7">
        <v>8000</v>
      </c>
      <c r="J21" s="14">
        <v>4726</v>
      </c>
      <c r="K21" s="15">
        <f>L21+3114</f>
        <v>7840</v>
      </c>
      <c r="L21" s="15">
        <f>2440+2286</f>
        <v>4726</v>
      </c>
      <c r="M21" s="15">
        <f t="shared" si="1"/>
        <v>4726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7"/>
        <v>1</v>
      </c>
      <c r="AE21" s="36">
        <f t="shared" si="8"/>
        <v>0.51111111111111118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260</v>
      </c>
      <c r="F22" s="12" t="s">
        <v>116</v>
      </c>
      <c r="G22" s="12">
        <v>4</v>
      </c>
      <c r="H22" s="35">
        <v>20</v>
      </c>
      <c r="I22" s="7">
        <v>500000</v>
      </c>
      <c r="J22" s="14">
        <v>39012</v>
      </c>
      <c r="K22" s="15">
        <f>L22+16528</f>
        <v>55540</v>
      </c>
      <c r="L22" s="15">
        <f>9753*4</f>
        <v>39012</v>
      </c>
      <c r="M22" s="15">
        <f t="shared" si="1"/>
        <v>39012</v>
      </c>
      <c r="N22" s="15">
        <v>0</v>
      </c>
      <c r="O22" s="58">
        <f t="shared" si="2"/>
        <v>0</v>
      </c>
      <c r="P22" s="39">
        <f t="shared" si="3"/>
        <v>10</v>
      </c>
      <c r="Q22" s="40">
        <f t="shared" si="4"/>
        <v>14</v>
      </c>
      <c r="R22" s="7"/>
      <c r="S22" s="6"/>
      <c r="T22" s="16"/>
      <c r="U22" s="16"/>
      <c r="V22" s="17">
        <v>14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0.41666666666666669</v>
      </c>
      <c r="AD22" s="10">
        <f t="shared" si="7"/>
        <v>0.41666666666666669</v>
      </c>
      <c r="AE22" s="36">
        <f t="shared" si="8"/>
        <v>0.51111111111111118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27">SUM(I6:I22)</f>
        <v>830800</v>
      </c>
      <c r="J23" s="19">
        <f t="shared" si="27"/>
        <v>101476</v>
      </c>
      <c r="K23" s="20">
        <f t="shared" si="27"/>
        <v>278915</v>
      </c>
      <c r="L23" s="21">
        <f t="shared" si="27"/>
        <v>82259</v>
      </c>
      <c r="M23" s="20">
        <f t="shared" si="27"/>
        <v>82259</v>
      </c>
      <c r="N23" s="21">
        <f t="shared" si="27"/>
        <v>0</v>
      </c>
      <c r="O23" s="41">
        <f t="shared" si="2"/>
        <v>0</v>
      </c>
      <c r="P23" s="42">
        <f t="shared" ref="P23:AA23" si="28">SUM(P6:P22)</f>
        <v>184</v>
      </c>
      <c r="Q23" s="43">
        <f t="shared" si="28"/>
        <v>224</v>
      </c>
      <c r="R23" s="23">
        <f t="shared" si="28"/>
        <v>24</v>
      </c>
      <c r="S23" s="24">
        <f t="shared" si="28"/>
        <v>94</v>
      </c>
      <c r="T23" s="24">
        <f t="shared" si="28"/>
        <v>0</v>
      </c>
      <c r="U23" s="24">
        <f t="shared" si="28"/>
        <v>0</v>
      </c>
      <c r="V23" s="25">
        <f t="shared" si="28"/>
        <v>38</v>
      </c>
      <c r="W23" s="26">
        <f t="shared" si="28"/>
        <v>44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24</v>
      </c>
      <c r="AB23" s="28">
        <f>SUM(AB6:AB22)/15</f>
        <v>0.8</v>
      </c>
      <c r="AC23" s="4">
        <f>SUM(AC6:AC22)/15</f>
        <v>0.51111111111111118</v>
      </c>
      <c r="AD23" s="4">
        <f>SUM(AD6:AD22)/15</f>
        <v>0.51111111111111118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520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522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339" t="s">
        <v>46</v>
      </c>
      <c r="D52" s="339" t="s">
        <v>47</v>
      </c>
      <c r="E52" s="339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339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341" t="s">
        <v>144</v>
      </c>
      <c r="D53" s="341" t="s">
        <v>136</v>
      </c>
      <c r="E53" s="341" t="s">
        <v>293</v>
      </c>
      <c r="F53" s="487" t="s">
        <v>367</v>
      </c>
      <c r="G53" s="488"/>
      <c r="H53" s="488"/>
      <c r="I53" s="488"/>
      <c r="J53" s="488"/>
      <c r="K53" s="488"/>
      <c r="L53" s="488"/>
      <c r="M53" s="489"/>
      <c r="N53" s="340" t="s">
        <v>124</v>
      </c>
      <c r="O53" s="345" t="s">
        <v>144</v>
      </c>
      <c r="P53" s="499" t="s">
        <v>136</v>
      </c>
      <c r="Q53" s="500"/>
      <c r="R53" s="486" t="s">
        <v>293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341" t="s">
        <v>178</v>
      </c>
      <c r="D54" s="341" t="s">
        <v>117</v>
      </c>
      <c r="E54" s="341" t="s">
        <v>425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340" t="s">
        <v>209</v>
      </c>
      <c r="O54" s="345" t="s">
        <v>128</v>
      </c>
      <c r="P54" s="499" t="s">
        <v>226</v>
      </c>
      <c r="Q54" s="500"/>
      <c r="R54" s="486" t="s">
        <v>487</v>
      </c>
      <c r="S54" s="486"/>
      <c r="T54" s="486"/>
      <c r="U54" s="486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341" t="s">
        <v>134</v>
      </c>
      <c r="D55" s="341" t="s">
        <v>117</v>
      </c>
      <c r="E55" s="341" t="s">
        <v>419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340" t="s">
        <v>114</v>
      </c>
      <c r="O55" s="345" t="s">
        <v>264</v>
      </c>
      <c r="P55" s="499" t="s">
        <v>125</v>
      </c>
      <c r="Q55" s="500"/>
      <c r="R55" s="486" t="s">
        <v>294</v>
      </c>
      <c r="S55" s="486"/>
      <c r="T55" s="486"/>
      <c r="U55" s="486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124</v>
      </c>
      <c r="B56" s="486"/>
      <c r="C56" s="341" t="s">
        <v>149</v>
      </c>
      <c r="D56" s="341" t="s">
        <v>183</v>
      </c>
      <c r="E56" s="341" t="s">
        <v>408</v>
      </c>
      <c r="F56" s="487" t="s">
        <v>521</v>
      </c>
      <c r="G56" s="488"/>
      <c r="H56" s="488"/>
      <c r="I56" s="488"/>
      <c r="J56" s="488"/>
      <c r="K56" s="488"/>
      <c r="L56" s="488"/>
      <c r="M56" s="489"/>
      <c r="N56" s="340" t="s">
        <v>114</v>
      </c>
      <c r="O56" s="345" t="s">
        <v>132</v>
      </c>
      <c r="P56" s="499" t="s">
        <v>183</v>
      </c>
      <c r="Q56" s="500"/>
      <c r="R56" s="486" t="s">
        <v>523</v>
      </c>
      <c r="S56" s="486"/>
      <c r="T56" s="486"/>
      <c r="U56" s="486"/>
      <c r="V56" s="476" t="s">
        <v>120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341"/>
      <c r="D57" s="341"/>
      <c r="E57" s="341"/>
      <c r="F57" s="487"/>
      <c r="G57" s="488"/>
      <c r="H57" s="488"/>
      <c r="I57" s="488"/>
      <c r="J57" s="488"/>
      <c r="K57" s="488"/>
      <c r="L57" s="488"/>
      <c r="M57" s="489"/>
      <c r="N57" s="340" t="s">
        <v>130</v>
      </c>
      <c r="O57" s="345" t="s">
        <v>262</v>
      </c>
      <c r="P57" s="499" t="s">
        <v>122</v>
      </c>
      <c r="Q57" s="500"/>
      <c r="R57" s="499" t="s">
        <v>481</v>
      </c>
      <c r="S57" s="501"/>
      <c r="T57" s="501"/>
      <c r="U57" s="500"/>
      <c r="V57" s="476" t="s">
        <v>120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41"/>
      <c r="D58" s="341"/>
      <c r="E58" s="341"/>
      <c r="F58" s="487"/>
      <c r="G58" s="488"/>
      <c r="H58" s="488"/>
      <c r="I58" s="488"/>
      <c r="J58" s="488"/>
      <c r="K58" s="488"/>
      <c r="L58" s="488"/>
      <c r="M58" s="489"/>
      <c r="N58" s="340"/>
      <c r="O58" s="34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41"/>
      <c r="D59" s="341"/>
      <c r="E59" s="341"/>
      <c r="F59" s="487"/>
      <c r="G59" s="488"/>
      <c r="H59" s="488"/>
      <c r="I59" s="488"/>
      <c r="J59" s="488"/>
      <c r="K59" s="488"/>
      <c r="L59" s="488"/>
      <c r="M59" s="489"/>
      <c r="N59" s="340"/>
      <c r="O59" s="345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341"/>
      <c r="D60" s="341"/>
      <c r="E60" s="341"/>
      <c r="F60" s="487"/>
      <c r="G60" s="488"/>
      <c r="H60" s="488"/>
      <c r="I60" s="488"/>
      <c r="J60" s="488"/>
      <c r="K60" s="488"/>
      <c r="L60" s="488"/>
      <c r="M60" s="489"/>
      <c r="N60" s="340"/>
      <c r="O60" s="345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/>
      <c r="B61" s="486"/>
      <c r="C61" s="341"/>
      <c r="D61" s="341"/>
      <c r="E61" s="341"/>
      <c r="F61" s="487"/>
      <c r="G61" s="488"/>
      <c r="H61" s="488"/>
      <c r="I61" s="488"/>
      <c r="J61" s="488"/>
      <c r="K61" s="488"/>
      <c r="L61" s="488"/>
      <c r="M61" s="489"/>
      <c r="N61" s="340"/>
      <c r="O61" s="345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342"/>
      <c r="D62" s="342"/>
      <c r="E62" s="342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524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343" t="s">
        <v>2</v>
      </c>
      <c r="D64" s="343" t="s">
        <v>37</v>
      </c>
      <c r="E64" s="343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343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114</v>
      </c>
      <c r="D65" s="347"/>
      <c r="E65" s="344" t="s">
        <v>122</v>
      </c>
      <c r="F65" s="474" t="s">
        <v>468</v>
      </c>
      <c r="G65" s="466"/>
      <c r="H65" s="466"/>
      <c r="I65" s="466"/>
      <c r="J65" s="466"/>
      <c r="K65" s="466" t="s">
        <v>123</v>
      </c>
      <c r="L65" s="466"/>
      <c r="M65" s="51" t="s">
        <v>280</v>
      </c>
      <c r="N65" s="477" t="s">
        <v>178</v>
      </c>
      <c r="O65" s="477"/>
      <c r="P65" s="475">
        <v>500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 t="s">
        <v>114</v>
      </c>
      <c r="D66" s="347"/>
      <c r="E66" s="344" t="s">
        <v>125</v>
      </c>
      <c r="F66" s="474" t="s">
        <v>440</v>
      </c>
      <c r="G66" s="466"/>
      <c r="H66" s="466"/>
      <c r="I66" s="466"/>
      <c r="J66" s="466"/>
      <c r="K66" s="466" t="s">
        <v>127</v>
      </c>
      <c r="L66" s="466"/>
      <c r="M66" s="51" t="s">
        <v>280</v>
      </c>
      <c r="N66" s="477" t="s">
        <v>264</v>
      </c>
      <c r="O66" s="477"/>
      <c r="P66" s="475">
        <v>500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 t="s">
        <v>114</v>
      </c>
      <c r="D67" s="347"/>
      <c r="E67" s="344" t="s">
        <v>401</v>
      </c>
      <c r="F67" s="474" t="s">
        <v>421</v>
      </c>
      <c r="G67" s="466"/>
      <c r="H67" s="466"/>
      <c r="I67" s="466"/>
      <c r="J67" s="466"/>
      <c r="K67" s="466" t="s">
        <v>127</v>
      </c>
      <c r="L67" s="466"/>
      <c r="M67" s="51" t="s">
        <v>280</v>
      </c>
      <c r="N67" s="477" t="s">
        <v>134</v>
      </c>
      <c r="O67" s="477"/>
      <c r="P67" s="475">
        <v>500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 t="s">
        <v>114</v>
      </c>
      <c r="D68" s="347"/>
      <c r="E68" s="344" t="s">
        <v>117</v>
      </c>
      <c r="F68" s="474" t="s">
        <v>419</v>
      </c>
      <c r="G68" s="466"/>
      <c r="H68" s="466"/>
      <c r="I68" s="466"/>
      <c r="J68" s="466"/>
      <c r="K68" s="466" t="s">
        <v>121</v>
      </c>
      <c r="L68" s="466"/>
      <c r="M68" s="51" t="s">
        <v>280</v>
      </c>
      <c r="N68" s="477" t="s">
        <v>134</v>
      </c>
      <c r="O68" s="477"/>
      <c r="P68" s="475">
        <v>500</v>
      </c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/>
      <c r="D69" s="347"/>
      <c r="E69" s="344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/>
      <c r="D70" s="347"/>
      <c r="E70" s="344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/>
      <c r="D71" s="347"/>
      <c r="E71" s="344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347"/>
      <c r="E72" s="344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525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346" t="s">
        <v>2</v>
      </c>
      <c r="D74" s="346" t="s">
        <v>37</v>
      </c>
      <c r="E74" s="346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348" t="s">
        <v>114</v>
      </c>
      <c r="D75" s="348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347"/>
      <c r="D76" s="347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9">A76+1</f>
        <v>3</v>
      </c>
      <c r="B77" s="434"/>
      <c r="C77" s="347"/>
      <c r="D77" s="347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9"/>
        <v>4</v>
      </c>
      <c r="B78" s="434"/>
      <c r="C78" s="347"/>
      <c r="D78" s="347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9"/>
        <v>5</v>
      </c>
      <c r="B79" s="434"/>
      <c r="C79" s="347"/>
      <c r="D79" s="347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9"/>
        <v>6</v>
      </c>
      <c r="B80" s="434"/>
      <c r="C80" s="347"/>
      <c r="D80" s="347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9"/>
        <v>7</v>
      </c>
      <c r="B81" s="434"/>
      <c r="C81" s="347"/>
      <c r="D81" s="347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9"/>
        <v>8</v>
      </c>
      <c r="B82" s="434"/>
      <c r="C82" s="347"/>
      <c r="D82" s="347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9"/>
        <v>9</v>
      </c>
      <c r="B83" s="434"/>
      <c r="C83" s="347"/>
      <c r="D83" s="347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526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35E0-2C0E-4AE6-ABA9-3A454D95BFEB}">
  <dimension ref="A1:AF88"/>
  <sheetViews>
    <sheetView zoomScale="72" zoomScaleNormal="72" zoomScaleSheetLayoutView="70" workbookViewId="0">
      <selection activeCell="C20" sqref="C20:G20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527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38" t="s">
        <v>17</v>
      </c>
      <c r="L5" s="338" t="s">
        <v>18</v>
      </c>
      <c r="M5" s="338" t="s">
        <v>19</v>
      </c>
      <c r="N5" s="338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2" si="1">L6-N6</f>
        <v>0</v>
      </c>
      <c r="N6" s="15">
        <v>0</v>
      </c>
      <c r="O6" s="58" t="str">
        <f t="shared" ref="O6:O23" si="2">IF(L6=0,"0",N6/L6)</f>
        <v>0</v>
      </c>
      <c r="P6" s="39" t="str">
        <f t="shared" ref="P6:P22" si="3">IF(L6=0,"0",(24-Q6))</f>
        <v>0</v>
      </c>
      <c r="Q6" s="40">
        <f t="shared" ref="Q6:Q22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2" si="5">IF(J6=0,"0",(L6/J6))</f>
        <v>0</v>
      </c>
      <c r="AC6" s="9">
        <f t="shared" ref="AC6:AC22" si="6">IF(P6=0,"0",(P6/24))</f>
        <v>0</v>
      </c>
      <c r="AD6" s="10">
        <f t="shared" ref="AD6:AD22" si="7">AC6*AB6*(1-O6)</f>
        <v>0</v>
      </c>
      <c r="AE6" s="36">
        <f t="shared" ref="AE6:AE22" si="8">$AD$23</f>
        <v>0.51111111111111107</v>
      </c>
      <c r="AF6" s="87">
        <f t="shared" ref="AF6:AF22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0.51111111111111107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130</v>
      </c>
      <c r="D8" s="52" t="s">
        <v>122</v>
      </c>
      <c r="E8" s="53" t="s">
        <v>481</v>
      </c>
      <c r="F8" s="30" t="s">
        <v>135</v>
      </c>
      <c r="G8" s="33">
        <v>2</v>
      </c>
      <c r="H8" s="35">
        <v>24</v>
      </c>
      <c r="I8" s="7">
        <v>20000</v>
      </c>
      <c r="J8" s="14">
        <v>6014</v>
      </c>
      <c r="K8" s="15">
        <f>L8</f>
        <v>6014</v>
      </c>
      <c r="L8" s="15">
        <f>1178*2+1829*2</f>
        <v>6014</v>
      </c>
      <c r="M8" s="15">
        <f t="shared" si="1"/>
        <v>6014</v>
      </c>
      <c r="N8" s="15">
        <v>0</v>
      </c>
      <c r="O8" s="58">
        <f t="shared" si="2"/>
        <v>0</v>
      </c>
      <c r="P8" s="39">
        <f t="shared" si="3"/>
        <v>15</v>
      </c>
      <c r="Q8" s="40">
        <f t="shared" si="4"/>
        <v>9</v>
      </c>
      <c r="R8" s="7"/>
      <c r="S8" s="6">
        <v>9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0.625</v>
      </c>
      <c r="AD8" s="10">
        <f t="shared" si="7"/>
        <v>0.625</v>
      </c>
      <c r="AE8" s="36">
        <f t="shared" si="8"/>
        <v>0.51111111111111107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122</v>
      </c>
      <c r="E9" s="53" t="s">
        <v>293</v>
      </c>
      <c r="F9" s="30" t="s">
        <v>127</v>
      </c>
      <c r="G9" s="33">
        <v>1</v>
      </c>
      <c r="H9" s="35">
        <v>24</v>
      </c>
      <c r="I9" s="7">
        <v>10000</v>
      </c>
      <c r="J9" s="14">
        <v>3317</v>
      </c>
      <c r="K9" s="15">
        <f>L9+575+1451+1396+910+1674+2202</f>
        <v>11525</v>
      </c>
      <c r="L9" s="15">
        <f>3317</f>
        <v>3317</v>
      </c>
      <c r="M9" s="15">
        <f t="shared" si="1"/>
        <v>3317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0.51111111111111107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3601</v>
      </c>
      <c r="K10" s="15">
        <f>L10</f>
        <v>3601</v>
      </c>
      <c r="L10" s="15">
        <f>724+2877</f>
        <v>3601</v>
      </c>
      <c r="M10" s="15">
        <f t="shared" si="1"/>
        <v>3601</v>
      </c>
      <c r="N10" s="15">
        <v>0</v>
      </c>
      <c r="O10" s="58">
        <f t="shared" si="2"/>
        <v>0</v>
      </c>
      <c r="P10" s="39">
        <f t="shared" si="3"/>
        <v>14</v>
      </c>
      <c r="Q10" s="40">
        <f t="shared" si="4"/>
        <v>10</v>
      </c>
      <c r="R10" s="7"/>
      <c r="S10" s="6">
        <v>10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0.58333333333333337</v>
      </c>
      <c r="AD10" s="10">
        <f>AC10*AB10*(1-O10)</f>
        <v>0.58333333333333337</v>
      </c>
      <c r="AE10" s="36">
        <f t="shared" si="8"/>
        <v>0.51111111111111107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702</v>
      </c>
      <c r="K11" s="15">
        <f>L11+4769+871+1725+4157</f>
        <v>12224</v>
      </c>
      <c r="L11" s="15">
        <v>702</v>
      </c>
      <c r="M11" s="15">
        <f t="shared" si="1"/>
        <v>702</v>
      </c>
      <c r="N11" s="15">
        <v>0</v>
      </c>
      <c r="O11" s="58">
        <f t="shared" si="2"/>
        <v>0</v>
      </c>
      <c r="P11" s="39">
        <f t="shared" si="3"/>
        <v>4</v>
      </c>
      <c r="Q11" s="40">
        <f t="shared" si="4"/>
        <v>20</v>
      </c>
      <c r="R11" s="7"/>
      <c r="S11" s="6">
        <v>20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0.16666666666666666</v>
      </c>
      <c r="AD11" s="10">
        <f>AC11*AB11*(1-O11)</f>
        <v>0.16666666666666666</v>
      </c>
      <c r="AE11" s="36">
        <f t="shared" si="8"/>
        <v>0.51111111111111107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419</v>
      </c>
      <c r="F12" s="30" t="s">
        <v>121</v>
      </c>
      <c r="G12" s="33">
        <v>1</v>
      </c>
      <c r="H12" s="35">
        <v>24</v>
      </c>
      <c r="I12" s="7">
        <v>70000</v>
      </c>
      <c r="J12" s="14">
        <v>2422</v>
      </c>
      <c r="K12" s="15">
        <f>L12+1561</f>
        <v>3983</v>
      </c>
      <c r="L12" s="15">
        <f>1569+853</f>
        <v>2422</v>
      </c>
      <c r="M12" s="15">
        <f t="shared" si="1"/>
        <v>2422</v>
      </c>
      <c r="N12" s="15">
        <v>0</v>
      </c>
      <c r="O12" s="58">
        <f t="shared" si="2"/>
        <v>0</v>
      </c>
      <c r="P12" s="39">
        <f t="shared" si="3"/>
        <v>16</v>
      </c>
      <c r="Q12" s="40">
        <f t="shared" si="4"/>
        <v>8</v>
      </c>
      <c r="R12" s="7"/>
      <c r="S12" s="6">
        <v>8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0.66666666666666663</v>
      </c>
      <c r="AD12" s="10">
        <f t="shared" ref="AD12" si="10">AC12*AB12*(1-O12)</f>
        <v>0.66666666666666663</v>
      </c>
      <c r="AE12" s="36">
        <f t="shared" si="8"/>
        <v>0.51111111111111107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478</v>
      </c>
      <c r="F13" s="30" t="s">
        <v>135</v>
      </c>
      <c r="G13" s="33">
        <v>2</v>
      </c>
      <c r="H13" s="35">
        <v>24</v>
      </c>
      <c r="I13" s="7">
        <v>20000</v>
      </c>
      <c r="J13" s="14">
        <v>1482</v>
      </c>
      <c r="K13" s="15">
        <f>L13+9334+1482</f>
        <v>10816</v>
      </c>
      <c r="L13" s="15">
        <v>0</v>
      </c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si="7"/>
        <v>0</v>
      </c>
      <c r="AE13" s="36">
        <f t="shared" si="8"/>
        <v>0.51111111111111107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0.51111111111111107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285</v>
      </c>
      <c r="D15" s="52"/>
      <c r="E15" s="53" t="s">
        <v>286</v>
      </c>
      <c r="F15" s="12" t="s">
        <v>287</v>
      </c>
      <c r="G15" s="12" t="s">
        <v>197</v>
      </c>
      <c r="H15" s="13">
        <v>24</v>
      </c>
      <c r="I15" s="31">
        <v>50000</v>
      </c>
      <c r="J15" s="14">
        <v>4581</v>
      </c>
      <c r="K15" s="15">
        <f>L15+3216+6251+3050+5532+6499+6687+608+4996+4612+1299+3065+5013</f>
        <v>55409</v>
      </c>
      <c r="L15" s="15">
        <f>2550+2031</f>
        <v>4581</v>
      </c>
      <c r="M15" s="15">
        <f t="shared" si="1"/>
        <v>4581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0.51111111111111107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294</v>
      </c>
      <c r="F16" s="30" t="s">
        <v>126</v>
      </c>
      <c r="G16" s="12">
        <v>1</v>
      </c>
      <c r="H16" s="13">
        <v>28</v>
      </c>
      <c r="I16" s="7">
        <v>10000</v>
      </c>
      <c r="J16" s="14">
        <v>4010</v>
      </c>
      <c r="K16" s="15">
        <f>L16</f>
        <v>4010</v>
      </c>
      <c r="L16" s="15">
        <f>2451+1559</f>
        <v>4010</v>
      </c>
      <c r="M16" s="15">
        <f t="shared" si="1"/>
        <v>4010</v>
      </c>
      <c r="N16" s="15">
        <v>0</v>
      </c>
      <c r="O16" s="58">
        <f t="shared" si="2"/>
        <v>0</v>
      </c>
      <c r="P16" s="39">
        <f t="shared" si="3"/>
        <v>21</v>
      </c>
      <c r="Q16" s="40">
        <f t="shared" si="4"/>
        <v>3</v>
      </c>
      <c r="R16" s="7"/>
      <c r="S16" s="6"/>
      <c r="T16" s="16">
        <v>3</v>
      </c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0.875</v>
      </c>
      <c r="AD16" s="10">
        <f t="shared" si="7"/>
        <v>0.875</v>
      </c>
      <c r="AE16" s="36">
        <f t="shared" si="8"/>
        <v>0.51111111111111107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130</v>
      </c>
      <c r="D17" s="52" t="s">
        <v>136</v>
      </c>
      <c r="E17" s="53" t="s">
        <v>479</v>
      </c>
      <c r="F17" s="30" t="s">
        <v>137</v>
      </c>
      <c r="G17" s="33">
        <v>2</v>
      </c>
      <c r="H17" s="35">
        <v>24</v>
      </c>
      <c r="I17" s="7">
        <v>20000</v>
      </c>
      <c r="J17" s="5">
        <v>4962</v>
      </c>
      <c r="K17" s="15">
        <f>L17+10172+12160</f>
        <v>27294</v>
      </c>
      <c r="L17" s="15">
        <f>2481*2</f>
        <v>4962</v>
      </c>
      <c r="M17" s="15">
        <f t="shared" si="1"/>
        <v>4962</v>
      </c>
      <c r="N17" s="15">
        <v>0</v>
      </c>
      <c r="O17" s="58">
        <f t="shared" si="2"/>
        <v>0</v>
      </c>
      <c r="P17" s="39">
        <f t="shared" si="3"/>
        <v>14</v>
      </c>
      <c r="Q17" s="40">
        <f t="shared" si="4"/>
        <v>10</v>
      </c>
      <c r="R17" s="7"/>
      <c r="S17" s="6"/>
      <c r="T17" s="16"/>
      <c r="U17" s="16"/>
      <c r="V17" s="17"/>
      <c r="W17" s="5">
        <v>10</v>
      </c>
      <c r="X17" s="16"/>
      <c r="Y17" s="16"/>
      <c r="Z17" s="16"/>
      <c r="AA17" s="18"/>
      <c r="AB17" s="8">
        <f t="shared" si="5"/>
        <v>1</v>
      </c>
      <c r="AC17" s="9">
        <f t="shared" si="6"/>
        <v>0.58333333333333337</v>
      </c>
      <c r="AD17" s="10">
        <f t="shared" si="7"/>
        <v>0.58333333333333337</v>
      </c>
      <c r="AE17" s="36">
        <f t="shared" si="8"/>
        <v>0.51111111111111107</v>
      </c>
      <c r="AF17" s="87">
        <f t="shared" si="9"/>
        <v>12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183</v>
      </c>
      <c r="E18" s="53" t="s">
        <v>528</v>
      </c>
      <c r="F18" s="30" t="s">
        <v>154</v>
      </c>
      <c r="G18" s="33">
        <v>4</v>
      </c>
      <c r="H18" s="35">
        <v>24</v>
      </c>
      <c r="I18" s="7">
        <v>13000</v>
      </c>
      <c r="J18" s="5">
        <v>11116</v>
      </c>
      <c r="K18" s="15">
        <f>L18</f>
        <v>11116</v>
      </c>
      <c r="L18" s="15">
        <f>2379*4+400*4</f>
        <v>11116</v>
      </c>
      <c r="M18" s="15">
        <f t="shared" ref="M18" si="11">L18-N18</f>
        <v>11116</v>
      </c>
      <c r="N18" s="15">
        <v>0</v>
      </c>
      <c r="O18" s="58">
        <f t="shared" ref="O18" si="12">IF(L18=0,"0",N18/L18)</f>
        <v>0</v>
      </c>
      <c r="P18" s="39">
        <f t="shared" ref="P18" si="13">IF(L18=0,"0",(24-Q18))</f>
        <v>9</v>
      </c>
      <c r="Q18" s="40">
        <f t="shared" ref="Q18" si="14">SUM(R18:AA18)</f>
        <v>15</v>
      </c>
      <c r="R18" s="7"/>
      <c r="S18" s="6"/>
      <c r="T18" s="16">
        <v>15</v>
      </c>
      <c r="U18" s="16"/>
      <c r="V18" s="17"/>
      <c r="W18" s="5"/>
      <c r="X18" s="16"/>
      <c r="Y18" s="16"/>
      <c r="Z18" s="16"/>
      <c r="AA18" s="18"/>
      <c r="AB18" s="8">
        <f t="shared" ref="AB18" si="15">IF(J18=0,"0",(L18/J18))</f>
        <v>1</v>
      </c>
      <c r="AC18" s="9">
        <f t="shared" ref="AC18" si="16">IF(P18=0,"0",(P18/24))</f>
        <v>0.375</v>
      </c>
      <c r="AD18" s="10">
        <f t="shared" ref="AD18" si="17">AC18*AB18*(1-O18)</f>
        <v>0.375</v>
      </c>
      <c r="AE18" s="36">
        <f t="shared" si="8"/>
        <v>0.51111111111111107</v>
      </c>
      <c r="AF18" s="87">
        <f t="shared" ref="AF18" si="18">A18</f>
        <v>12</v>
      </c>
    </row>
    <row r="19" spans="1:32" ht="27" customHeight="1">
      <c r="A19" s="103">
        <v>13</v>
      </c>
      <c r="B19" s="11" t="s">
        <v>57</v>
      </c>
      <c r="C19" s="11" t="s">
        <v>114</v>
      </c>
      <c r="D19" s="52" t="s">
        <v>401</v>
      </c>
      <c r="E19" s="53" t="s">
        <v>529</v>
      </c>
      <c r="F19" s="30" t="s">
        <v>135</v>
      </c>
      <c r="G19" s="33">
        <v>1</v>
      </c>
      <c r="H19" s="35">
        <v>24</v>
      </c>
      <c r="I19" s="7">
        <v>1000</v>
      </c>
      <c r="J19" s="14">
        <v>1102</v>
      </c>
      <c r="K19" s="15">
        <f>L19</f>
        <v>1102</v>
      </c>
      <c r="L19" s="15">
        <f>1102</f>
        <v>1102</v>
      </c>
      <c r="M19" s="15">
        <f t="shared" si="1"/>
        <v>1102</v>
      </c>
      <c r="N19" s="15">
        <v>0</v>
      </c>
      <c r="O19" s="58">
        <f t="shared" si="2"/>
        <v>0</v>
      </c>
      <c r="P19" s="39">
        <f t="shared" si="3"/>
        <v>6</v>
      </c>
      <c r="Q19" s="40">
        <f t="shared" si="4"/>
        <v>18</v>
      </c>
      <c r="R19" s="7"/>
      <c r="S19" s="6"/>
      <c r="T19" s="16"/>
      <c r="U19" s="16"/>
      <c r="V19" s="17"/>
      <c r="W19" s="5">
        <v>18</v>
      </c>
      <c r="X19" s="16"/>
      <c r="Y19" s="16"/>
      <c r="Z19" s="16"/>
      <c r="AA19" s="18"/>
      <c r="AB19" s="8">
        <f t="shared" si="5"/>
        <v>1</v>
      </c>
      <c r="AC19" s="9">
        <f t="shared" si="6"/>
        <v>0.25</v>
      </c>
      <c r="AD19" s="10">
        <f t="shared" si="7"/>
        <v>0.25</v>
      </c>
      <c r="AE19" s="36">
        <f t="shared" si="8"/>
        <v>0.51111111111111107</v>
      </c>
      <c r="AF19" s="87">
        <f t="shared" si="9"/>
        <v>13</v>
      </c>
    </row>
    <row r="20" spans="1:32" ht="27" customHeight="1">
      <c r="A20" s="103">
        <v>13</v>
      </c>
      <c r="B20" s="11" t="s">
        <v>57</v>
      </c>
      <c r="C20" s="11" t="s">
        <v>114</v>
      </c>
      <c r="D20" s="52" t="s">
        <v>117</v>
      </c>
      <c r="E20" s="53" t="s">
        <v>530</v>
      </c>
      <c r="F20" s="30" t="s">
        <v>123</v>
      </c>
      <c r="G20" s="33">
        <v>1</v>
      </c>
      <c r="H20" s="35">
        <v>24</v>
      </c>
      <c r="I20" s="7">
        <v>300</v>
      </c>
      <c r="J20" s="14">
        <v>589</v>
      </c>
      <c r="K20" s="15">
        <f>L20</f>
        <v>589</v>
      </c>
      <c r="L20" s="15">
        <f>589</f>
        <v>589</v>
      </c>
      <c r="M20" s="15">
        <f t="shared" ref="M20" si="19">L20-N20</f>
        <v>589</v>
      </c>
      <c r="N20" s="15">
        <v>0</v>
      </c>
      <c r="O20" s="58">
        <f t="shared" ref="O20" si="20">IF(L20=0,"0",N20/L20)</f>
        <v>0</v>
      </c>
      <c r="P20" s="39">
        <f t="shared" ref="P20" si="21">IF(L20=0,"0",(24-Q20))</f>
        <v>10</v>
      </c>
      <c r="Q20" s="40">
        <f t="shared" ref="Q20" si="22">SUM(R20:AA20)</f>
        <v>14</v>
      </c>
      <c r="R20" s="7"/>
      <c r="S20" s="6"/>
      <c r="T20" s="16">
        <v>8</v>
      </c>
      <c r="U20" s="16"/>
      <c r="V20" s="17"/>
      <c r="W20" s="5">
        <v>6</v>
      </c>
      <c r="X20" s="16"/>
      <c r="Y20" s="16"/>
      <c r="Z20" s="16"/>
      <c r="AA20" s="18"/>
      <c r="AB20" s="8">
        <f t="shared" ref="AB20" si="23">IF(J20=0,"0",(L20/J20))</f>
        <v>1</v>
      </c>
      <c r="AC20" s="9">
        <f t="shared" ref="AC20" si="24">IF(P20=0,"0",(P20/24))</f>
        <v>0.41666666666666669</v>
      </c>
      <c r="AD20" s="10">
        <f t="shared" ref="AD20" si="25">AC20*AB20*(1-O20)</f>
        <v>0.41666666666666669</v>
      </c>
      <c r="AE20" s="36">
        <f t="shared" si="8"/>
        <v>0.51111111111111107</v>
      </c>
      <c r="AF20" s="87">
        <f t="shared" ref="AF20" si="26">A20</f>
        <v>13</v>
      </c>
    </row>
    <row r="21" spans="1:32" ht="27" customHeight="1">
      <c r="A21" s="103">
        <v>14</v>
      </c>
      <c r="B21" s="11" t="s">
        <v>57</v>
      </c>
      <c r="C21" s="11" t="s">
        <v>124</v>
      </c>
      <c r="D21" s="52" t="s">
        <v>117</v>
      </c>
      <c r="E21" s="53" t="s">
        <v>160</v>
      </c>
      <c r="F21" s="30" t="s">
        <v>151</v>
      </c>
      <c r="G21" s="33">
        <v>1</v>
      </c>
      <c r="H21" s="35">
        <v>24</v>
      </c>
      <c r="I21" s="7">
        <v>8000</v>
      </c>
      <c r="J21" s="14">
        <v>4604</v>
      </c>
      <c r="K21" s="15">
        <f>L21+3114+4726</f>
        <v>12444</v>
      </c>
      <c r="L21" s="15">
        <f>2224+2380</f>
        <v>4604</v>
      </c>
      <c r="M21" s="15">
        <f t="shared" si="1"/>
        <v>4604</v>
      </c>
      <c r="N21" s="15">
        <v>0</v>
      </c>
      <c r="O21" s="58">
        <f t="shared" si="2"/>
        <v>0</v>
      </c>
      <c r="P21" s="39">
        <f t="shared" si="3"/>
        <v>24</v>
      </c>
      <c r="Q21" s="40">
        <f t="shared" si="4"/>
        <v>0</v>
      </c>
      <c r="R21" s="7"/>
      <c r="S21" s="6"/>
      <c r="T21" s="16"/>
      <c r="U21" s="16"/>
      <c r="V21" s="17"/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1</v>
      </c>
      <c r="AD21" s="10">
        <f t="shared" si="7"/>
        <v>1</v>
      </c>
      <c r="AE21" s="36">
        <f t="shared" si="8"/>
        <v>0.51111111111111107</v>
      </c>
      <c r="AF21" s="87">
        <f t="shared" si="9"/>
        <v>14</v>
      </c>
    </row>
    <row r="22" spans="1:32" ht="27" customHeight="1" thickBot="1">
      <c r="A22" s="103">
        <v>15</v>
      </c>
      <c r="B22" s="11" t="s">
        <v>57</v>
      </c>
      <c r="C22" s="11" t="s">
        <v>115</v>
      </c>
      <c r="D22" s="52"/>
      <c r="E22" s="53" t="s">
        <v>260</v>
      </c>
      <c r="F22" s="12" t="s">
        <v>116</v>
      </c>
      <c r="G22" s="12">
        <v>4</v>
      </c>
      <c r="H22" s="35">
        <v>20</v>
      </c>
      <c r="I22" s="7">
        <v>500000</v>
      </c>
      <c r="J22" s="14">
        <v>44316</v>
      </c>
      <c r="K22" s="15">
        <f>L22+16528+39012</f>
        <v>99856</v>
      </c>
      <c r="L22" s="15">
        <f>11079*4</f>
        <v>44316</v>
      </c>
      <c r="M22" s="15">
        <f t="shared" si="1"/>
        <v>44316</v>
      </c>
      <c r="N22" s="15">
        <v>0</v>
      </c>
      <c r="O22" s="58">
        <f t="shared" si="2"/>
        <v>0</v>
      </c>
      <c r="P22" s="39">
        <f t="shared" si="3"/>
        <v>12</v>
      </c>
      <c r="Q22" s="40">
        <f t="shared" si="4"/>
        <v>12</v>
      </c>
      <c r="R22" s="7"/>
      <c r="S22" s="6"/>
      <c r="T22" s="16"/>
      <c r="U22" s="16"/>
      <c r="V22" s="17">
        <v>12</v>
      </c>
      <c r="W22" s="5"/>
      <c r="X22" s="16"/>
      <c r="Y22" s="16"/>
      <c r="Z22" s="16"/>
      <c r="AA22" s="18"/>
      <c r="AB22" s="8">
        <f t="shared" si="5"/>
        <v>1</v>
      </c>
      <c r="AC22" s="9">
        <f t="shared" si="6"/>
        <v>0.5</v>
      </c>
      <c r="AD22" s="10">
        <f t="shared" si="7"/>
        <v>0.5</v>
      </c>
      <c r="AE22" s="36">
        <f t="shared" si="8"/>
        <v>0.51111111111111107</v>
      </c>
      <c r="AF22" s="87">
        <f t="shared" si="9"/>
        <v>15</v>
      </c>
    </row>
    <row r="23" spans="1:32" ht="31.5" customHeight="1" thickBot="1">
      <c r="A23" s="504" t="s">
        <v>34</v>
      </c>
      <c r="B23" s="505"/>
      <c r="C23" s="505"/>
      <c r="D23" s="505"/>
      <c r="E23" s="505"/>
      <c r="F23" s="505"/>
      <c r="G23" s="505"/>
      <c r="H23" s="506"/>
      <c r="I23" s="22">
        <f t="shared" ref="I23:N23" si="27">SUM(I6:I22)</f>
        <v>788600</v>
      </c>
      <c r="J23" s="19">
        <f t="shared" si="27"/>
        <v>95395</v>
      </c>
      <c r="K23" s="20">
        <f t="shared" si="27"/>
        <v>272047</v>
      </c>
      <c r="L23" s="21">
        <f t="shared" si="27"/>
        <v>91336</v>
      </c>
      <c r="M23" s="20">
        <f t="shared" si="27"/>
        <v>91336</v>
      </c>
      <c r="N23" s="21">
        <f t="shared" si="27"/>
        <v>0</v>
      </c>
      <c r="O23" s="41">
        <f t="shared" si="2"/>
        <v>0</v>
      </c>
      <c r="P23" s="42">
        <f t="shared" ref="P23:AA23" si="28">SUM(P6:P22)</f>
        <v>184</v>
      </c>
      <c r="Q23" s="43">
        <f t="shared" si="28"/>
        <v>224</v>
      </c>
      <c r="R23" s="23">
        <f t="shared" si="28"/>
        <v>24</v>
      </c>
      <c r="S23" s="24">
        <f t="shared" si="28"/>
        <v>80</v>
      </c>
      <c r="T23" s="24">
        <f t="shared" si="28"/>
        <v>26</v>
      </c>
      <c r="U23" s="24">
        <f t="shared" si="28"/>
        <v>0</v>
      </c>
      <c r="V23" s="25">
        <f t="shared" si="28"/>
        <v>36</v>
      </c>
      <c r="W23" s="26">
        <f t="shared" si="28"/>
        <v>58</v>
      </c>
      <c r="X23" s="27">
        <f t="shared" si="28"/>
        <v>0</v>
      </c>
      <c r="Y23" s="27">
        <f t="shared" si="28"/>
        <v>0</v>
      </c>
      <c r="Z23" s="27">
        <f t="shared" si="28"/>
        <v>0</v>
      </c>
      <c r="AA23" s="27">
        <f t="shared" si="28"/>
        <v>0</v>
      </c>
      <c r="AB23" s="28">
        <f>SUM(AB6:AB22)/15</f>
        <v>0.8666666666666667</v>
      </c>
      <c r="AC23" s="4">
        <f>SUM(AC6:AC22)/15</f>
        <v>0.51111111111111107</v>
      </c>
      <c r="AD23" s="4">
        <f>SUM(AD6:AD22)/15</f>
        <v>0.51111111111111107</v>
      </c>
      <c r="AE23" s="29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1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88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27">
      <c r="A40" s="59"/>
      <c r="B40" s="59"/>
      <c r="C40" s="59"/>
      <c r="D40" s="59"/>
      <c r="E40" s="59"/>
      <c r="F40" s="37"/>
      <c r="G40" s="37"/>
      <c r="H40" s="38"/>
      <c r="I40" s="38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F40" s="50"/>
    </row>
    <row r="41" spans="1:32" ht="29.25" customHeight="1">
      <c r="A41" s="60"/>
      <c r="B41" s="60"/>
      <c r="C41" s="61"/>
      <c r="D41" s="61"/>
      <c r="E41" s="61"/>
      <c r="F41" s="60"/>
      <c r="G41" s="60"/>
      <c r="H41" s="60"/>
      <c r="I41" s="60"/>
      <c r="J41" s="60"/>
      <c r="K41" s="60"/>
      <c r="L41" s="60"/>
      <c r="M41" s="61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36" thickBot="1">
      <c r="A50" s="507" t="s">
        <v>45</v>
      </c>
      <c r="B50" s="507"/>
      <c r="C50" s="507"/>
      <c r="D50" s="507"/>
      <c r="E50" s="507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26.25" thickBot="1">
      <c r="A51" s="508" t="s">
        <v>531</v>
      </c>
      <c r="B51" s="509"/>
      <c r="C51" s="509"/>
      <c r="D51" s="509"/>
      <c r="E51" s="509"/>
      <c r="F51" s="509"/>
      <c r="G51" s="509"/>
      <c r="H51" s="509"/>
      <c r="I51" s="509"/>
      <c r="J51" s="509"/>
      <c r="K51" s="509"/>
      <c r="L51" s="509"/>
      <c r="M51" s="510"/>
      <c r="N51" s="511" t="s">
        <v>548</v>
      </c>
      <c r="O51" s="512"/>
      <c r="P51" s="512"/>
      <c r="Q51" s="512"/>
      <c r="R51" s="512"/>
      <c r="S51" s="512"/>
      <c r="T51" s="512"/>
      <c r="U51" s="512"/>
      <c r="V51" s="512"/>
      <c r="W51" s="512"/>
      <c r="X51" s="512"/>
      <c r="Y51" s="512"/>
      <c r="Z51" s="512"/>
      <c r="AA51" s="512"/>
      <c r="AB51" s="512"/>
      <c r="AC51" s="512"/>
      <c r="AD51" s="513"/>
    </row>
    <row r="52" spans="1:32" ht="27" customHeight="1">
      <c r="A52" s="514" t="s">
        <v>2</v>
      </c>
      <c r="B52" s="515"/>
      <c r="C52" s="339" t="s">
        <v>46</v>
      </c>
      <c r="D52" s="339" t="s">
        <v>47</v>
      </c>
      <c r="E52" s="339" t="s">
        <v>108</v>
      </c>
      <c r="F52" s="515" t="s">
        <v>107</v>
      </c>
      <c r="G52" s="515"/>
      <c r="H52" s="515"/>
      <c r="I52" s="515"/>
      <c r="J52" s="515"/>
      <c r="K52" s="515"/>
      <c r="L52" s="515"/>
      <c r="M52" s="516"/>
      <c r="N52" s="67" t="s">
        <v>112</v>
      </c>
      <c r="O52" s="339" t="s">
        <v>46</v>
      </c>
      <c r="P52" s="517" t="s">
        <v>47</v>
      </c>
      <c r="Q52" s="518"/>
      <c r="R52" s="517" t="s">
        <v>38</v>
      </c>
      <c r="S52" s="519"/>
      <c r="T52" s="519"/>
      <c r="U52" s="518"/>
      <c r="V52" s="517" t="s">
        <v>48</v>
      </c>
      <c r="W52" s="519"/>
      <c r="X52" s="519"/>
      <c r="Y52" s="519"/>
      <c r="Z52" s="519"/>
      <c r="AA52" s="519"/>
      <c r="AB52" s="519"/>
      <c r="AC52" s="519"/>
      <c r="AD52" s="520"/>
    </row>
    <row r="53" spans="1:32" ht="27" customHeight="1">
      <c r="A53" s="485" t="s">
        <v>124</v>
      </c>
      <c r="B53" s="486"/>
      <c r="C53" s="341" t="s">
        <v>144</v>
      </c>
      <c r="D53" s="341" t="s">
        <v>136</v>
      </c>
      <c r="E53" s="341" t="s">
        <v>293</v>
      </c>
      <c r="F53" s="487" t="s">
        <v>382</v>
      </c>
      <c r="G53" s="488"/>
      <c r="H53" s="488"/>
      <c r="I53" s="488"/>
      <c r="J53" s="488"/>
      <c r="K53" s="488"/>
      <c r="L53" s="488"/>
      <c r="M53" s="489"/>
      <c r="N53" s="340" t="s">
        <v>114</v>
      </c>
      <c r="O53" s="345" t="s">
        <v>144</v>
      </c>
      <c r="P53" s="499" t="s">
        <v>401</v>
      </c>
      <c r="Q53" s="500"/>
      <c r="R53" s="486" t="s">
        <v>549</v>
      </c>
      <c r="S53" s="486"/>
      <c r="T53" s="486"/>
      <c r="U53" s="486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130</v>
      </c>
      <c r="B54" s="486"/>
      <c r="C54" s="341" t="s">
        <v>262</v>
      </c>
      <c r="D54" s="341" t="s">
        <v>117</v>
      </c>
      <c r="E54" s="341" t="s">
        <v>481</v>
      </c>
      <c r="F54" s="487" t="s">
        <v>510</v>
      </c>
      <c r="G54" s="488"/>
      <c r="H54" s="488"/>
      <c r="I54" s="488"/>
      <c r="J54" s="488"/>
      <c r="K54" s="488"/>
      <c r="L54" s="488"/>
      <c r="M54" s="489"/>
      <c r="N54" s="340" t="s">
        <v>209</v>
      </c>
      <c r="O54" s="345" t="s">
        <v>128</v>
      </c>
      <c r="P54" s="499" t="s">
        <v>226</v>
      </c>
      <c r="Q54" s="500"/>
      <c r="R54" s="486" t="s">
        <v>487</v>
      </c>
      <c r="S54" s="486"/>
      <c r="T54" s="486"/>
      <c r="U54" s="486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209</v>
      </c>
      <c r="B55" s="486"/>
      <c r="C55" s="341" t="s">
        <v>128</v>
      </c>
      <c r="D55" s="341"/>
      <c r="E55" s="341" t="s">
        <v>487</v>
      </c>
      <c r="F55" s="487" t="s">
        <v>532</v>
      </c>
      <c r="G55" s="488"/>
      <c r="H55" s="488"/>
      <c r="I55" s="488"/>
      <c r="J55" s="488"/>
      <c r="K55" s="488"/>
      <c r="L55" s="488"/>
      <c r="M55" s="489"/>
      <c r="N55" s="350" t="s">
        <v>130</v>
      </c>
      <c r="O55" s="349" t="s">
        <v>262</v>
      </c>
      <c r="P55" s="499" t="s">
        <v>122</v>
      </c>
      <c r="Q55" s="500"/>
      <c r="R55" s="499" t="s">
        <v>481</v>
      </c>
      <c r="S55" s="501"/>
      <c r="T55" s="501"/>
      <c r="U55" s="500"/>
      <c r="V55" s="476" t="s">
        <v>204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534</v>
      </c>
      <c r="B56" s="486"/>
      <c r="C56" s="341" t="s">
        <v>535</v>
      </c>
      <c r="D56" s="341" t="s">
        <v>117</v>
      </c>
      <c r="E56" s="341" t="s">
        <v>533</v>
      </c>
      <c r="F56" s="487" t="s">
        <v>312</v>
      </c>
      <c r="G56" s="488"/>
      <c r="H56" s="488"/>
      <c r="I56" s="488"/>
      <c r="J56" s="488"/>
      <c r="K56" s="488"/>
      <c r="L56" s="488"/>
      <c r="M56" s="489"/>
      <c r="N56" s="350" t="s">
        <v>130</v>
      </c>
      <c r="O56" s="349" t="s">
        <v>178</v>
      </c>
      <c r="P56" s="499" t="s">
        <v>117</v>
      </c>
      <c r="Q56" s="500"/>
      <c r="R56" s="499" t="s">
        <v>478</v>
      </c>
      <c r="S56" s="501"/>
      <c r="T56" s="501"/>
      <c r="U56" s="500"/>
      <c r="V56" s="476" t="s">
        <v>204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130</v>
      </c>
      <c r="B57" s="486"/>
      <c r="C57" s="341" t="s">
        <v>538</v>
      </c>
      <c r="D57" s="341" t="s">
        <v>117</v>
      </c>
      <c r="E57" s="341" t="s">
        <v>536</v>
      </c>
      <c r="F57" s="487" t="s">
        <v>537</v>
      </c>
      <c r="G57" s="488"/>
      <c r="H57" s="488"/>
      <c r="I57" s="488"/>
      <c r="J57" s="488"/>
      <c r="K57" s="488"/>
      <c r="L57" s="488"/>
      <c r="M57" s="489"/>
      <c r="N57" s="340" t="s">
        <v>114</v>
      </c>
      <c r="O57" s="345" t="s">
        <v>544</v>
      </c>
      <c r="P57" s="499" t="s">
        <v>122</v>
      </c>
      <c r="Q57" s="500"/>
      <c r="R57" s="499" t="s">
        <v>550</v>
      </c>
      <c r="S57" s="501"/>
      <c r="T57" s="501"/>
      <c r="U57" s="500"/>
      <c r="V57" s="476" t="s">
        <v>120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534</v>
      </c>
      <c r="B58" s="486"/>
      <c r="C58" s="341" t="s">
        <v>542</v>
      </c>
      <c r="D58" s="341" t="s">
        <v>543</v>
      </c>
      <c r="E58" s="341" t="s">
        <v>539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340"/>
      <c r="O58" s="34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534</v>
      </c>
      <c r="B59" s="486"/>
      <c r="C59" s="341" t="s">
        <v>544</v>
      </c>
      <c r="D59" s="341" t="s">
        <v>545</v>
      </c>
      <c r="E59" s="341" t="s">
        <v>540</v>
      </c>
      <c r="F59" s="487" t="s">
        <v>120</v>
      </c>
      <c r="G59" s="488"/>
      <c r="H59" s="488"/>
      <c r="I59" s="488"/>
      <c r="J59" s="488"/>
      <c r="K59" s="488"/>
      <c r="L59" s="488"/>
      <c r="M59" s="489"/>
      <c r="N59" s="340"/>
      <c r="O59" s="345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534</v>
      </c>
      <c r="B60" s="486"/>
      <c r="C60" s="341" t="s">
        <v>544</v>
      </c>
      <c r="D60" s="341" t="s">
        <v>117</v>
      </c>
      <c r="E60" s="341" t="s">
        <v>541</v>
      </c>
      <c r="F60" s="487" t="s">
        <v>120</v>
      </c>
      <c r="G60" s="488"/>
      <c r="H60" s="488"/>
      <c r="I60" s="488"/>
      <c r="J60" s="488"/>
      <c r="K60" s="488"/>
      <c r="L60" s="488"/>
      <c r="M60" s="489"/>
      <c r="N60" s="340"/>
      <c r="O60" s="345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 t="s">
        <v>534</v>
      </c>
      <c r="B61" s="486"/>
      <c r="C61" s="341" t="s">
        <v>546</v>
      </c>
      <c r="D61" s="341" t="s">
        <v>547</v>
      </c>
      <c r="E61" s="341" t="s">
        <v>528</v>
      </c>
      <c r="F61" s="487" t="s">
        <v>120</v>
      </c>
      <c r="G61" s="488"/>
      <c r="H61" s="488"/>
      <c r="I61" s="488"/>
      <c r="J61" s="488"/>
      <c r="K61" s="488"/>
      <c r="L61" s="488"/>
      <c r="M61" s="489"/>
      <c r="N61" s="340"/>
      <c r="O61" s="345"/>
      <c r="P61" s="486"/>
      <c r="Q61" s="486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  <c r="AF61" s="87">
        <f>8*3000</f>
        <v>24000</v>
      </c>
    </row>
    <row r="62" spans="1:32" ht="27" customHeight="1" thickBot="1">
      <c r="A62" s="491"/>
      <c r="B62" s="492"/>
      <c r="C62" s="342"/>
      <c r="D62" s="342"/>
      <c r="E62" s="342"/>
      <c r="F62" s="493"/>
      <c r="G62" s="494"/>
      <c r="H62" s="494"/>
      <c r="I62" s="494"/>
      <c r="J62" s="494"/>
      <c r="K62" s="494"/>
      <c r="L62" s="494"/>
      <c r="M62" s="495"/>
      <c r="N62" s="124"/>
      <c r="O62" s="114"/>
      <c r="P62" s="496"/>
      <c r="Q62" s="496"/>
      <c r="R62" s="496"/>
      <c r="S62" s="496"/>
      <c r="T62" s="496"/>
      <c r="U62" s="496"/>
      <c r="V62" s="497"/>
      <c r="W62" s="497"/>
      <c r="X62" s="497"/>
      <c r="Y62" s="497"/>
      <c r="Z62" s="497"/>
      <c r="AA62" s="497"/>
      <c r="AB62" s="497"/>
      <c r="AC62" s="497"/>
      <c r="AD62" s="498"/>
      <c r="AF62" s="87">
        <f>16*3000</f>
        <v>48000</v>
      </c>
    </row>
    <row r="63" spans="1:32" ht="27.75" thickBot="1">
      <c r="A63" s="483" t="s">
        <v>551</v>
      </c>
      <c r="B63" s="483"/>
      <c r="C63" s="483"/>
      <c r="D63" s="483"/>
      <c r="E63" s="483"/>
      <c r="F63" s="37"/>
      <c r="G63" s="37"/>
      <c r="H63" s="38"/>
      <c r="I63" s="38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F63" s="87">
        <v>24000</v>
      </c>
    </row>
    <row r="64" spans="1:32" ht="29.25" customHeight="1" thickBot="1">
      <c r="A64" s="484" t="s">
        <v>113</v>
      </c>
      <c r="B64" s="481"/>
      <c r="C64" s="343" t="s">
        <v>2</v>
      </c>
      <c r="D64" s="343" t="s">
        <v>37</v>
      </c>
      <c r="E64" s="343" t="s">
        <v>3</v>
      </c>
      <c r="F64" s="481" t="s">
        <v>110</v>
      </c>
      <c r="G64" s="481"/>
      <c r="H64" s="481"/>
      <c r="I64" s="481"/>
      <c r="J64" s="481"/>
      <c r="K64" s="481" t="s">
        <v>39</v>
      </c>
      <c r="L64" s="481"/>
      <c r="M64" s="343" t="s">
        <v>40</v>
      </c>
      <c r="N64" s="481" t="s">
        <v>41</v>
      </c>
      <c r="O64" s="481"/>
      <c r="P64" s="478" t="s">
        <v>42</v>
      </c>
      <c r="Q64" s="480"/>
      <c r="R64" s="478" t="s">
        <v>43</v>
      </c>
      <c r="S64" s="479"/>
      <c r="T64" s="479"/>
      <c r="U64" s="479"/>
      <c r="V64" s="479"/>
      <c r="W64" s="479"/>
      <c r="X64" s="479"/>
      <c r="Y64" s="479"/>
      <c r="Z64" s="479"/>
      <c r="AA64" s="480"/>
      <c r="AB64" s="481" t="s">
        <v>44</v>
      </c>
      <c r="AC64" s="481"/>
      <c r="AD64" s="482"/>
      <c r="AF64" s="87">
        <f>SUM(AF61:AF63)</f>
        <v>96000</v>
      </c>
    </row>
    <row r="65" spans="1:32" ht="25.5" customHeight="1">
      <c r="A65" s="472">
        <v>1</v>
      </c>
      <c r="B65" s="473"/>
      <c r="C65" s="117" t="s">
        <v>124</v>
      </c>
      <c r="D65" s="360"/>
      <c r="E65" s="357" t="s">
        <v>117</v>
      </c>
      <c r="F65" s="474" t="s">
        <v>404</v>
      </c>
      <c r="G65" s="466"/>
      <c r="H65" s="466"/>
      <c r="I65" s="466"/>
      <c r="J65" s="466"/>
      <c r="K65" s="466" t="s">
        <v>150</v>
      </c>
      <c r="L65" s="466"/>
      <c r="M65" s="51" t="s">
        <v>216</v>
      </c>
      <c r="N65" s="477" t="s">
        <v>178</v>
      </c>
      <c r="O65" s="477"/>
      <c r="P65" s="475">
        <v>50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2</v>
      </c>
      <c r="B66" s="473"/>
      <c r="C66" s="117" t="s">
        <v>124</v>
      </c>
      <c r="D66" s="360"/>
      <c r="E66" s="357" t="s">
        <v>117</v>
      </c>
      <c r="F66" s="474" t="s">
        <v>552</v>
      </c>
      <c r="G66" s="466"/>
      <c r="H66" s="466"/>
      <c r="I66" s="466"/>
      <c r="J66" s="466"/>
      <c r="K66" s="466" t="s">
        <v>150</v>
      </c>
      <c r="L66" s="466"/>
      <c r="M66" s="51" t="s">
        <v>216</v>
      </c>
      <c r="N66" s="477" t="s">
        <v>178</v>
      </c>
      <c r="O66" s="477"/>
      <c r="P66" s="475">
        <v>50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3</v>
      </c>
      <c r="B67" s="473"/>
      <c r="C67" s="117" t="s">
        <v>124</v>
      </c>
      <c r="D67" s="360"/>
      <c r="E67" s="357" t="s">
        <v>553</v>
      </c>
      <c r="F67" s="474" t="s">
        <v>554</v>
      </c>
      <c r="G67" s="466"/>
      <c r="H67" s="466"/>
      <c r="I67" s="466"/>
      <c r="J67" s="466"/>
      <c r="K67" s="466" t="s">
        <v>274</v>
      </c>
      <c r="L67" s="466"/>
      <c r="M67" s="51" t="s">
        <v>216</v>
      </c>
      <c r="N67" s="477" t="s">
        <v>178</v>
      </c>
      <c r="O67" s="477"/>
      <c r="P67" s="475">
        <v>50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4</v>
      </c>
      <c r="B68" s="473"/>
      <c r="C68" s="117"/>
      <c r="D68" s="347"/>
      <c r="E68" s="344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5</v>
      </c>
      <c r="B69" s="473"/>
      <c r="C69" s="117"/>
      <c r="D69" s="347"/>
      <c r="E69" s="344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6</v>
      </c>
      <c r="B70" s="473"/>
      <c r="C70" s="117"/>
      <c r="D70" s="347"/>
      <c r="E70" s="344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7</v>
      </c>
      <c r="B71" s="473"/>
      <c r="C71" s="117"/>
      <c r="D71" s="347"/>
      <c r="E71" s="344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8</v>
      </c>
      <c r="B72" s="473"/>
      <c r="C72" s="117"/>
      <c r="D72" s="347"/>
      <c r="E72" s="344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6.25" customHeight="1" thickBot="1">
      <c r="A73" s="446" t="s">
        <v>555</v>
      </c>
      <c r="B73" s="446"/>
      <c r="C73" s="446"/>
      <c r="D73" s="446"/>
      <c r="E73" s="446"/>
      <c r="F73" s="37"/>
      <c r="G73" s="37"/>
      <c r="H73" s="38"/>
      <c r="I73" s="38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F73" s="50"/>
    </row>
    <row r="74" spans="1:32" ht="23.25" thickBot="1">
      <c r="A74" s="447" t="s">
        <v>113</v>
      </c>
      <c r="B74" s="448"/>
      <c r="C74" s="346" t="s">
        <v>2</v>
      </c>
      <c r="D74" s="346" t="s">
        <v>37</v>
      </c>
      <c r="E74" s="346" t="s">
        <v>3</v>
      </c>
      <c r="F74" s="448" t="s">
        <v>38</v>
      </c>
      <c r="G74" s="448"/>
      <c r="H74" s="448"/>
      <c r="I74" s="448"/>
      <c r="J74" s="448"/>
      <c r="K74" s="468" t="s">
        <v>58</v>
      </c>
      <c r="L74" s="469"/>
      <c r="M74" s="469"/>
      <c r="N74" s="469"/>
      <c r="O74" s="469"/>
      <c r="P74" s="469"/>
      <c r="Q74" s="469"/>
      <c r="R74" s="469"/>
      <c r="S74" s="470"/>
      <c r="T74" s="448" t="s">
        <v>49</v>
      </c>
      <c r="U74" s="448"/>
      <c r="V74" s="468" t="s">
        <v>50</v>
      </c>
      <c r="W74" s="470"/>
      <c r="X74" s="469" t="s">
        <v>51</v>
      </c>
      <c r="Y74" s="469"/>
      <c r="Z74" s="469"/>
      <c r="AA74" s="469"/>
      <c r="AB74" s="469"/>
      <c r="AC74" s="469"/>
      <c r="AD74" s="471"/>
      <c r="AF74" s="50"/>
    </row>
    <row r="75" spans="1:32" ht="33.75" customHeight="1">
      <c r="A75" s="440">
        <v>1</v>
      </c>
      <c r="B75" s="441"/>
      <c r="C75" s="348" t="s">
        <v>114</v>
      </c>
      <c r="D75" s="348"/>
      <c r="E75" s="65" t="s">
        <v>119</v>
      </c>
      <c r="F75" s="455" t="s">
        <v>118</v>
      </c>
      <c r="G75" s="456"/>
      <c r="H75" s="456"/>
      <c r="I75" s="456"/>
      <c r="J75" s="457"/>
      <c r="K75" s="458" t="s">
        <v>133</v>
      </c>
      <c r="L75" s="459"/>
      <c r="M75" s="459"/>
      <c r="N75" s="459"/>
      <c r="O75" s="459"/>
      <c r="P75" s="459"/>
      <c r="Q75" s="459"/>
      <c r="R75" s="459"/>
      <c r="S75" s="460"/>
      <c r="T75" s="461">
        <v>43675</v>
      </c>
      <c r="U75" s="462"/>
      <c r="V75" s="463"/>
      <c r="W75" s="463"/>
      <c r="X75" s="464"/>
      <c r="Y75" s="464"/>
      <c r="Z75" s="464"/>
      <c r="AA75" s="464"/>
      <c r="AB75" s="464"/>
      <c r="AC75" s="464"/>
      <c r="AD75" s="465"/>
      <c r="AF75" s="50"/>
    </row>
    <row r="76" spans="1:32" ht="30" customHeight="1">
      <c r="A76" s="433">
        <f>A75+1</f>
        <v>2</v>
      </c>
      <c r="B76" s="434"/>
      <c r="C76" s="347"/>
      <c r="D76" s="347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ref="A77:A83" si="29">A76+1</f>
        <v>3</v>
      </c>
      <c r="B77" s="434"/>
      <c r="C77" s="347"/>
      <c r="D77" s="347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9"/>
        <v>4</v>
      </c>
      <c r="B78" s="434"/>
      <c r="C78" s="347"/>
      <c r="D78" s="347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9"/>
        <v>5</v>
      </c>
      <c r="B79" s="434"/>
      <c r="C79" s="347"/>
      <c r="D79" s="347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9"/>
        <v>6</v>
      </c>
      <c r="B80" s="434"/>
      <c r="C80" s="347"/>
      <c r="D80" s="347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9"/>
        <v>7</v>
      </c>
      <c r="B81" s="434"/>
      <c r="C81" s="347"/>
      <c r="D81" s="347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9"/>
        <v>8</v>
      </c>
      <c r="B82" s="434"/>
      <c r="C82" s="347"/>
      <c r="D82" s="347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29"/>
        <v>9</v>
      </c>
      <c r="B83" s="434"/>
      <c r="C83" s="347"/>
      <c r="D83" s="347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6" thickBot="1">
      <c r="A84" s="446" t="s">
        <v>556</v>
      </c>
      <c r="B84" s="446"/>
      <c r="C84" s="446"/>
      <c r="D84" s="446"/>
      <c r="E84" s="446"/>
      <c r="F84" s="37"/>
      <c r="G84" s="37"/>
      <c r="H84" s="38"/>
      <c r="I84" s="38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F84" s="50"/>
    </row>
    <row r="85" spans="1:32" ht="30.75" customHeight="1" thickBot="1">
      <c r="A85" s="447" t="s">
        <v>113</v>
      </c>
      <c r="B85" s="448"/>
      <c r="C85" s="438" t="s">
        <v>52</v>
      </c>
      <c r="D85" s="438"/>
      <c r="E85" s="438" t="s">
        <v>53</v>
      </c>
      <c r="F85" s="438"/>
      <c r="G85" s="438"/>
      <c r="H85" s="438"/>
      <c r="I85" s="438"/>
      <c r="J85" s="438"/>
      <c r="K85" s="438" t="s">
        <v>54</v>
      </c>
      <c r="L85" s="438"/>
      <c r="M85" s="438"/>
      <c r="N85" s="438"/>
      <c r="O85" s="438"/>
      <c r="P85" s="438"/>
      <c r="Q85" s="438"/>
      <c r="R85" s="438"/>
      <c r="S85" s="438"/>
      <c r="T85" s="438" t="s">
        <v>55</v>
      </c>
      <c r="U85" s="438"/>
      <c r="V85" s="438" t="s">
        <v>56</v>
      </c>
      <c r="W85" s="438"/>
      <c r="X85" s="438"/>
      <c r="Y85" s="438" t="s">
        <v>51</v>
      </c>
      <c r="Z85" s="438"/>
      <c r="AA85" s="438"/>
      <c r="AB85" s="438"/>
      <c r="AC85" s="438"/>
      <c r="AD85" s="439"/>
      <c r="AF85" s="50"/>
    </row>
    <row r="86" spans="1:32" ht="30.75" customHeight="1">
      <c r="A86" s="440">
        <v>1</v>
      </c>
      <c r="B86" s="441"/>
      <c r="C86" s="442"/>
      <c r="D86" s="442"/>
      <c r="E86" s="442"/>
      <c r="F86" s="442"/>
      <c r="G86" s="442"/>
      <c r="H86" s="442"/>
      <c r="I86" s="442"/>
      <c r="J86" s="442"/>
      <c r="K86" s="442"/>
      <c r="L86" s="442"/>
      <c r="M86" s="442"/>
      <c r="N86" s="442"/>
      <c r="O86" s="442"/>
      <c r="P86" s="442"/>
      <c r="Q86" s="442"/>
      <c r="R86" s="442"/>
      <c r="S86" s="442"/>
      <c r="T86" s="442"/>
      <c r="U86" s="442"/>
      <c r="V86" s="443"/>
      <c r="W86" s="443"/>
      <c r="X86" s="443"/>
      <c r="Y86" s="444"/>
      <c r="Z86" s="444"/>
      <c r="AA86" s="444"/>
      <c r="AB86" s="444"/>
      <c r="AC86" s="444"/>
      <c r="AD86" s="445"/>
      <c r="AF86" s="50"/>
    </row>
    <row r="87" spans="1:32" ht="30.75" customHeight="1">
      <c r="A87" s="433">
        <v>2</v>
      </c>
      <c r="B87" s="434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435"/>
      <c r="R87" s="435"/>
      <c r="S87" s="435"/>
      <c r="T87" s="436"/>
      <c r="U87" s="436"/>
      <c r="V87" s="437"/>
      <c r="W87" s="437"/>
      <c r="X87" s="437"/>
      <c r="Y87" s="426"/>
      <c r="Z87" s="426"/>
      <c r="AA87" s="426"/>
      <c r="AB87" s="426"/>
      <c r="AC87" s="426"/>
      <c r="AD87" s="427"/>
      <c r="AF87" s="50"/>
    </row>
    <row r="88" spans="1:32" ht="30.75" customHeight="1" thickBot="1">
      <c r="A88" s="428">
        <v>3</v>
      </c>
      <c r="B88" s="429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430"/>
      <c r="R88" s="430"/>
      <c r="S88" s="430"/>
      <c r="T88" s="430"/>
      <c r="U88" s="430"/>
      <c r="V88" s="430"/>
      <c r="W88" s="430"/>
      <c r="X88" s="430"/>
      <c r="Y88" s="431"/>
      <c r="Z88" s="431"/>
      <c r="AA88" s="431"/>
      <c r="AB88" s="431"/>
      <c r="AC88" s="431"/>
      <c r="AD88" s="432"/>
      <c r="AF88" s="50"/>
    </row>
  </sheetData>
  <mergeCells count="230"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8" max="29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9C1F-6866-4DA6-B515-CD2110862396}">
  <dimension ref="A1:AF86"/>
  <sheetViews>
    <sheetView topLeftCell="A7" zoomScale="72" zoomScaleNormal="72" zoomScaleSheetLayoutView="70" workbookViewId="0">
      <selection activeCell="C18" sqref="C18:I18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557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51" t="s">
        <v>17</v>
      </c>
      <c r="L5" s="351" t="s">
        <v>18</v>
      </c>
      <c r="M5" s="351" t="s">
        <v>19</v>
      </c>
      <c r="N5" s="35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0.44166666666666665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0.44166666666666665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130</v>
      </c>
      <c r="D8" s="52" t="s">
        <v>122</v>
      </c>
      <c r="E8" s="53" t="s">
        <v>481</v>
      </c>
      <c r="F8" s="30" t="s">
        <v>135</v>
      </c>
      <c r="G8" s="33">
        <v>2</v>
      </c>
      <c r="H8" s="35">
        <v>24</v>
      </c>
      <c r="I8" s="7">
        <v>20000</v>
      </c>
      <c r="J8" s="14">
        <v>2248</v>
      </c>
      <c r="K8" s="15">
        <f>L8+6014</f>
        <v>8262</v>
      </c>
      <c r="L8" s="15">
        <f>1124*2</f>
        <v>2248</v>
      </c>
      <c r="M8" s="15">
        <f t="shared" si="1"/>
        <v>2248</v>
      </c>
      <c r="N8" s="15">
        <v>0</v>
      </c>
      <c r="O8" s="58">
        <f t="shared" si="2"/>
        <v>0</v>
      </c>
      <c r="P8" s="39">
        <f t="shared" si="3"/>
        <v>6</v>
      </c>
      <c r="Q8" s="40">
        <f t="shared" si="4"/>
        <v>18</v>
      </c>
      <c r="R8" s="7"/>
      <c r="S8" s="6">
        <v>18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0.25</v>
      </c>
      <c r="AD8" s="10">
        <f t="shared" si="7"/>
        <v>0.25</v>
      </c>
      <c r="AE8" s="36">
        <f t="shared" si="8"/>
        <v>0.44166666666666665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401</v>
      </c>
      <c r="E9" s="53" t="s">
        <v>421</v>
      </c>
      <c r="F9" s="30" t="s">
        <v>127</v>
      </c>
      <c r="G9" s="33">
        <v>1</v>
      </c>
      <c r="H9" s="35">
        <v>24</v>
      </c>
      <c r="I9" s="7">
        <v>70000</v>
      </c>
      <c r="J9" s="14">
        <v>2021</v>
      </c>
      <c r="K9" s="15">
        <f>L9</f>
        <v>2021</v>
      </c>
      <c r="L9" s="15">
        <f>534+1487</f>
        <v>2021</v>
      </c>
      <c r="M9" s="15">
        <f t="shared" si="1"/>
        <v>2021</v>
      </c>
      <c r="N9" s="15">
        <v>0</v>
      </c>
      <c r="O9" s="58">
        <f t="shared" si="2"/>
        <v>0</v>
      </c>
      <c r="P9" s="39">
        <f t="shared" si="3"/>
        <v>10</v>
      </c>
      <c r="Q9" s="40">
        <f t="shared" si="4"/>
        <v>14</v>
      </c>
      <c r="R9" s="7"/>
      <c r="S9" s="6">
        <v>14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0.41666666666666669</v>
      </c>
      <c r="AD9" s="10">
        <f t="shared" si="7"/>
        <v>0.41666666666666669</v>
      </c>
      <c r="AE9" s="36">
        <f t="shared" si="8"/>
        <v>0.44166666666666665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2209</v>
      </c>
      <c r="K10" s="15">
        <f>L10+3601</f>
        <v>5810</v>
      </c>
      <c r="L10" s="15">
        <f>528+1681</f>
        <v>2209</v>
      </c>
      <c r="M10" s="15">
        <f t="shared" si="1"/>
        <v>2209</v>
      </c>
      <c r="N10" s="15">
        <v>0</v>
      </c>
      <c r="O10" s="58">
        <f t="shared" si="2"/>
        <v>0</v>
      </c>
      <c r="P10" s="39">
        <f t="shared" si="3"/>
        <v>9</v>
      </c>
      <c r="Q10" s="40">
        <f t="shared" si="4"/>
        <v>15</v>
      </c>
      <c r="R10" s="7"/>
      <c r="S10" s="6">
        <v>15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0.375</v>
      </c>
      <c r="AD10" s="10">
        <f>AC10*AB10*(1-O10)</f>
        <v>0.375</v>
      </c>
      <c r="AE10" s="36">
        <f t="shared" si="8"/>
        <v>0.44166666666666665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1357</v>
      </c>
      <c r="K11" s="15">
        <f>L11+4769+871+1725+4157+702</f>
        <v>13581</v>
      </c>
      <c r="L11" s="15">
        <f>530+827</f>
        <v>1357</v>
      </c>
      <c r="M11" s="15">
        <f t="shared" si="1"/>
        <v>1357</v>
      </c>
      <c r="N11" s="15">
        <v>0</v>
      </c>
      <c r="O11" s="58">
        <f t="shared" si="2"/>
        <v>0</v>
      </c>
      <c r="P11" s="39">
        <f t="shared" si="3"/>
        <v>7</v>
      </c>
      <c r="Q11" s="40">
        <f t="shared" si="4"/>
        <v>17</v>
      </c>
      <c r="R11" s="7"/>
      <c r="S11" s="6">
        <v>17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0.29166666666666669</v>
      </c>
      <c r="AD11" s="10">
        <f>AC11*AB11*(1-O11)</f>
        <v>0.29166666666666669</v>
      </c>
      <c r="AE11" s="36">
        <f t="shared" si="8"/>
        <v>0.44166666666666665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419</v>
      </c>
      <c r="F12" s="30" t="s">
        <v>121</v>
      </c>
      <c r="G12" s="33">
        <v>1</v>
      </c>
      <c r="H12" s="35">
        <v>24</v>
      </c>
      <c r="I12" s="7">
        <v>70000</v>
      </c>
      <c r="J12" s="14">
        <v>2361</v>
      </c>
      <c r="K12" s="15">
        <f>L12+1561+2422</f>
        <v>6344</v>
      </c>
      <c r="L12" s="15">
        <f>2361</f>
        <v>2361</v>
      </c>
      <c r="M12" s="15">
        <f t="shared" si="1"/>
        <v>2361</v>
      </c>
      <c r="N12" s="15">
        <v>0</v>
      </c>
      <c r="O12" s="58">
        <f t="shared" si="2"/>
        <v>0</v>
      </c>
      <c r="P12" s="39">
        <f t="shared" si="3"/>
        <v>15</v>
      </c>
      <c r="Q12" s="40">
        <f t="shared" si="4"/>
        <v>9</v>
      </c>
      <c r="R12" s="7"/>
      <c r="S12" s="6">
        <v>9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0.625</v>
      </c>
      <c r="AD12" s="10">
        <f t="shared" ref="AD12" si="10">AC12*AB12*(1-O12)</f>
        <v>0.625</v>
      </c>
      <c r="AE12" s="36">
        <f t="shared" si="8"/>
        <v>0.44166666666666665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478</v>
      </c>
      <c r="F13" s="30" t="s">
        <v>135</v>
      </c>
      <c r="G13" s="33">
        <v>2</v>
      </c>
      <c r="H13" s="35">
        <v>24</v>
      </c>
      <c r="I13" s="7">
        <v>20000</v>
      </c>
      <c r="J13" s="14">
        <v>6738</v>
      </c>
      <c r="K13" s="15">
        <f>L13+9334+1482</f>
        <v>17554</v>
      </c>
      <c r="L13" s="15">
        <f>2061*2+1308*2</f>
        <v>6738</v>
      </c>
      <c r="M13" s="15">
        <f t="shared" si="1"/>
        <v>6738</v>
      </c>
      <c r="N13" s="15">
        <v>0</v>
      </c>
      <c r="O13" s="58">
        <f t="shared" si="2"/>
        <v>0</v>
      </c>
      <c r="P13" s="39">
        <f t="shared" si="3"/>
        <v>20</v>
      </c>
      <c r="Q13" s="40">
        <f t="shared" si="4"/>
        <v>4</v>
      </c>
      <c r="R13" s="7"/>
      <c r="S13" s="6">
        <v>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0.83333333333333337</v>
      </c>
      <c r="AD13" s="10">
        <f t="shared" si="7"/>
        <v>0.83333333333333337</v>
      </c>
      <c r="AE13" s="36">
        <f t="shared" si="8"/>
        <v>0.44166666666666665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0.44166666666666665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209</v>
      </c>
      <c r="D15" s="52" t="s">
        <v>183</v>
      </c>
      <c r="E15" s="53" t="s">
        <v>558</v>
      </c>
      <c r="F15" s="12" t="s">
        <v>221</v>
      </c>
      <c r="G15" s="12">
        <v>1</v>
      </c>
      <c r="H15" s="13">
        <v>24</v>
      </c>
      <c r="I15" s="31">
        <v>3000</v>
      </c>
      <c r="J15" s="14">
        <v>4727</v>
      </c>
      <c r="K15" s="15">
        <f>L15</f>
        <v>4727</v>
      </c>
      <c r="L15" s="15">
        <f>2774+1953</f>
        <v>4727</v>
      </c>
      <c r="M15" s="15">
        <f t="shared" si="1"/>
        <v>4727</v>
      </c>
      <c r="N15" s="15">
        <v>0</v>
      </c>
      <c r="O15" s="58">
        <f t="shared" si="2"/>
        <v>0</v>
      </c>
      <c r="P15" s="39">
        <f t="shared" si="3"/>
        <v>24</v>
      </c>
      <c r="Q15" s="40">
        <f t="shared" si="4"/>
        <v>0</v>
      </c>
      <c r="R15" s="7"/>
      <c r="S15" s="6"/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1</v>
      </c>
      <c r="AD15" s="10">
        <f t="shared" si="7"/>
        <v>1</v>
      </c>
      <c r="AE15" s="36">
        <f t="shared" si="8"/>
        <v>0.44166666666666665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294</v>
      </c>
      <c r="F16" s="30" t="s">
        <v>126</v>
      </c>
      <c r="G16" s="12">
        <v>1</v>
      </c>
      <c r="H16" s="13">
        <v>28</v>
      </c>
      <c r="I16" s="7">
        <v>10000</v>
      </c>
      <c r="J16" s="14">
        <v>4664</v>
      </c>
      <c r="K16" s="15">
        <f>L16+4010</f>
        <v>8674</v>
      </c>
      <c r="L16" s="15">
        <f>2377+2287</f>
        <v>4664</v>
      </c>
      <c r="M16" s="15">
        <f t="shared" si="1"/>
        <v>4664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0.44166666666666665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183</v>
      </c>
      <c r="E17" s="53" t="s">
        <v>523</v>
      </c>
      <c r="F17" s="30" t="s">
        <v>154</v>
      </c>
      <c r="G17" s="33">
        <v>4</v>
      </c>
      <c r="H17" s="35">
        <v>24</v>
      </c>
      <c r="I17" s="7">
        <v>13000</v>
      </c>
      <c r="J17" s="5">
        <v>6728</v>
      </c>
      <c r="K17" s="15">
        <f>L17+11116</f>
        <v>17844</v>
      </c>
      <c r="L17" s="15">
        <f>1682*4</f>
        <v>6728</v>
      </c>
      <c r="M17" s="15">
        <f t="shared" si="1"/>
        <v>6728</v>
      </c>
      <c r="N17" s="15">
        <v>0</v>
      </c>
      <c r="O17" s="58">
        <f t="shared" si="2"/>
        <v>0</v>
      </c>
      <c r="P17" s="39">
        <f t="shared" si="3"/>
        <v>8</v>
      </c>
      <c r="Q17" s="40">
        <f t="shared" si="4"/>
        <v>16</v>
      </c>
      <c r="R17" s="7"/>
      <c r="S17" s="6"/>
      <c r="T17" s="16"/>
      <c r="U17" s="16"/>
      <c r="V17" s="17"/>
      <c r="W17" s="5">
        <v>16</v>
      </c>
      <c r="X17" s="16"/>
      <c r="Y17" s="16"/>
      <c r="Z17" s="16"/>
      <c r="AA17" s="18"/>
      <c r="AB17" s="8">
        <f t="shared" si="5"/>
        <v>1</v>
      </c>
      <c r="AC17" s="9">
        <f t="shared" si="6"/>
        <v>0.33333333333333331</v>
      </c>
      <c r="AD17" s="10">
        <f t="shared" si="7"/>
        <v>0.33333333333333331</v>
      </c>
      <c r="AE17" s="36">
        <f t="shared" si="8"/>
        <v>0.44166666666666665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468</v>
      </c>
      <c r="F18" s="30" t="s">
        <v>123</v>
      </c>
      <c r="G18" s="33">
        <v>1</v>
      </c>
      <c r="H18" s="35">
        <v>24</v>
      </c>
      <c r="I18" s="7">
        <v>70000</v>
      </c>
      <c r="J18" s="14">
        <v>4701</v>
      </c>
      <c r="K18" s="15">
        <f>L18</f>
        <v>4701</v>
      </c>
      <c r="L18" s="15">
        <f>2017+2684</f>
        <v>4701</v>
      </c>
      <c r="M18" s="15">
        <f t="shared" si="1"/>
        <v>4701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0.44166666666666665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160</v>
      </c>
      <c r="F19" s="30" t="s">
        <v>151</v>
      </c>
      <c r="G19" s="33">
        <v>1</v>
      </c>
      <c r="H19" s="35">
        <v>24</v>
      </c>
      <c r="I19" s="7">
        <v>8000</v>
      </c>
      <c r="J19" s="14">
        <v>4604</v>
      </c>
      <c r="K19" s="15">
        <f>L19+3114+4726+4604</f>
        <v>12444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0.44166666666666665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260</v>
      </c>
      <c r="F20" s="12" t="s">
        <v>116</v>
      </c>
      <c r="G20" s="12">
        <v>4</v>
      </c>
      <c r="H20" s="35">
        <v>20</v>
      </c>
      <c r="I20" s="7">
        <v>500000</v>
      </c>
      <c r="J20" s="14">
        <v>40172</v>
      </c>
      <c r="K20" s="15">
        <f>L20+16528+39012+44316</f>
        <v>140028</v>
      </c>
      <c r="L20" s="15">
        <f>10043*4</f>
        <v>40172</v>
      </c>
      <c r="M20" s="15">
        <f t="shared" si="1"/>
        <v>40172</v>
      </c>
      <c r="N20" s="15">
        <v>0</v>
      </c>
      <c r="O20" s="58">
        <f t="shared" si="2"/>
        <v>0</v>
      </c>
      <c r="P20" s="39">
        <f t="shared" si="3"/>
        <v>12</v>
      </c>
      <c r="Q20" s="40">
        <f t="shared" si="4"/>
        <v>12</v>
      </c>
      <c r="R20" s="7"/>
      <c r="S20" s="6"/>
      <c r="T20" s="16"/>
      <c r="U20" s="16"/>
      <c r="V20" s="17">
        <v>12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</v>
      </c>
      <c r="AD20" s="10">
        <f t="shared" si="7"/>
        <v>0.5</v>
      </c>
      <c r="AE20" s="36">
        <f t="shared" si="8"/>
        <v>0.44166666666666665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850300</v>
      </c>
      <c r="J21" s="19">
        <f t="shared" si="11"/>
        <v>85107</v>
      </c>
      <c r="K21" s="20">
        <f t="shared" si="11"/>
        <v>254054</v>
      </c>
      <c r="L21" s="21">
        <f t="shared" si="11"/>
        <v>77926</v>
      </c>
      <c r="M21" s="20">
        <f t="shared" si="11"/>
        <v>77926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159</v>
      </c>
      <c r="Q21" s="43">
        <f t="shared" si="12"/>
        <v>201</v>
      </c>
      <c r="R21" s="23">
        <f t="shared" si="12"/>
        <v>24</v>
      </c>
      <c r="S21" s="24">
        <f t="shared" si="12"/>
        <v>77</v>
      </c>
      <c r="T21" s="24">
        <f t="shared" si="12"/>
        <v>0</v>
      </c>
      <c r="U21" s="24">
        <f t="shared" si="12"/>
        <v>0</v>
      </c>
      <c r="V21" s="25">
        <f t="shared" si="12"/>
        <v>36</v>
      </c>
      <c r="W21" s="26">
        <f t="shared" si="12"/>
        <v>40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0.73333333333333328</v>
      </c>
      <c r="AC21" s="4">
        <f>SUM(AC6:AC20)/15</f>
        <v>0.44166666666666665</v>
      </c>
      <c r="AD21" s="4">
        <f>SUM(AD6:AD20)/15</f>
        <v>0.44166666666666665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559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562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352" t="s">
        <v>46</v>
      </c>
      <c r="D50" s="352" t="s">
        <v>47</v>
      </c>
      <c r="E50" s="352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352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130</v>
      </c>
      <c r="B51" s="486"/>
      <c r="C51" s="354" t="s">
        <v>262</v>
      </c>
      <c r="D51" s="354" t="s">
        <v>117</v>
      </c>
      <c r="E51" s="354" t="s">
        <v>481</v>
      </c>
      <c r="F51" s="487" t="s">
        <v>521</v>
      </c>
      <c r="G51" s="488"/>
      <c r="H51" s="488"/>
      <c r="I51" s="488"/>
      <c r="J51" s="488"/>
      <c r="K51" s="488"/>
      <c r="L51" s="488"/>
      <c r="M51" s="489"/>
      <c r="N51" s="353" t="s">
        <v>114</v>
      </c>
      <c r="O51" s="358" t="s">
        <v>144</v>
      </c>
      <c r="P51" s="499" t="s">
        <v>401</v>
      </c>
      <c r="Q51" s="500"/>
      <c r="R51" s="486" t="s">
        <v>421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114</v>
      </c>
      <c r="B52" s="486"/>
      <c r="C52" s="354" t="s">
        <v>144</v>
      </c>
      <c r="D52" s="354" t="s">
        <v>401</v>
      </c>
      <c r="E52" s="354" t="s">
        <v>421</v>
      </c>
      <c r="F52" s="487" t="s">
        <v>510</v>
      </c>
      <c r="G52" s="488"/>
      <c r="H52" s="488"/>
      <c r="I52" s="488"/>
      <c r="J52" s="488"/>
      <c r="K52" s="488"/>
      <c r="L52" s="488"/>
      <c r="M52" s="489"/>
      <c r="N52" s="353" t="s">
        <v>209</v>
      </c>
      <c r="O52" s="358" t="s">
        <v>128</v>
      </c>
      <c r="P52" s="499" t="s">
        <v>226</v>
      </c>
      <c r="Q52" s="500"/>
      <c r="R52" s="486" t="s">
        <v>487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209</v>
      </c>
      <c r="B53" s="486"/>
      <c r="C53" s="354" t="s">
        <v>128</v>
      </c>
      <c r="D53" s="354"/>
      <c r="E53" s="354" t="s">
        <v>487</v>
      </c>
      <c r="F53" s="487" t="s">
        <v>560</v>
      </c>
      <c r="G53" s="488"/>
      <c r="H53" s="488"/>
      <c r="I53" s="488"/>
      <c r="J53" s="488"/>
      <c r="K53" s="488"/>
      <c r="L53" s="488"/>
      <c r="M53" s="489"/>
      <c r="N53" s="353" t="s">
        <v>130</v>
      </c>
      <c r="O53" s="358" t="s">
        <v>262</v>
      </c>
      <c r="P53" s="499" t="s">
        <v>122</v>
      </c>
      <c r="Q53" s="500"/>
      <c r="R53" s="499" t="s">
        <v>481</v>
      </c>
      <c r="S53" s="501"/>
      <c r="T53" s="501"/>
      <c r="U53" s="500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354" t="s">
        <v>134</v>
      </c>
      <c r="D54" s="354" t="s">
        <v>117</v>
      </c>
      <c r="E54" s="354" t="s">
        <v>419</v>
      </c>
      <c r="F54" s="487" t="s">
        <v>561</v>
      </c>
      <c r="G54" s="488"/>
      <c r="H54" s="488"/>
      <c r="I54" s="488"/>
      <c r="J54" s="488"/>
      <c r="K54" s="488"/>
      <c r="L54" s="488"/>
      <c r="M54" s="489"/>
      <c r="N54" s="353" t="s">
        <v>130</v>
      </c>
      <c r="O54" s="358" t="s">
        <v>178</v>
      </c>
      <c r="P54" s="499" t="s">
        <v>117</v>
      </c>
      <c r="Q54" s="500"/>
      <c r="R54" s="499" t="s">
        <v>478</v>
      </c>
      <c r="S54" s="501"/>
      <c r="T54" s="501"/>
      <c r="U54" s="500"/>
      <c r="V54" s="476" t="s">
        <v>204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130</v>
      </c>
      <c r="B55" s="486"/>
      <c r="C55" s="354" t="s">
        <v>178</v>
      </c>
      <c r="D55" s="354" t="s">
        <v>117</v>
      </c>
      <c r="E55" s="354" t="s">
        <v>478</v>
      </c>
      <c r="F55" s="487" t="s">
        <v>416</v>
      </c>
      <c r="G55" s="488"/>
      <c r="H55" s="488"/>
      <c r="I55" s="488"/>
      <c r="J55" s="488"/>
      <c r="K55" s="488"/>
      <c r="L55" s="488"/>
      <c r="M55" s="489"/>
      <c r="N55" s="353" t="s">
        <v>130</v>
      </c>
      <c r="O55" s="358" t="s">
        <v>132</v>
      </c>
      <c r="P55" s="499" t="s">
        <v>125</v>
      </c>
      <c r="Q55" s="500"/>
      <c r="R55" s="499" t="s">
        <v>563</v>
      </c>
      <c r="S55" s="501"/>
      <c r="T55" s="501"/>
      <c r="U55" s="500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354" t="s">
        <v>143</v>
      </c>
      <c r="D56" s="354" t="s">
        <v>122</v>
      </c>
      <c r="E56" s="354" t="s">
        <v>468</v>
      </c>
      <c r="F56" s="487" t="s">
        <v>120</v>
      </c>
      <c r="G56" s="488"/>
      <c r="H56" s="488"/>
      <c r="I56" s="488"/>
      <c r="J56" s="488"/>
      <c r="K56" s="488"/>
      <c r="L56" s="488"/>
      <c r="M56" s="489"/>
      <c r="N56" s="353"/>
      <c r="O56" s="358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354"/>
      <c r="D57" s="354"/>
      <c r="E57" s="354"/>
      <c r="F57" s="487"/>
      <c r="G57" s="488"/>
      <c r="H57" s="488"/>
      <c r="I57" s="488"/>
      <c r="J57" s="488"/>
      <c r="K57" s="488"/>
      <c r="L57" s="488"/>
      <c r="M57" s="489"/>
      <c r="N57" s="353"/>
      <c r="O57" s="358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54"/>
      <c r="D58" s="354"/>
      <c r="E58" s="354"/>
      <c r="F58" s="487"/>
      <c r="G58" s="488"/>
      <c r="H58" s="488"/>
      <c r="I58" s="488"/>
      <c r="J58" s="488"/>
      <c r="K58" s="488"/>
      <c r="L58" s="488"/>
      <c r="M58" s="489"/>
      <c r="N58" s="353"/>
      <c r="O58" s="358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54"/>
      <c r="D59" s="354"/>
      <c r="E59" s="354"/>
      <c r="F59" s="487"/>
      <c r="G59" s="488"/>
      <c r="H59" s="488"/>
      <c r="I59" s="488"/>
      <c r="J59" s="488"/>
      <c r="K59" s="488"/>
      <c r="L59" s="488"/>
      <c r="M59" s="489"/>
      <c r="N59" s="353"/>
      <c r="O59" s="358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355"/>
      <c r="D60" s="355"/>
      <c r="E60" s="355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564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356" t="s">
        <v>2</v>
      </c>
      <c r="D62" s="356" t="s">
        <v>37</v>
      </c>
      <c r="E62" s="356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356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124</v>
      </c>
      <c r="D63" s="360"/>
      <c r="E63" s="357" t="s">
        <v>141</v>
      </c>
      <c r="F63" s="543" t="s">
        <v>565</v>
      </c>
      <c r="G63" s="544"/>
      <c r="H63" s="544"/>
      <c r="I63" s="544"/>
      <c r="J63" s="545"/>
      <c r="K63" s="546" t="s">
        <v>137</v>
      </c>
      <c r="L63" s="473"/>
      <c r="M63" s="51" t="s">
        <v>216</v>
      </c>
      <c r="N63" s="547" t="s">
        <v>132</v>
      </c>
      <c r="O63" s="548"/>
      <c r="P63" s="549">
        <v>50</v>
      </c>
      <c r="Q63" s="550"/>
      <c r="R63" s="487"/>
      <c r="S63" s="488"/>
      <c r="T63" s="488"/>
      <c r="U63" s="488"/>
      <c r="V63" s="488"/>
      <c r="W63" s="488"/>
      <c r="X63" s="488"/>
      <c r="Y63" s="488"/>
      <c r="Z63" s="488"/>
      <c r="AA63" s="551"/>
      <c r="AB63" s="546"/>
      <c r="AC63" s="552"/>
      <c r="AD63" s="553"/>
      <c r="AF63" s="50"/>
    </row>
    <row r="64" spans="1:32" ht="25.5" customHeight="1">
      <c r="A64" s="472">
        <v>2</v>
      </c>
      <c r="B64" s="473"/>
      <c r="C64" s="117" t="s">
        <v>124</v>
      </c>
      <c r="D64" s="360"/>
      <c r="E64" s="357"/>
      <c r="F64" s="474" t="s">
        <v>566</v>
      </c>
      <c r="G64" s="466"/>
      <c r="H64" s="466"/>
      <c r="I64" s="466"/>
      <c r="J64" s="466"/>
      <c r="K64" s="466" t="s">
        <v>567</v>
      </c>
      <c r="L64" s="466"/>
      <c r="M64" s="51" t="s">
        <v>216</v>
      </c>
      <c r="N64" s="477" t="s">
        <v>211</v>
      </c>
      <c r="O64" s="477"/>
      <c r="P64" s="475">
        <v>50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 t="s">
        <v>124</v>
      </c>
      <c r="D65" s="360"/>
      <c r="E65" s="357" t="s">
        <v>570</v>
      </c>
      <c r="F65" s="474" t="s">
        <v>568</v>
      </c>
      <c r="G65" s="466"/>
      <c r="H65" s="466"/>
      <c r="I65" s="466"/>
      <c r="J65" s="466"/>
      <c r="K65" s="466" t="s">
        <v>569</v>
      </c>
      <c r="L65" s="466"/>
      <c r="M65" s="51" t="s">
        <v>216</v>
      </c>
      <c r="N65" s="477" t="s">
        <v>211</v>
      </c>
      <c r="O65" s="477"/>
      <c r="P65" s="475">
        <v>50</v>
      </c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 t="s">
        <v>124</v>
      </c>
      <c r="D66" s="360"/>
      <c r="E66" s="357" t="s">
        <v>572</v>
      </c>
      <c r="F66" s="474" t="s">
        <v>571</v>
      </c>
      <c r="G66" s="466"/>
      <c r="H66" s="466"/>
      <c r="I66" s="466"/>
      <c r="J66" s="466"/>
      <c r="K66" s="466" t="s">
        <v>567</v>
      </c>
      <c r="L66" s="466"/>
      <c r="M66" s="51" t="s">
        <v>216</v>
      </c>
      <c r="N66" s="477" t="s">
        <v>211</v>
      </c>
      <c r="O66" s="477"/>
      <c r="P66" s="475">
        <v>50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 t="s">
        <v>124</v>
      </c>
      <c r="D67" s="384"/>
      <c r="E67" s="385" t="s">
        <v>306</v>
      </c>
      <c r="F67" s="474" t="s">
        <v>307</v>
      </c>
      <c r="G67" s="466"/>
      <c r="H67" s="466"/>
      <c r="I67" s="466"/>
      <c r="J67" s="466"/>
      <c r="K67" s="466" t="s">
        <v>121</v>
      </c>
      <c r="L67" s="466"/>
      <c r="M67" s="51" t="s">
        <v>216</v>
      </c>
      <c r="N67" s="477" t="s">
        <v>211</v>
      </c>
      <c r="O67" s="477"/>
      <c r="P67" s="475">
        <v>50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360"/>
      <c r="E68" s="357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360"/>
      <c r="E69" s="357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360"/>
      <c r="E70" s="357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573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359" t="s">
        <v>2</v>
      </c>
      <c r="D72" s="359" t="s">
        <v>37</v>
      </c>
      <c r="E72" s="359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361" t="s">
        <v>114</v>
      </c>
      <c r="D73" s="361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360"/>
      <c r="D74" s="360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360"/>
      <c r="D75" s="360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360"/>
      <c r="D76" s="360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360"/>
      <c r="D77" s="360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360"/>
      <c r="D78" s="360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360"/>
      <c r="D79" s="360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360"/>
      <c r="D80" s="360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360"/>
      <c r="D81" s="360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574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1661C-8825-4A6E-AE23-C66A4F63F109}">
  <dimension ref="A1:AF86"/>
  <sheetViews>
    <sheetView zoomScale="72" zoomScaleNormal="72" zoomScaleSheetLayoutView="70" workbookViewId="0">
      <selection activeCell="C12" sqref="C12:I12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575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72" t="s">
        <v>17</v>
      </c>
      <c r="L5" s="372" t="s">
        <v>18</v>
      </c>
      <c r="M5" s="372" t="s">
        <v>19</v>
      </c>
      <c r="N5" s="372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0.44722222222222219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0.44722222222222219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320</v>
      </c>
      <c r="E8" s="53" t="s">
        <v>319</v>
      </c>
      <c r="F8" s="30" t="s">
        <v>123</v>
      </c>
      <c r="G8" s="33">
        <v>1</v>
      </c>
      <c r="H8" s="35">
        <v>24</v>
      </c>
      <c r="I8" s="7">
        <v>10000</v>
      </c>
      <c r="J8" s="14">
        <v>2633</v>
      </c>
      <c r="K8" s="15">
        <f>L8</f>
        <v>2633</v>
      </c>
      <c r="L8" s="15">
        <v>2633</v>
      </c>
      <c r="M8" s="15">
        <f t="shared" si="1"/>
        <v>2633</v>
      </c>
      <c r="N8" s="15">
        <v>0</v>
      </c>
      <c r="O8" s="58">
        <f t="shared" si="2"/>
        <v>0</v>
      </c>
      <c r="P8" s="39">
        <f t="shared" si="3"/>
        <v>14</v>
      </c>
      <c r="Q8" s="40">
        <f t="shared" si="4"/>
        <v>10</v>
      </c>
      <c r="R8" s="7"/>
      <c r="S8" s="6">
        <v>10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0.58333333333333337</v>
      </c>
      <c r="AD8" s="10">
        <f t="shared" si="7"/>
        <v>0.58333333333333337</v>
      </c>
      <c r="AE8" s="36">
        <f t="shared" si="8"/>
        <v>0.44722222222222219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401</v>
      </c>
      <c r="E9" s="53" t="s">
        <v>421</v>
      </c>
      <c r="F9" s="30" t="s">
        <v>127</v>
      </c>
      <c r="G9" s="33">
        <v>1</v>
      </c>
      <c r="H9" s="35">
        <v>24</v>
      </c>
      <c r="I9" s="7">
        <v>70000</v>
      </c>
      <c r="J9" s="14">
        <v>2907</v>
      </c>
      <c r="K9" s="15">
        <f>L9+2021</f>
        <v>4928</v>
      </c>
      <c r="L9" s="15">
        <f>2907</f>
        <v>2907</v>
      </c>
      <c r="M9" s="15">
        <f t="shared" si="1"/>
        <v>2907</v>
      </c>
      <c r="N9" s="15">
        <v>0</v>
      </c>
      <c r="O9" s="58">
        <f t="shared" si="2"/>
        <v>0</v>
      </c>
      <c r="P9" s="39">
        <f t="shared" si="3"/>
        <v>15</v>
      </c>
      <c r="Q9" s="40">
        <f t="shared" si="4"/>
        <v>9</v>
      </c>
      <c r="R9" s="7"/>
      <c r="S9" s="6">
        <v>9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0.625</v>
      </c>
      <c r="AD9" s="10">
        <f t="shared" si="7"/>
        <v>0.625</v>
      </c>
      <c r="AE9" s="36">
        <f t="shared" si="8"/>
        <v>0.44722222222222219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6181</v>
      </c>
      <c r="K10" s="15">
        <f>L10+3601+2209</f>
        <v>11991</v>
      </c>
      <c r="L10" s="15">
        <f>3435+2746</f>
        <v>6181</v>
      </c>
      <c r="M10" s="15">
        <f t="shared" si="1"/>
        <v>6181</v>
      </c>
      <c r="N10" s="15">
        <v>0</v>
      </c>
      <c r="O10" s="58">
        <f t="shared" si="2"/>
        <v>0</v>
      </c>
      <c r="P10" s="39">
        <f t="shared" si="3"/>
        <v>22</v>
      </c>
      <c r="Q10" s="40">
        <f t="shared" si="4"/>
        <v>2</v>
      </c>
      <c r="R10" s="7"/>
      <c r="S10" s="6">
        <v>2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0.91666666666666663</v>
      </c>
      <c r="AD10" s="10">
        <f>AC10*AB10*(1-O10)</f>
        <v>0.91666666666666663</v>
      </c>
      <c r="AE10" s="36">
        <f t="shared" si="8"/>
        <v>0.44722222222222219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595</v>
      </c>
      <c r="K11" s="15">
        <f>L11+4769+871+1725+4157+702+1357</f>
        <v>14176</v>
      </c>
      <c r="L11" s="15">
        <f>595</f>
        <v>595</v>
      </c>
      <c r="M11" s="15">
        <f t="shared" si="1"/>
        <v>595</v>
      </c>
      <c r="N11" s="15">
        <v>0</v>
      </c>
      <c r="O11" s="58">
        <f t="shared" si="2"/>
        <v>0</v>
      </c>
      <c r="P11" s="39">
        <f t="shared" si="3"/>
        <v>3</v>
      </c>
      <c r="Q11" s="40">
        <f t="shared" si="4"/>
        <v>21</v>
      </c>
      <c r="R11" s="7"/>
      <c r="S11" s="6">
        <v>21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0.125</v>
      </c>
      <c r="AD11" s="10">
        <f>AC11*AB11*(1-O11)</f>
        <v>0.125</v>
      </c>
      <c r="AE11" s="36">
        <f t="shared" si="8"/>
        <v>0.44722222222222219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419</v>
      </c>
      <c r="F12" s="30" t="s">
        <v>121</v>
      </c>
      <c r="G12" s="33">
        <v>1</v>
      </c>
      <c r="H12" s="35">
        <v>24</v>
      </c>
      <c r="I12" s="7">
        <v>70000</v>
      </c>
      <c r="J12" s="14">
        <v>761</v>
      </c>
      <c r="K12" s="15">
        <f>L12+1561+2422+2361</f>
        <v>7105</v>
      </c>
      <c r="L12" s="15">
        <v>761</v>
      </c>
      <c r="M12" s="15">
        <f t="shared" si="1"/>
        <v>761</v>
      </c>
      <c r="N12" s="15">
        <v>0</v>
      </c>
      <c r="O12" s="58">
        <f t="shared" si="2"/>
        <v>0</v>
      </c>
      <c r="P12" s="39">
        <f t="shared" si="3"/>
        <v>4</v>
      </c>
      <c r="Q12" s="40">
        <f t="shared" si="4"/>
        <v>20</v>
      </c>
      <c r="R12" s="7"/>
      <c r="S12" s="6">
        <v>20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0.16666666666666666</v>
      </c>
      <c r="AD12" s="10">
        <f t="shared" ref="AD12:AD13" si="10">AC12*AB12*(1-O12)</f>
        <v>0.16666666666666666</v>
      </c>
      <c r="AE12" s="36">
        <f t="shared" si="8"/>
        <v>0.44722222222222219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161</v>
      </c>
      <c r="F13" s="30" t="s">
        <v>135</v>
      </c>
      <c r="G13" s="33">
        <v>2</v>
      </c>
      <c r="H13" s="35">
        <v>24</v>
      </c>
      <c r="I13" s="7">
        <v>22000</v>
      </c>
      <c r="J13" s="14">
        <v>9978</v>
      </c>
      <c r="K13" s="15">
        <f>L13+3768</f>
        <v>13746</v>
      </c>
      <c r="L13" s="15">
        <f>2768*2+2221*2</f>
        <v>9978</v>
      </c>
      <c r="M13" s="15">
        <f t="shared" si="1"/>
        <v>9978</v>
      </c>
      <c r="N13" s="15">
        <v>0</v>
      </c>
      <c r="O13" s="58">
        <f t="shared" si="2"/>
        <v>0</v>
      </c>
      <c r="P13" s="39">
        <f t="shared" si="3"/>
        <v>22</v>
      </c>
      <c r="Q13" s="40">
        <f t="shared" si="4"/>
        <v>2</v>
      </c>
      <c r="R13" s="7"/>
      <c r="S13" s="6">
        <v>2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0.91666666666666663</v>
      </c>
      <c r="AD13" s="10">
        <f t="shared" si="10"/>
        <v>0.91666666666666663</v>
      </c>
      <c r="AE13" s="36">
        <f t="shared" si="8"/>
        <v>0.44722222222222219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0.44722222222222219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209</v>
      </c>
      <c r="D15" s="52" t="s">
        <v>183</v>
      </c>
      <c r="E15" s="53" t="s">
        <v>558</v>
      </c>
      <c r="F15" s="12" t="s">
        <v>221</v>
      </c>
      <c r="G15" s="12">
        <v>1</v>
      </c>
      <c r="H15" s="13">
        <v>24</v>
      </c>
      <c r="I15" s="31">
        <v>3000</v>
      </c>
      <c r="J15" s="14">
        <v>1158</v>
      </c>
      <c r="K15" s="15">
        <f>L15+4727</f>
        <v>5885</v>
      </c>
      <c r="L15" s="15">
        <v>1158</v>
      </c>
      <c r="M15" s="15">
        <f t="shared" si="1"/>
        <v>1158</v>
      </c>
      <c r="N15" s="15">
        <v>0</v>
      </c>
      <c r="O15" s="58">
        <f t="shared" si="2"/>
        <v>0</v>
      </c>
      <c r="P15" s="39">
        <f t="shared" si="3"/>
        <v>6</v>
      </c>
      <c r="Q15" s="40">
        <f t="shared" si="4"/>
        <v>18</v>
      </c>
      <c r="R15" s="7"/>
      <c r="S15" s="6"/>
      <c r="T15" s="16"/>
      <c r="U15" s="16"/>
      <c r="V15" s="17"/>
      <c r="W15" s="5">
        <v>18</v>
      </c>
      <c r="X15" s="16"/>
      <c r="Y15" s="16"/>
      <c r="Z15" s="16"/>
      <c r="AA15" s="18"/>
      <c r="AB15" s="8">
        <f t="shared" si="5"/>
        <v>1</v>
      </c>
      <c r="AC15" s="9">
        <f t="shared" si="6"/>
        <v>0.25</v>
      </c>
      <c r="AD15" s="10">
        <f t="shared" si="7"/>
        <v>0.25</v>
      </c>
      <c r="AE15" s="36">
        <f t="shared" si="8"/>
        <v>0.44722222222222219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294</v>
      </c>
      <c r="F16" s="30" t="s">
        <v>126</v>
      </c>
      <c r="G16" s="12">
        <v>1</v>
      </c>
      <c r="H16" s="13">
        <v>28</v>
      </c>
      <c r="I16" s="7">
        <v>10000</v>
      </c>
      <c r="J16" s="14">
        <v>4834</v>
      </c>
      <c r="K16" s="15">
        <f>L16+4010+4664</f>
        <v>13508</v>
      </c>
      <c r="L16" s="15">
        <f>2391+190+2253</f>
        <v>4834</v>
      </c>
      <c r="M16" s="15">
        <f t="shared" si="1"/>
        <v>4834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 t="shared" si="8"/>
        <v>0.44722222222222219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130</v>
      </c>
      <c r="D17" s="52" t="s">
        <v>125</v>
      </c>
      <c r="E17" s="53" t="s">
        <v>563</v>
      </c>
      <c r="F17" s="30" t="s">
        <v>137</v>
      </c>
      <c r="G17" s="33">
        <v>2</v>
      </c>
      <c r="H17" s="35">
        <v>24</v>
      </c>
      <c r="I17" s="7">
        <v>20000</v>
      </c>
      <c r="J17" s="5">
        <v>11282</v>
      </c>
      <c r="K17" s="15">
        <f>L17</f>
        <v>11282</v>
      </c>
      <c r="L17" s="15">
        <f>2554*2+3087*2</f>
        <v>11282</v>
      </c>
      <c r="M17" s="15">
        <f t="shared" si="1"/>
        <v>11282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0.44722222222222219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576</v>
      </c>
      <c r="F18" s="30" t="s">
        <v>123</v>
      </c>
      <c r="G18" s="33">
        <v>1</v>
      </c>
      <c r="H18" s="35">
        <v>24</v>
      </c>
      <c r="I18" s="7">
        <v>70000</v>
      </c>
      <c r="J18" s="14">
        <v>3115</v>
      </c>
      <c r="K18" s="15">
        <f>L18+4701</f>
        <v>7816</v>
      </c>
      <c r="L18" s="15">
        <f>2533+582</f>
        <v>3115</v>
      </c>
      <c r="M18" s="15">
        <f t="shared" si="1"/>
        <v>3115</v>
      </c>
      <c r="N18" s="15">
        <v>0</v>
      </c>
      <c r="O18" s="58">
        <f t="shared" si="2"/>
        <v>0</v>
      </c>
      <c r="P18" s="39">
        <f t="shared" si="3"/>
        <v>15</v>
      </c>
      <c r="Q18" s="40">
        <f t="shared" si="4"/>
        <v>9</v>
      </c>
      <c r="R18" s="7"/>
      <c r="S18" s="6">
        <v>9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0.625</v>
      </c>
      <c r="AD18" s="10">
        <f t="shared" si="7"/>
        <v>0.625</v>
      </c>
      <c r="AE18" s="36">
        <f t="shared" si="8"/>
        <v>0.44722222222222219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160</v>
      </c>
      <c r="F19" s="30" t="s">
        <v>151</v>
      </c>
      <c r="G19" s="33">
        <v>1</v>
      </c>
      <c r="H19" s="35">
        <v>24</v>
      </c>
      <c r="I19" s="7">
        <v>8000</v>
      </c>
      <c r="J19" s="14">
        <v>4604</v>
      </c>
      <c r="K19" s="15">
        <f>L19+3114+4726+4604</f>
        <v>12444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0.44722222222222219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260</v>
      </c>
      <c r="F20" s="12" t="s">
        <v>116</v>
      </c>
      <c r="G20" s="12">
        <v>4</v>
      </c>
      <c r="H20" s="35">
        <v>20</v>
      </c>
      <c r="I20" s="7">
        <v>500000</v>
      </c>
      <c r="J20" s="14">
        <v>38096</v>
      </c>
      <c r="K20" s="15">
        <f>L20+16528+39012+44316+40172</f>
        <v>178124</v>
      </c>
      <c r="L20" s="15">
        <f>9524*4</f>
        <v>38096</v>
      </c>
      <c r="M20" s="15">
        <f t="shared" si="1"/>
        <v>38096</v>
      </c>
      <c r="N20" s="15">
        <v>0</v>
      </c>
      <c r="O20" s="58">
        <f t="shared" si="2"/>
        <v>0</v>
      </c>
      <c r="P20" s="39">
        <f t="shared" si="3"/>
        <v>12</v>
      </c>
      <c r="Q20" s="40">
        <f t="shared" si="4"/>
        <v>12</v>
      </c>
      <c r="R20" s="7"/>
      <c r="S20" s="6"/>
      <c r="T20" s="16"/>
      <c r="U20" s="16"/>
      <c r="V20" s="17">
        <v>12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</v>
      </c>
      <c r="AD20" s="10">
        <f t="shared" si="7"/>
        <v>0.5</v>
      </c>
      <c r="AE20" s="36">
        <f t="shared" si="8"/>
        <v>0.44722222222222219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849300</v>
      </c>
      <c r="J21" s="19">
        <f t="shared" si="11"/>
        <v>88721</v>
      </c>
      <c r="K21" s="20">
        <f t="shared" si="11"/>
        <v>295702</v>
      </c>
      <c r="L21" s="21">
        <f t="shared" si="11"/>
        <v>81540</v>
      </c>
      <c r="M21" s="20">
        <f t="shared" si="11"/>
        <v>81540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161</v>
      </c>
      <c r="Q21" s="43">
        <f t="shared" si="12"/>
        <v>199</v>
      </c>
      <c r="R21" s="23">
        <f t="shared" si="12"/>
        <v>24</v>
      </c>
      <c r="S21" s="24">
        <f t="shared" si="12"/>
        <v>73</v>
      </c>
      <c r="T21" s="24">
        <f t="shared" si="12"/>
        <v>0</v>
      </c>
      <c r="U21" s="24">
        <f t="shared" si="12"/>
        <v>0</v>
      </c>
      <c r="V21" s="25">
        <f t="shared" si="12"/>
        <v>36</v>
      </c>
      <c r="W21" s="26">
        <f t="shared" si="12"/>
        <v>42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0.73333333333333328</v>
      </c>
      <c r="AC21" s="4">
        <f>SUM(AC6:AC20)/15</f>
        <v>0.44722222222222219</v>
      </c>
      <c r="AD21" s="4">
        <f>SUM(AD6:AD20)/15</f>
        <v>0.44722222222222219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577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581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371" t="s">
        <v>46</v>
      </c>
      <c r="D50" s="371" t="s">
        <v>47</v>
      </c>
      <c r="E50" s="371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371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114</v>
      </c>
      <c r="B51" s="486"/>
      <c r="C51" s="369" t="s">
        <v>262</v>
      </c>
      <c r="D51" s="369" t="s">
        <v>320</v>
      </c>
      <c r="E51" s="369" t="s">
        <v>319</v>
      </c>
      <c r="F51" s="487" t="s">
        <v>578</v>
      </c>
      <c r="G51" s="488"/>
      <c r="H51" s="488"/>
      <c r="I51" s="488"/>
      <c r="J51" s="488"/>
      <c r="K51" s="488"/>
      <c r="L51" s="488"/>
      <c r="M51" s="489"/>
      <c r="N51" s="368" t="s">
        <v>114</v>
      </c>
      <c r="O51" s="366" t="s">
        <v>134</v>
      </c>
      <c r="P51" s="499" t="s">
        <v>117</v>
      </c>
      <c r="Q51" s="500"/>
      <c r="R51" s="486" t="s">
        <v>419</v>
      </c>
      <c r="S51" s="486"/>
      <c r="T51" s="486"/>
      <c r="U51" s="486"/>
      <c r="V51" s="476" t="s">
        <v>204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114</v>
      </c>
      <c r="B52" s="486"/>
      <c r="C52" s="369" t="s">
        <v>144</v>
      </c>
      <c r="D52" s="369" t="s">
        <v>401</v>
      </c>
      <c r="E52" s="369" t="s">
        <v>421</v>
      </c>
      <c r="F52" s="487" t="s">
        <v>204</v>
      </c>
      <c r="G52" s="488"/>
      <c r="H52" s="488"/>
      <c r="I52" s="488"/>
      <c r="J52" s="488"/>
      <c r="K52" s="488"/>
      <c r="L52" s="488"/>
      <c r="M52" s="489"/>
      <c r="N52" s="368" t="s">
        <v>130</v>
      </c>
      <c r="O52" s="366" t="s">
        <v>178</v>
      </c>
      <c r="P52" s="499" t="s">
        <v>117</v>
      </c>
      <c r="Q52" s="500"/>
      <c r="R52" s="499" t="s">
        <v>161</v>
      </c>
      <c r="S52" s="501"/>
      <c r="T52" s="501"/>
      <c r="U52" s="500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209</v>
      </c>
      <c r="B53" s="486"/>
      <c r="C53" s="369" t="s">
        <v>128</v>
      </c>
      <c r="D53" s="369"/>
      <c r="E53" s="369" t="s">
        <v>487</v>
      </c>
      <c r="F53" s="487" t="s">
        <v>579</v>
      </c>
      <c r="G53" s="488"/>
      <c r="H53" s="488"/>
      <c r="I53" s="488"/>
      <c r="J53" s="488"/>
      <c r="K53" s="488"/>
      <c r="L53" s="488"/>
      <c r="M53" s="489"/>
      <c r="N53" s="368" t="s">
        <v>124</v>
      </c>
      <c r="O53" s="366" t="s">
        <v>143</v>
      </c>
      <c r="P53" s="499" t="s">
        <v>320</v>
      </c>
      <c r="Q53" s="500"/>
      <c r="R53" s="499" t="s">
        <v>582</v>
      </c>
      <c r="S53" s="501"/>
      <c r="T53" s="501"/>
      <c r="U53" s="500"/>
      <c r="V53" s="476" t="s">
        <v>120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369" t="s">
        <v>134</v>
      </c>
      <c r="D54" s="369" t="s">
        <v>117</v>
      </c>
      <c r="E54" s="369" t="s">
        <v>419</v>
      </c>
      <c r="F54" s="487" t="s">
        <v>521</v>
      </c>
      <c r="G54" s="488"/>
      <c r="H54" s="488"/>
      <c r="I54" s="488"/>
      <c r="J54" s="488"/>
      <c r="K54" s="488"/>
      <c r="L54" s="488"/>
      <c r="M54" s="489"/>
      <c r="N54" s="368"/>
      <c r="O54" s="366"/>
      <c r="P54" s="499"/>
      <c r="Q54" s="500"/>
      <c r="R54" s="499"/>
      <c r="S54" s="501"/>
      <c r="T54" s="501"/>
      <c r="U54" s="500"/>
      <c r="V54" s="476"/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130</v>
      </c>
      <c r="B55" s="486"/>
      <c r="C55" s="369" t="s">
        <v>178</v>
      </c>
      <c r="D55" s="369" t="s">
        <v>117</v>
      </c>
      <c r="E55" s="369" t="s">
        <v>161</v>
      </c>
      <c r="F55" s="487" t="s">
        <v>416</v>
      </c>
      <c r="G55" s="488"/>
      <c r="H55" s="488"/>
      <c r="I55" s="488"/>
      <c r="J55" s="488"/>
      <c r="K55" s="488"/>
      <c r="L55" s="488"/>
      <c r="M55" s="489"/>
      <c r="N55" s="368"/>
      <c r="O55" s="366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369" t="s">
        <v>143</v>
      </c>
      <c r="D56" s="369" t="s">
        <v>122</v>
      </c>
      <c r="E56" s="369" t="s">
        <v>576</v>
      </c>
      <c r="F56" s="487" t="s">
        <v>263</v>
      </c>
      <c r="G56" s="488"/>
      <c r="H56" s="488"/>
      <c r="I56" s="488"/>
      <c r="J56" s="488"/>
      <c r="K56" s="488"/>
      <c r="L56" s="488"/>
      <c r="M56" s="489"/>
      <c r="N56" s="368"/>
      <c r="O56" s="366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124</v>
      </c>
      <c r="B57" s="486"/>
      <c r="C57" s="369" t="s">
        <v>149</v>
      </c>
      <c r="D57" s="369" t="s">
        <v>183</v>
      </c>
      <c r="E57" s="369" t="s">
        <v>408</v>
      </c>
      <c r="F57" s="487" t="s">
        <v>580</v>
      </c>
      <c r="G57" s="488"/>
      <c r="H57" s="488"/>
      <c r="I57" s="488"/>
      <c r="J57" s="488"/>
      <c r="K57" s="488"/>
      <c r="L57" s="488"/>
      <c r="M57" s="489"/>
      <c r="N57" s="368"/>
      <c r="O57" s="366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69"/>
      <c r="D58" s="369"/>
      <c r="E58" s="369"/>
      <c r="F58" s="487"/>
      <c r="G58" s="488"/>
      <c r="H58" s="488"/>
      <c r="I58" s="488"/>
      <c r="J58" s="488"/>
      <c r="K58" s="488"/>
      <c r="L58" s="488"/>
      <c r="M58" s="489"/>
      <c r="N58" s="368"/>
      <c r="O58" s="366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69"/>
      <c r="D59" s="369"/>
      <c r="E59" s="369"/>
      <c r="F59" s="487"/>
      <c r="G59" s="488"/>
      <c r="H59" s="488"/>
      <c r="I59" s="488"/>
      <c r="J59" s="488"/>
      <c r="K59" s="488"/>
      <c r="L59" s="488"/>
      <c r="M59" s="489"/>
      <c r="N59" s="368"/>
      <c r="O59" s="366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370"/>
      <c r="D60" s="370"/>
      <c r="E60" s="370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583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367" t="s">
        <v>2</v>
      </c>
      <c r="D62" s="367" t="s">
        <v>37</v>
      </c>
      <c r="E62" s="367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367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114</v>
      </c>
      <c r="D63" s="362"/>
      <c r="E63" s="365" t="s">
        <v>125</v>
      </c>
      <c r="F63" s="543" t="s">
        <v>440</v>
      </c>
      <c r="G63" s="544"/>
      <c r="H63" s="544"/>
      <c r="I63" s="544"/>
      <c r="J63" s="545"/>
      <c r="K63" s="546" t="s">
        <v>127</v>
      </c>
      <c r="L63" s="473"/>
      <c r="M63" s="51" t="s">
        <v>216</v>
      </c>
      <c r="N63" s="547" t="s">
        <v>211</v>
      </c>
      <c r="O63" s="548"/>
      <c r="P63" s="549">
        <v>50</v>
      </c>
      <c r="Q63" s="550"/>
      <c r="R63" s="487"/>
      <c r="S63" s="488"/>
      <c r="T63" s="488"/>
      <c r="U63" s="488"/>
      <c r="V63" s="488"/>
      <c r="W63" s="488"/>
      <c r="X63" s="488"/>
      <c r="Y63" s="488"/>
      <c r="Z63" s="488"/>
      <c r="AA63" s="551"/>
      <c r="AB63" s="546"/>
      <c r="AC63" s="552"/>
      <c r="AD63" s="553"/>
      <c r="AF63" s="50"/>
    </row>
    <row r="64" spans="1:32" ht="25.5" customHeight="1">
      <c r="A64" s="472">
        <v>2</v>
      </c>
      <c r="B64" s="473"/>
      <c r="C64" s="117" t="s">
        <v>124</v>
      </c>
      <c r="D64" s="362"/>
      <c r="E64" s="365" t="s">
        <v>265</v>
      </c>
      <c r="F64" s="474" t="s">
        <v>584</v>
      </c>
      <c r="G64" s="466"/>
      <c r="H64" s="466"/>
      <c r="I64" s="466"/>
      <c r="J64" s="466"/>
      <c r="K64" s="466" t="s">
        <v>274</v>
      </c>
      <c r="L64" s="466"/>
      <c r="M64" s="51" t="s">
        <v>216</v>
      </c>
      <c r="N64" s="477" t="s">
        <v>211</v>
      </c>
      <c r="O64" s="477"/>
      <c r="P64" s="475">
        <v>100</v>
      </c>
      <c r="Q64" s="475"/>
      <c r="R64" s="476" t="s">
        <v>585</v>
      </c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/>
      <c r="D65" s="362"/>
      <c r="E65" s="365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/>
      <c r="D66" s="362"/>
      <c r="E66" s="365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362"/>
      <c r="E67" s="365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362"/>
      <c r="E68" s="365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362"/>
      <c r="E69" s="365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362"/>
      <c r="E70" s="365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586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364" t="s">
        <v>2</v>
      </c>
      <c r="D72" s="364" t="s">
        <v>37</v>
      </c>
      <c r="E72" s="364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363" t="s">
        <v>114</v>
      </c>
      <c r="D73" s="363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362"/>
      <c r="D74" s="362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362"/>
      <c r="D75" s="362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362"/>
      <c r="D76" s="362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362"/>
      <c r="D77" s="362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362"/>
      <c r="D78" s="362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362"/>
      <c r="D79" s="362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362"/>
      <c r="D80" s="362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362"/>
      <c r="D81" s="362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587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8F85-7295-4D13-A914-12BC789919A4}">
  <dimension ref="A1:AF87"/>
  <sheetViews>
    <sheetView zoomScale="72" zoomScaleNormal="72" zoomScaleSheetLayoutView="70" workbookViewId="0">
      <selection activeCell="T17" sqref="T17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588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73" t="s">
        <v>17</v>
      </c>
      <c r="L5" s="373" t="s">
        <v>18</v>
      </c>
      <c r="M5" s="373" t="s">
        <v>19</v>
      </c>
      <c r="N5" s="3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0.45833333333333331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0.45833333333333331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320</v>
      </c>
      <c r="E8" s="53" t="s">
        <v>319</v>
      </c>
      <c r="F8" s="30" t="s">
        <v>123</v>
      </c>
      <c r="G8" s="33">
        <v>1</v>
      </c>
      <c r="H8" s="35">
        <v>24</v>
      </c>
      <c r="I8" s="7">
        <v>10000</v>
      </c>
      <c r="J8" s="14">
        <v>4507</v>
      </c>
      <c r="K8" s="15">
        <f>L8+2633</f>
        <v>7140</v>
      </c>
      <c r="L8" s="15">
        <f>2130+2377</f>
        <v>4507</v>
      </c>
      <c r="M8" s="15">
        <f t="shared" si="1"/>
        <v>4507</v>
      </c>
      <c r="N8" s="15">
        <v>0</v>
      </c>
      <c r="O8" s="58">
        <f t="shared" si="2"/>
        <v>0</v>
      </c>
      <c r="P8" s="39">
        <f t="shared" si="3"/>
        <v>22</v>
      </c>
      <c r="Q8" s="40">
        <f t="shared" si="4"/>
        <v>2</v>
      </c>
      <c r="R8" s="7"/>
      <c r="S8" s="6">
        <v>2</v>
      </c>
      <c r="T8" s="16"/>
      <c r="U8" s="16"/>
      <c r="V8" s="17"/>
      <c r="W8" s="5"/>
      <c r="X8" s="16"/>
      <c r="Y8" s="16"/>
      <c r="Z8" s="16"/>
      <c r="AA8" s="18"/>
      <c r="AB8" s="8">
        <f t="shared" si="5"/>
        <v>1</v>
      </c>
      <c r="AC8" s="9">
        <f t="shared" si="6"/>
        <v>0.91666666666666663</v>
      </c>
      <c r="AD8" s="10">
        <f t="shared" si="7"/>
        <v>0.91666666666666663</v>
      </c>
      <c r="AE8" s="36">
        <f t="shared" si="8"/>
        <v>0.45833333333333331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401</v>
      </c>
      <c r="E9" s="53" t="s">
        <v>421</v>
      </c>
      <c r="F9" s="30" t="s">
        <v>127</v>
      </c>
      <c r="G9" s="33">
        <v>1</v>
      </c>
      <c r="H9" s="35">
        <v>24</v>
      </c>
      <c r="I9" s="7">
        <v>70000</v>
      </c>
      <c r="J9" s="14">
        <v>1154</v>
      </c>
      <c r="K9" s="15">
        <f>L9+2021+2907</f>
        <v>6082</v>
      </c>
      <c r="L9" s="15">
        <v>1154</v>
      </c>
      <c r="M9" s="15">
        <f t="shared" si="1"/>
        <v>1154</v>
      </c>
      <c r="N9" s="15">
        <v>0</v>
      </c>
      <c r="O9" s="58">
        <f t="shared" si="2"/>
        <v>0</v>
      </c>
      <c r="P9" s="39">
        <f t="shared" si="3"/>
        <v>6</v>
      </c>
      <c r="Q9" s="40">
        <f t="shared" si="4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0.25</v>
      </c>
      <c r="AD9" s="10">
        <f t="shared" si="7"/>
        <v>0.25</v>
      </c>
      <c r="AE9" s="36">
        <f t="shared" si="8"/>
        <v>0.45833333333333331</v>
      </c>
      <c r="AF9" s="87">
        <f t="shared" si="9"/>
        <v>4</v>
      </c>
    </row>
    <row r="10" spans="1:32" ht="27" customHeight="1">
      <c r="A10" s="103">
        <v>4</v>
      </c>
      <c r="B10" s="11" t="s">
        <v>57</v>
      </c>
      <c r="C10" s="11" t="s">
        <v>124</v>
      </c>
      <c r="D10" s="52" t="s">
        <v>183</v>
      </c>
      <c r="E10" s="53" t="s">
        <v>465</v>
      </c>
      <c r="F10" s="30" t="s">
        <v>380</v>
      </c>
      <c r="G10" s="33">
        <v>1</v>
      </c>
      <c r="H10" s="35">
        <v>24</v>
      </c>
      <c r="I10" s="7">
        <v>3500</v>
      </c>
      <c r="J10" s="14">
        <v>2749</v>
      </c>
      <c r="K10" s="15">
        <f>L10</f>
        <v>2749</v>
      </c>
      <c r="L10" s="15">
        <f>2749</f>
        <v>2749</v>
      </c>
      <c r="M10" s="15">
        <f t="shared" ref="M10" si="10">L10-N10</f>
        <v>2749</v>
      </c>
      <c r="N10" s="15">
        <v>0</v>
      </c>
      <c r="O10" s="58">
        <f t="shared" ref="O10" si="11">IF(L10=0,"0",N10/L10)</f>
        <v>0</v>
      </c>
      <c r="P10" s="39">
        <f t="shared" ref="P10" si="12">IF(L10=0,"0",(24-Q10))</f>
        <v>16</v>
      </c>
      <c r="Q10" s="40">
        <f t="shared" ref="Q10" si="13">SUM(R10:AA10)</f>
        <v>8</v>
      </c>
      <c r="R10" s="7"/>
      <c r="S10" s="6"/>
      <c r="T10" s="16">
        <v>8</v>
      </c>
      <c r="U10" s="16"/>
      <c r="V10" s="17"/>
      <c r="W10" s="5"/>
      <c r="X10" s="16"/>
      <c r="Y10" s="16"/>
      <c r="Z10" s="16"/>
      <c r="AA10" s="18"/>
      <c r="AB10" s="8">
        <f t="shared" ref="AB10" si="14">IF(J10=0,"0",(L10/J10))</f>
        <v>1</v>
      </c>
      <c r="AC10" s="9">
        <f t="shared" ref="AC10" si="15">IF(P10=0,"0",(P10/24))</f>
        <v>0.66666666666666663</v>
      </c>
      <c r="AD10" s="10">
        <f t="shared" ref="AD10" si="16">AC10*AB10*(1-O10)</f>
        <v>0.66666666666666663</v>
      </c>
      <c r="AE10" s="36">
        <f t="shared" si="8"/>
        <v>0.45833333333333331</v>
      </c>
      <c r="AF10" s="87">
        <f t="shared" ref="AF10" si="17">A10</f>
        <v>4</v>
      </c>
    </row>
    <row r="11" spans="1:32" ht="27" customHeight="1">
      <c r="A11" s="103">
        <v>5</v>
      </c>
      <c r="B11" s="11" t="s">
        <v>57</v>
      </c>
      <c r="C11" s="34" t="s">
        <v>209</v>
      </c>
      <c r="D11" s="52" t="s">
        <v>226</v>
      </c>
      <c r="E11" s="53" t="s">
        <v>487</v>
      </c>
      <c r="F11" s="30" t="s">
        <v>235</v>
      </c>
      <c r="G11" s="33" t="s">
        <v>197</v>
      </c>
      <c r="H11" s="35">
        <v>24</v>
      </c>
      <c r="I11" s="7">
        <v>35000</v>
      </c>
      <c r="J11" s="5">
        <v>7284</v>
      </c>
      <c r="K11" s="15">
        <f>L11+3601+2209+6181</f>
        <v>19275</v>
      </c>
      <c r="L11" s="15">
        <f>4222+3062</f>
        <v>7284</v>
      </c>
      <c r="M11" s="15">
        <f t="shared" si="1"/>
        <v>7284</v>
      </c>
      <c r="N11" s="15">
        <v>0</v>
      </c>
      <c r="O11" s="58">
        <f t="shared" si="2"/>
        <v>0</v>
      </c>
      <c r="P11" s="39">
        <f t="shared" si="3"/>
        <v>22</v>
      </c>
      <c r="Q11" s="40">
        <f t="shared" si="4"/>
        <v>2</v>
      </c>
      <c r="R11" s="7"/>
      <c r="S11" s="6">
        <v>2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0.91666666666666663</v>
      </c>
      <c r="AD11" s="10">
        <f>AC11*AB11*(1-O11)</f>
        <v>0.91666666666666663</v>
      </c>
      <c r="AE11" s="36">
        <f t="shared" si="8"/>
        <v>0.45833333333333331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124</v>
      </c>
      <c r="D12" s="52" t="s">
        <v>183</v>
      </c>
      <c r="E12" s="53" t="s">
        <v>408</v>
      </c>
      <c r="F12" s="30" t="s">
        <v>154</v>
      </c>
      <c r="G12" s="33">
        <v>1</v>
      </c>
      <c r="H12" s="35">
        <v>24</v>
      </c>
      <c r="I12" s="7">
        <v>10000</v>
      </c>
      <c r="J12" s="5">
        <v>595</v>
      </c>
      <c r="K12" s="15">
        <f>L12+4769+871+1725+4157+702+1357+595</f>
        <v>14176</v>
      </c>
      <c r="L12" s="15"/>
      <c r="M12" s="15">
        <f t="shared" si="1"/>
        <v>0</v>
      </c>
      <c r="N12" s="15">
        <v>0</v>
      </c>
      <c r="O12" s="58" t="str">
        <f t="shared" si="2"/>
        <v>0</v>
      </c>
      <c r="P12" s="39" t="str">
        <f t="shared" si="3"/>
        <v>0</v>
      </c>
      <c r="Q12" s="40">
        <f t="shared" si="4"/>
        <v>24</v>
      </c>
      <c r="R12" s="7"/>
      <c r="S12" s="6">
        <v>24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0</v>
      </c>
      <c r="AC12" s="9">
        <f t="shared" si="6"/>
        <v>0</v>
      </c>
      <c r="AD12" s="10">
        <f>AC12*AB12*(1-O12)</f>
        <v>0</v>
      </c>
      <c r="AE12" s="36">
        <f t="shared" si="8"/>
        <v>0.45833333333333331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124</v>
      </c>
      <c r="D13" s="52" t="s">
        <v>138</v>
      </c>
      <c r="E13" s="53" t="s">
        <v>387</v>
      </c>
      <c r="F13" s="30" t="s">
        <v>274</v>
      </c>
      <c r="G13" s="33">
        <v>2</v>
      </c>
      <c r="H13" s="35">
        <v>24</v>
      </c>
      <c r="I13" s="7">
        <v>8000</v>
      </c>
      <c r="J13" s="14">
        <v>5576</v>
      </c>
      <c r="K13" s="15">
        <f>L13</f>
        <v>5576</v>
      </c>
      <c r="L13" s="15">
        <f>2788*2</f>
        <v>5576</v>
      </c>
      <c r="M13" s="15">
        <f t="shared" si="1"/>
        <v>5576</v>
      </c>
      <c r="N13" s="15">
        <v>0</v>
      </c>
      <c r="O13" s="58">
        <f t="shared" si="2"/>
        <v>0</v>
      </c>
      <c r="P13" s="39">
        <f t="shared" si="3"/>
        <v>17</v>
      </c>
      <c r="Q13" s="40">
        <f t="shared" si="4"/>
        <v>7</v>
      </c>
      <c r="R13" s="7"/>
      <c r="S13" s="6"/>
      <c r="T13" s="16">
        <v>7</v>
      </c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0.70833333333333337</v>
      </c>
      <c r="AD13" s="10">
        <f t="shared" ref="AD13:AD14" si="18">AC13*AB13*(1-O13)</f>
        <v>0.70833333333333337</v>
      </c>
      <c r="AE13" s="36">
        <f t="shared" si="8"/>
        <v>0.45833333333333331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130</v>
      </c>
      <c r="D14" s="52" t="s">
        <v>117</v>
      </c>
      <c r="E14" s="53" t="s">
        <v>161</v>
      </c>
      <c r="F14" s="30" t="s">
        <v>135</v>
      </c>
      <c r="G14" s="33">
        <v>2</v>
      </c>
      <c r="H14" s="35">
        <v>24</v>
      </c>
      <c r="I14" s="7">
        <v>22000</v>
      </c>
      <c r="J14" s="14">
        <v>9266</v>
      </c>
      <c r="K14" s="15">
        <f>L14+3768+9978</f>
        <v>23012</v>
      </c>
      <c r="L14" s="15">
        <f>2842*2+1791*2</f>
        <v>9266</v>
      </c>
      <c r="M14" s="15">
        <f t="shared" si="1"/>
        <v>9266</v>
      </c>
      <c r="N14" s="15">
        <v>0</v>
      </c>
      <c r="O14" s="58">
        <f t="shared" si="2"/>
        <v>0</v>
      </c>
      <c r="P14" s="39">
        <f t="shared" si="3"/>
        <v>22</v>
      </c>
      <c r="Q14" s="40">
        <f t="shared" si="4"/>
        <v>2</v>
      </c>
      <c r="R14" s="7"/>
      <c r="S14" s="6">
        <v>2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0.91666666666666663</v>
      </c>
      <c r="AD14" s="10">
        <f t="shared" si="18"/>
        <v>0.91666666666666663</v>
      </c>
      <c r="AE14" s="36">
        <f t="shared" si="8"/>
        <v>0.45833333333333331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124</v>
      </c>
      <c r="D15" s="52" t="s">
        <v>117</v>
      </c>
      <c r="E15" s="53" t="s">
        <v>371</v>
      </c>
      <c r="F15" s="30" t="s">
        <v>151</v>
      </c>
      <c r="G15" s="12">
        <v>1</v>
      </c>
      <c r="H15" s="13">
        <v>45</v>
      </c>
      <c r="I15" s="7">
        <v>300</v>
      </c>
      <c r="J15" s="5">
        <v>516</v>
      </c>
      <c r="K15" s="15">
        <f>L15+516</f>
        <v>516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0.45833333333333331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209</v>
      </c>
      <c r="D16" s="52" t="s">
        <v>183</v>
      </c>
      <c r="E16" s="53" t="s">
        <v>558</v>
      </c>
      <c r="F16" s="12" t="s">
        <v>221</v>
      </c>
      <c r="G16" s="12">
        <v>1</v>
      </c>
      <c r="H16" s="13">
        <v>24</v>
      </c>
      <c r="I16" s="31">
        <v>3000</v>
      </c>
      <c r="J16" s="14">
        <v>1158</v>
      </c>
      <c r="K16" s="15">
        <f>L16+4727+1158</f>
        <v>5885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0.45833333333333331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153</v>
      </c>
      <c r="D17" s="52" t="s">
        <v>125</v>
      </c>
      <c r="E17" s="53" t="s">
        <v>163</v>
      </c>
      <c r="F17" s="30" t="s">
        <v>127</v>
      </c>
      <c r="G17" s="12">
        <v>1</v>
      </c>
      <c r="H17" s="13">
        <v>28</v>
      </c>
      <c r="I17" s="7">
        <v>300</v>
      </c>
      <c r="J17" s="14">
        <v>328</v>
      </c>
      <c r="K17" s="15">
        <f>L17</f>
        <v>328</v>
      </c>
      <c r="L17" s="15">
        <v>328</v>
      </c>
      <c r="M17" s="15">
        <f t="shared" si="1"/>
        <v>328</v>
      </c>
      <c r="N17" s="15">
        <v>0</v>
      </c>
      <c r="O17" s="58">
        <f t="shared" si="2"/>
        <v>0</v>
      </c>
      <c r="P17" s="39">
        <f t="shared" si="3"/>
        <v>5</v>
      </c>
      <c r="Q17" s="40">
        <f t="shared" si="4"/>
        <v>19</v>
      </c>
      <c r="R17" s="7"/>
      <c r="S17" s="6"/>
      <c r="T17" s="16"/>
      <c r="U17" s="16"/>
      <c r="V17" s="17"/>
      <c r="W17" s="5">
        <v>19</v>
      </c>
      <c r="X17" s="16"/>
      <c r="Y17" s="16"/>
      <c r="Z17" s="16"/>
      <c r="AA17" s="18"/>
      <c r="AB17" s="8">
        <f t="shared" si="5"/>
        <v>1</v>
      </c>
      <c r="AC17" s="9">
        <f t="shared" si="6"/>
        <v>0.20833333333333334</v>
      </c>
      <c r="AD17" s="10">
        <f t="shared" si="7"/>
        <v>0.20833333333333334</v>
      </c>
      <c r="AE17" s="36">
        <f t="shared" si="8"/>
        <v>0.45833333333333331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130</v>
      </c>
      <c r="D18" s="52" t="s">
        <v>125</v>
      </c>
      <c r="E18" s="53" t="s">
        <v>563</v>
      </c>
      <c r="F18" s="30" t="s">
        <v>137</v>
      </c>
      <c r="G18" s="33">
        <v>2</v>
      </c>
      <c r="H18" s="35">
        <v>24</v>
      </c>
      <c r="I18" s="7">
        <v>20000</v>
      </c>
      <c r="J18" s="5">
        <v>11450</v>
      </c>
      <c r="K18" s="15">
        <f>L18+11282</f>
        <v>22732</v>
      </c>
      <c r="L18" s="15">
        <f>2918*2+2807*2</f>
        <v>11450</v>
      </c>
      <c r="M18" s="15">
        <f t="shared" si="1"/>
        <v>11450</v>
      </c>
      <c r="N18" s="15">
        <v>0</v>
      </c>
      <c r="O18" s="58">
        <f t="shared" si="2"/>
        <v>0</v>
      </c>
      <c r="P18" s="39">
        <f t="shared" si="3"/>
        <v>24</v>
      </c>
      <c r="Q18" s="40">
        <f t="shared" si="4"/>
        <v>0</v>
      </c>
      <c r="R18" s="7"/>
      <c r="S18" s="6"/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1</v>
      </c>
      <c r="AD18" s="10">
        <f t="shared" si="7"/>
        <v>1</v>
      </c>
      <c r="AE18" s="36">
        <f t="shared" si="8"/>
        <v>0.45833333333333331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124</v>
      </c>
      <c r="D19" s="52" t="s">
        <v>320</v>
      </c>
      <c r="E19" s="53" t="s">
        <v>582</v>
      </c>
      <c r="F19" s="30" t="s">
        <v>274</v>
      </c>
      <c r="G19" s="33">
        <v>1</v>
      </c>
      <c r="H19" s="35">
        <v>24</v>
      </c>
      <c r="I19" s="7">
        <v>8500</v>
      </c>
      <c r="J19" s="14">
        <v>3459</v>
      </c>
      <c r="K19" s="15">
        <f>L19</f>
        <v>3459</v>
      </c>
      <c r="L19" s="15">
        <f>624+2835</f>
        <v>3459</v>
      </c>
      <c r="M19" s="15">
        <f t="shared" si="1"/>
        <v>3459</v>
      </c>
      <c r="N19" s="15">
        <v>0</v>
      </c>
      <c r="O19" s="58">
        <f t="shared" si="2"/>
        <v>0</v>
      </c>
      <c r="P19" s="39">
        <f t="shared" si="3"/>
        <v>19</v>
      </c>
      <c r="Q19" s="40">
        <f t="shared" si="4"/>
        <v>5</v>
      </c>
      <c r="R19" s="7"/>
      <c r="S19" s="6"/>
      <c r="T19" s="16">
        <v>5</v>
      </c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0.79166666666666663</v>
      </c>
      <c r="AD19" s="10">
        <f t="shared" si="7"/>
        <v>0.79166666666666663</v>
      </c>
      <c r="AE19" s="36">
        <f t="shared" si="8"/>
        <v>0.45833333333333331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124</v>
      </c>
      <c r="D20" s="52" t="s">
        <v>117</v>
      </c>
      <c r="E20" s="53" t="s">
        <v>160</v>
      </c>
      <c r="F20" s="30" t="s">
        <v>151</v>
      </c>
      <c r="G20" s="33">
        <v>1</v>
      </c>
      <c r="H20" s="35">
        <v>24</v>
      </c>
      <c r="I20" s="7">
        <v>8000</v>
      </c>
      <c r="J20" s="14">
        <v>4604</v>
      </c>
      <c r="K20" s="15">
        <f>L20+3114+4726+4604</f>
        <v>12444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/>
      <c r="W20" s="5"/>
      <c r="X20" s="16"/>
      <c r="Y20" s="16"/>
      <c r="Z20" s="16"/>
      <c r="AA20" s="18">
        <v>24</v>
      </c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0.45833333333333331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260</v>
      </c>
      <c r="F21" s="12" t="s">
        <v>116</v>
      </c>
      <c r="G21" s="12">
        <v>4</v>
      </c>
      <c r="H21" s="35">
        <v>20</v>
      </c>
      <c r="I21" s="7">
        <v>500000</v>
      </c>
      <c r="J21" s="14">
        <v>34480</v>
      </c>
      <c r="K21" s="15">
        <f>L21+16528+39012+44316+40172+38096</f>
        <v>212604</v>
      </c>
      <c r="L21" s="15">
        <f>8155*4+465*4</f>
        <v>34480</v>
      </c>
      <c r="M21" s="15">
        <f t="shared" si="1"/>
        <v>34480</v>
      </c>
      <c r="N21" s="15">
        <v>0</v>
      </c>
      <c r="O21" s="58">
        <f t="shared" si="2"/>
        <v>0</v>
      </c>
      <c r="P21" s="39">
        <f t="shared" si="3"/>
        <v>12</v>
      </c>
      <c r="Q21" s="40">
        <f t="shared" si="4"/>
        <v>12</v>
      </c>
      <c r="R21" s="7"/>
      <c r="S21" s="6"/>
      <c r="T21" s="16"/>
      <c r="U21" s="16"/>
      <c r="V21" s="17">
        <v>12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</v>
      </c>
      <c r="AD21" s="10">
        <f t="shared" si="7"/>
        <v>0.5</v>
      </c>
      <c r="AE21" s="36">
        <f t="shared" si="8"/>
        <v>0.45833333333333331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9">SUM(I6:I21)</f>
        <v>719600</v>
      </c>
      <c r="J22" s="19">
        <f t="shared" si="19"/>
        <v>89187</v>
      </c>
      <c r="K22" s="20">
        <f t="shared" si="19"/>
        <v>347526</v>
      </c>
      <c r="L22" s="21">
        <f t="shared" si="19"/>
        <v>80253</v>
      </c>
      <c r="M22" s="20">
        <f t="shared" si="19"/>
        <v>80253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165</v>
      </c>
      <c r="Q22" s="43">
        <f t="shared" si="20"/>
        <v>219</v>
      </c>
      <c r="R22" s="23">
        <f t="shared" si="20"/>
        <v>24</v>
      </c>
      <c r="S22" s="24">
        <f t="shared" si="20"/>
        <v>48</v>
      </c>
      <c r="T22" s="24">
        <f t="shared" si="20"/>
        <v>20</v>
      </c>
      <c r="U22" s="24">
        <f t="shared" si="20"/>
        <v>0</v>
      </c>
      <c r="V22" s="25">
        <f t="shared" si="20"/>
        <v>36</v>
      </c>
      <c r="W22" s="26">
        <f t="shared" si="20"/>
        <v>67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24</v>
      </c>
      <c r="AB22" s="28">
        <f>SUM(AB6:AB21)/15</f>
        <v>0.66666666666666663</v>
      </c>
      <c r="AC22" s="4">
        <f>SUM(AC6:AC21)/15</f>
        <v>0.45833333333333331</v>
      </c>
      <c r="AD22" s="4">
        <f>SUM(AD6:AD21)/15</f>
        <v>0.45833333333333331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589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591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374" t="s">
        <v>46</v>
      </c>
      <c r="D51" s="374" t="s">
        <v>47</v>
      </c>
      <c r="E51" s="374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374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114</v>
      </c>
      <c r="B52" s="486"/>
      <c r="C52" s="376" t="s">
        <v>262</v>
      </c>
      <c r="D52" s="376" t="s">
        <v>320</v>
      </c>
      <c r="E52" s="376" t="s">
        <v>319</v>
      </c>
      <c r="F52" s="487" t="s">
        <v>561</v>
      </c>
      <c r="G52" s="488"/>
      <c r="H52" s="488"/>
      <c r="I52" s="488"/>
      <c r="J52" s="488"/>
      <c r="K52" s="488"/>
      <c r="L52" s="488"/>
      <c r="M52" s="489"/>
      <c r="N52" s="375" t="s">
        <v>114</v>
      </c>
      <c r="O52" s="380" t="s">
        <v>262</v>
      </c>
      <c r="P52" s="499" t="s">
        <v>320</v>
      </c>
      <c r="Q52" s="500"/>
      <c r="R52" s="486" t="s">
        <v>319</v>
      </c>
      <c r="S52" s="486"/>
      <c r="T52" s="486"/>
      <c r="U52" s="486"/>
      <c r="V52" s="476" t="s">
        <v>204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114</v>
      </c>
      <c r="B53" s="486"/>
      <c r="C53" s="376" t="s">
        <v>144</v>
      </c>
      <c r="D53" s="376" t="s">
        <v>401</v>
      </c>
      <c r="E53" s="376" t="s">
        <v>421</v>
      </c>
      <c r="F53" s="487" t="s">
        <v>263</v>
      </c>
      <c r="G53" s="488"/>
      <c r="H53" s="488"/>
      <c r="I53" s="488"/>
      <c r="J53" s="488"/>
      <c r="K53" s="488"/>
      <c r="L53" s="488"/>
      <c r="M53" s="489"/>
      <c r="N53" s="375"/>
      <c r="O53" s="380"/>
      <c r="P53" s="499"/>
      <c r="Q53" s="500"/>
      <c r="R53" s="499"/>
      <c r="S53" s="501"/>
      <c r="T53" s="501"/>
      <c r="U53" s="500"/>
      <c r="V53" s="476"/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209</v>
      </c>
      <c r="B54" s="486"/>
      <c r="C54" s="376" t="s">
        <v>128</v>
      </c>
      <c r="D54" s="376"/>
      <c r="E54" s="376" t="s">
        <v>487</v>
      </c>
      <c r="F54" s="487" t="s">
        <v>204</v>
      </c>
      <c r="G54" s="488"/>
      <c r="H54" s="488"/>
      <c r="I54" s="488"/>
      <c r="J54" s="488"/>
      <c r="K54" s="488"/>
      <c r="L54" s="488"/>
      <c r="M54" s="489"/>
      <c r="N54" s="375"/>
      <c r="O54" s="380"/>
      <c r="P54" s="499"/>
      <c r="Q54" s="500"/>
      <c r="R54" s="499"/>
      <c r="S54" s="501"/>
      <c r="T54" s="501"/>
      <c r="U54" s="500"/>
      <c r="V54" s="476"/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376" t="s">
        <v>144</v>
      </c>
      <c r="D55" s="376" t="s">
        <v>183</v>
      </c>
      <c r="E55" s="376" t="s">
        <v>465</v>
      </c>
      <c r="F55" s="487" t="s">
        <v>120</v>
      </c>
      <c r="G55" s="488"/>
      <c r="H55" s="488"/>
      <c r="I55" s="488"/>
      <c r="J55" s="488"/>
      <c r="K55" s="488"/>
      <c r="L55" s="488"/>
      <c r="M55" s="489"/>
      <c r="N55" s="375"/>
      <c r="O55" s="380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130</v>
      </c>
      <c r="B56" s="486"/>
      <c r="C56" s="376" t="s">
        <v>178</v>
      </c>
      <c r="D56" s="376" t="s">
        <v>117</v>
      </c>
      <c r="E56" s="376" t="s">
        <v>161</v>
      </c>
      <c r="F56" s="487" t="s">
        <v>204</v>
      </c>
      <c r="G56" s="488"/>
      <c r="H56" s="488"/>
      <c r="I56" s="488"/>
      <c r="J56" s="488"/>
      <c r="K56" s="488"/>
      <c r="L56" s="488"/>
      <c r="M56" s="489"/>
      <c r="N56" s="375"/>
      <c r="O56" s="380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124</v>
      </c>
      <c r="B57" s="486"/>
      <c r="C57" s="376" t="s">
        <v>134</v>
      </c>
      <c r="D57" s="376" t="s">
        <v>138</v>
      </c>
      <c r="E57" s="376" t="s">
        <v>387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375"/>
      <c r="O57" s="380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124</v>
      </c>
      <c r="B58" s="486"/>
      <c r="C58" s="376" t="s">
        <v>211</v>
      </c>
      <c r="D58" s="376" t="s">
        <v>320</v>
      </c>
      <c r="E58" s="376" t="s">
        <v>582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375"/>
      <c r="O58" s="380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153</v>
      </c>
      <c r="B59" s="486"/>
      <c r="C59" s="376" t="s">
        <v>264</v>
      </c>
      <c r="D59" s="376" t="s">
        <v>125</v>
      </c>
      <c r="E59" s="376" t="s">
        <v>163</v>
      </c>
      <c r="F59" s="487" t="s">
        <v>590</v>
      </c>
      <c r="G59" s="488"/>
      <c r="H59" s="488"/>
      <c r="I59" s="488"/>
      <c r="J59" s="488"/>
      <c r="K59" s="488"/>
      <c r="L59" s="488"/>
      <c r="M59" s="489"/>
      <c r="N59" s="375"/>
      <c r="O59" s="380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376"/>
      <c r="D60" s="376"/>
      <c r="E60" s="376"/>
      <c r="F60" s="487"/>
      <c r="G60" s="488"/>
      <c r="H60" s="488"/>
      <c r="I60" s="488"/>
      <c r="J60" s="488"/>
      <c r="K60" s="488"/>
      <c r="L60" s="488"/>
      <c r="M60" s="489"/>
      <c r="N60" s="375"/>
      <c r="O60" s="380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377"/>
      <c r="D61" s="377"/>
      <c r="E61" s="377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592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378" t="s">
        <v>2</v>
      </c>
      <c r="D63" s="378" t="s">
        <v>37</v>
      </c>
      <c r="E63" s="378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378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 t="s">
        <v>114</v>
      </c>
      <c r="D64" s="382"/>
      <c r="E64" s="379" t="s">
        <v>122</v>
      </c>
      <c r="F64" s="543" t="s">
        <v>593</v>
      </c>
      <c r="G64" s="544"/>
      <c r="H64" s="544"/>
      <c r="I64" s="544"/>
      <c r="J64" s="545"/>
      <c r="K64" s="546">
        <v>7301</v>
      </c>
      <c r="L64" s="473"/>
      <c r="M64" s="51" t="s">
        <v>216</v>
      </c>
      <c r="N64" s="547" t="s">
        <v>143</v>
      </c>
      <c r="O64" s="548"/>
      <c r="P64" s="549">
        <v>50</v>
      </c>
      <c r="Q64" s="550"/>
      <c r="R64" s="487"/>
      <c r="S64" s="488"/>
      <c r="T64" s="488"/>
      <c r="U64" s="488"/>
      <c r="V64" s="488"/>
      <c r="W64" s="488"/>
      <c r="X64" s="488"/>
      <c r="Y64" s="488"/>
      <c r="Z64" s="488"/>
      <c r="AA64" s="551"/>
      <c r="AB64" s="546"/>
      <c r="AC64" s="552"/>
      <c r="AD64" s="553"/>
      <c r="AF64" s="50"/>
    </row>
    <row r="65" spans="1:32" ht="25.5" customHeight="1">
      <c r="A65" s="472">
        <v>2</v>
      </c>
      <c r="B65" s="473"/>
      <c r="C65" s="117" t="s">
        <v>124</v>
      </c>
      <c r="D65" s="382"/>
      <c r="E65" s="379" t="s">
        <v>138</v>
      </c>
      <c r="F65" s="474" t="s">
        <v>594</v>
      </c>
      <c r="G65" s="466"/>
      <c r="H65" s="466"/>
      <c r="I65" s="466"/>
      <c r="J65" s="466"/>
      <c r="K65" s="466" t="s">
        <v>304</v>
      </c>
      <c r="L65" s="466"/>
      <c r="M65" s="51" t="s">
        <v>216</v>
      </c>
      <c r="N65" s="477" t="s">
        <v>211</v>
      </c>
      <c r="O65" s="477"/>
      <c r="P65" s="475">
        <v>100</v>
      </c>
      <c r="Q65" s="475"/>
      <c r="R65" s="476" t="s">
        <v>595</v>
      </c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 t="s">
        <v>124</v>
      </c>
      <c r="D66" s="382"/>
      <c r="E66" s="379" t="s">
        <v>117</v>
      </c>
      <c r="F66" s="474" t="s">
        <v>596</v>
      </c>
      <c r="G66" s="466"/>
      <c r="H66" s="466"/>
      <c r="I66" s="466"/>
      <c r="J66" s="466"/>
      <c r="K66" s="466" t="s">
        <v>274</v>
      </c>
      <c r="L66" s="466"/>
      <c r="M66" s="51" t="s">
        <v>216</v>
      </c>
      <c r="N66" s="477" t="s">
        <v>211</v>
      </c>
      <c r="O66" s="477"/>
      <c r="P66" s="475">
        <v>50</v>
      </c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 t="s">
        <v>114</v>
      </c>
      <c r="D67" s="382"/>
      <c r="E67" s="379" t="s">
        <v>117</v>
      </c>
      <c r="F67" s="474" t="s">
        <v>419</v>
      </c>
      <c r="G67" s="466"/>
      <c r="H67" s="466"/>
      <c r="I67" s="466"/>
      <c r="J67" s="466"/>
      <c r="K67" s="466" t="s">
        <v>135</v>
      </c>
      <c r="L67" s="466"/>
      <c r="M67" s="51" t="s">
        <v>325</v>
      </c>
      <c r="N67" s="477" t="s">
        <v>134</v>
      </c>
      <c r="O67" s="477"/>
      <c r="P67" s="475">
        <v>50</v>
      </c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382"/>
      <c r="E68" s="379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382"/>
      <c r="E69" s="379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382"/>
      <c r="E70" s="379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382"/>
      <c r="E71" s="379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597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381" t="s">
        <v>2</v>
      </c>
      <c r="D73" s="381" t="s">
        <v>37</v>
      </c>
      <c r="E73" s="381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383" t="s">
        <v>114</v>
      </c>
      <c r="D74" s="383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382"/>
      <c r="D75" s="382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1">A75+1</f>
        <v>3</v>
      </c>
      <c r="B76" s="434"/>
      <c r="C76" s="382"/>
      <c r="D76" s="382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1"/>
        <v>4</v>
      </c>
      <c r="B77" s="434"/>
      <c r="C77" s="382"/>
      <c r="D77" s="382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5</v>
      </c>
      <c r="B78" s="434"/>
      <c r="C78" s="382"/>
      <c r="D78" s="382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6</v>
      </c>
      <c r="B79" s="434"/>
      <c r="C79" s="382"/>
      <c r="D79" s="382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7</v>
      </c>
      <c r="B80" s="434"/>
      <c r="C80" s="382"/>
      <c r="D80" s="382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8</v>
      </c>
      <c r="B81" s="434"/>
      <c r="C81" s="382"/>
      <c r="D81" s="382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9</v>
      </c>
      <c r="B82" s="434"/>
      <c r="C82" s="382"/>
      <c r="D82" s="382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598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E141-FDDD-462F-B9C1-808377D945D1}">
  <dimension ref="A1:AF86"/>
  <sheetViews>
    <sheetView zoomScale="72" zoomScaleNormal="72" zoomScaleSheetLayoutView="70" workbookViewId="0">
      <selection activeCell="K75" sqref="K75:S75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599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73" t="s">
        <v>17</v>
      </c>
      <c r="L5" s="373" t="s">
        <v>18</v>
      </c>
      <c r="M5" s="373" t="s">
        <v>19</v>
      </c>
      <c r="N5" s="373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 t="shared" ref="AE6:AE20" si="8">$AD$21</f>
        <v>0.1277777777777778</v>
      </c>
      <c r="AF6" s="87">
        <f t="shared" ref="AF6:AF20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0.1277777777777778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320</v>
      </c>
      <c r="E8" s="53" t="s">
        <v>319</v>
      </c>
      <c r="F8" s="30" t="s">
        <v>123</v>
      </c>
      <c r="G8" s="33">
        <v>1</v>
      </c>
      <c r="H8" s="35">
        <v>24</v>
      </c>
      <c r="I8" s="7">
        <v>10000</v>
      </c>
      <c r="J8" s="14">
        <v>1352</v>
      </c>
      <c r="K8" s="15">
        <f>L8+2633+4507</f>
        <v>8492</v>
      </c>
      <c r="L8" s="15">
        <v>1352</v>
      </c>
      <c r="M8" s="15">
        <f t="shared" si="1"/>
        <v>1352</v>
      </c>
      <c r="N8" s="15">
        <v>0</v>
      </c>
      <c r="O8" s="58">
        <f t="shared" si="2"/>
        <v>0</v>
      </c>
      <c r="P8" s="39">
        <f t="shared" si="3"/>
        <v>7</v>
      </c>
      <c r="Q8" s="40">
        <f t="shared" si="4"/>
        <v>17</v>
      </c>
      <c r="R8" s="7"/>
      <c r="S8" s="6">
        <v>3</v>
      </c>
      <c r="T8" s="16"/>
      <c r="U8" s="16"/>
      <c r="V8" s="17">
        <v>14</v>
      </c>
      <c r="W8" s="5"/>
      <c r="X8" s="16"/>
      <c r="Y8" s="16"/>
      <c r="Z8" s="16"/>
      <c r="AA8" s="18"/>
      <c r="AB8" s="8">
        <f t="shared" si="5"/>
        <v>1</v>
      </c>
      <c r="AC8" s="9">
        <f t="shared" si="6"/>
        <v>0.29166666666666669</v>
      </c>
      <c r="AD8" s="10">
        <f t="shared" si="7"/>
        <v>0.29166666666666669</v>
      </c>
      <c r="AE8" s="36">
        <f t="shared" si="8"/>
        <v>0.1277777777777778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124</v>
      </c>
      <c r="D9" s="52" t="s">
        <v>183</v>
      </c>
      <c r="E9" s="53" t="s">
        <v>465</v>
      </c>
      <c r="F9" s="30" t="s">
        <v>380</v>
      </c>
      <c r="G9" s="33">
        <v>1</v>
      </c>
      <c r="H9" s="35">
        <v>24</v>
      </c>
      <c r="I9" s="7">
        <v>3500</v>
      </c>
      <c r="J9" s="14">
        <v>2384</v>
      </c>
      <c r="K9" s="15">
        <f>L9+2749</f>
        <v>5133</v>
      </c>
      <c r="L9" s="15">
        <v>2384</v>
      </c>
      <c r="M9" s="15">
        <f t="shared" si="1"/>
        <v>2384</v>
      </c>
      <c r="N9" s="15">
        <v>0</v>
      </c>
      <c r="O9" s="58">
        <f t="shared" si="2"/>
        <v>0</v>
      </c>
      <c r="P9" s="39">
        <f t="shared" si="3"/>
        <v>7</v>
      </c>
      <c r="Q9" s="40">
        <f t="shared" si="4"/>
        <v>17</v>
      </c>
      <c r="R9" s="7"/>
      <c r="S9" s="6"/>
      <c r="T9" s="16"/>
      <c r="U9" s="16"/>
      <c r="V9" s="17"/>
      <c r="W9" s="5">
        <v>17</v>
      </c>
      <c r="X9" s="16"/>
      <c r="Y9" s="16"/>
      <c r="Z9" s="16"/>
      <c r="AA9" s="18"/>
      <c r="AB9" s="8">
        <f t="shared" si="5"/>
        <v>1</v>
      </c>
      <c r="AC9" s="9">
        <f t="shared" si="6"/>
        <v>0.29166666666666669</v>
      </c>
      <c r="AD9" s="10">
        <f t="shared" si="7"/>
        <v>0.29166666666666669</v>
      </c>
      <c r="AE9" s="36">
        <f t="shared" si="8"/>
        <v>0.1277777777777778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1089</v>
      </c>
      <c r="K10" s="15">
        <f>L10+3601+2209+6181+7284</f>
        <v>20364</v>
      </c>
      <c r="L10" s="15">
        <v>1089</v>
      </c>
      <c r="M10" s="15">
        <f t="shared" si="1"/>
        <v>1089</v>
      </c>
      <c r="N10" s="15">
        <v>0</v>
      </c>
      <c r="O10" s="58">
        <f t="shared" si="2"/>
        <v>0</v>
      </c>
      <c r="P10" s="39">
        <f t="shared" si="3"/>
        <v>6</v>
      </c>
      <c r="Q10" s="40">
        <f t="shared" si="4"/>
        <v>18</v>
      </c>
      <c r="R10" s="7"/>
      <c r="S10" s="6">
        <v>4</v>
      </c>
      <c r="T10" s="16"/>
      <c r="U10" s="16"/>
      <c r="V10" s="17">
        <v>14</v>
      </c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0.25</v>
      </c>
      <c r="AD10" s="10">
        <f>AC10*AB10*(1-O10)</f>
        <v>0.25</v>
      </c>
      <c r="AE10" s="36">
        <f t="shared" si="8"/>
        <v>0.1277777777777778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595</v>
      </c>
      <c r="K11" s="15">
        <f>L11+4769+871+1725+4157+702+1357+595</f>
        <v>14176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0.1277777777777778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124</v>
      </c>
      <c r="D12" s="52" t="s">
        <v>138</v>
      </c>
      <c r="E12" s="53" t="s">
        <v>387</v>
      </c>
      <c r="F12" s="30" t="s">
        <v>274</v>
      </c>
      <c r="G12" s="33">
        <v>2</v>
      </c>
      <c r="H12" s="35">
        <v>24</v>
      </c>
      <c r="I12" s="7">
        <v>8000</v>
      </c>
      <c r="J12" s="14">
        <v>4850</v>
      </c>
      <c r="K12" s="15">
        <f>L12+5576</f>
        <v>10426</v>
      </c>
      <c r="L12" s="15">
        <f>2425*2</f>
        <v>4850</v>
      </c>
      <c r="M12" s="15">
        <f t="shared" si="1"/>
        <v>4850</v>
      </c>
      <c r="N12" s="15">
        <v>0</v>
      </c>
      <c r="O12" s="58">
        <f t="shared" si="2"/>
        <v>0</v>
      </c>
      <c r="P12" s="39">
        <f t="shared" si="3"/>
        <v>10</v>
      </c>
      <c r="Q12" s="40">
        <f t="shared" si="4"/>
        <v>14</v>
      </c>
      <c r="R12" s="7"/>
      <c r="S12" s="6"/>
      <c r="T12" s="16"/>
      <c r="U12" s="16"/>
      <c r="V12" s="17">
        <v>14</v>
      </c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0.41666666666666669</v>
      </c>
      <c r="AD12" s="10">
        <f t="shared" ref="AD12:AD13" si="10">AC12*AB12*(1-O12)</f>
        <v>0.41666666666666669</v>
      </c>
      <c r="AE12" s="36">
        <f t="shared" si="8"/>
        <v>0.1277777777777778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117</v>
      </c>
      <c r="E13" s="53" t="s">
        <v>161</v>
      </c>
      <c r="F13" s="30" t="s">
        <v>135</v>
      </c>
      <c r="G13" s="33">
        <v>2</v>
      </c>
      <c r="H13" s="35">
        <v>24</v>
      </c>
      <c r="I13" s="7">
        <v>22000</v>
      </c>
      <c r="J13" s="14">
        <v>3810</v>
      </c>
      <c r="K13" s="15">
        <f>L13+3768+9978+9266</f>
        <v>26822</v>
      </c>
      <c r="L13" s="15">
        <f>1905*2</f>
        <v>3810</v>
      </c>
      <c r="M13" s="15">
        <f t="shared" si="1"/>
        <v>3810</v>
      </c>
      <c r="N13" s="15">
        <v>0</v>
      </c>
      <c r="O13" s="58">
        <f t="shared" si="2"/>
        <v>0</v>
      </c>
      <c r="P13" s="39">
        <f t="shared" si="3"/>
        <v>6</v>
      </c>
      <c r="Q13" s="40">
        <f t="shared" si="4"/>
        <v>18</v>
      </c>
      <c r="R13" s="7"/>
      <c r="S13" s="6"/>
      <c r="T13" s="16"/>
      <c r="U13" s="16"/>
      <c r="V13" s="17"/>
      <c r="W13" s="5">
        <v>18</v>
      </c>
      <c r="X13" s="16"/>
      <c r="Y13" s="16"/>
      <c r="Z13" s="16"/>
      <c r="AA13" s="18"/>
      <c r="AB13" s="8">
        <f t="shared" si="5"/>
        <v>1</v>
      </c>
      <c r="AC13" s="9">
        <f t="shared" si="6"/>
        <v>0.25</v>
      </c>
      <c r="AD13" s="10">
        <f t="shared" si="10"/>
        <v>0.25</v>
      </c>
      <c r="AE13" s="36">
        <f t="shared" si="8"/>
        <v>0.1277777777777778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0.1277777777777778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209</v>
      </c>
      <c r="D15" s="52" t="s">
        <v>183</v>
      </c>
      <c r="E15" s="53" t="s">
        <v>558</v>
      </c>
      <c r="F15" s="12" t="s">
        <v>221</v>
      </c>
      <c r="G15" s="12">
        <v>1</v>
      </c>
      <c r="H15" s="13">
        <v>24</v>
      </c>
      <c r="I15" s="31">
        <v>3000</v>
      </c>
      <c r="J15" s="14">
        <v>1158</v>
      </c>
      <c r="K15" s="15">
        <f>L15+4727+1158</f>
        <v>5885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0.1277777777777778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153</v>
      </c>
      <c r="D16" s="52" t="s">
        <v>125</v>
      </c>
      <c r="E16" s="53" t="s">
        <v>163</v>
      </c>
      <c r="F16" s="30" t="s">
        <v>127</v>
      </c>
      <c r="G16" s="12">
        <v>1</v>
      </c>
      <c r="H16" s="13">
        <v>28</v>
      </c>
      <c r="I16" s="7">
        <v>300</v>
      </c>
      <c r="J16" s="14">
        <v>328</v>
      </c>
      <c r="K16" s="15">
        <f>L16+328</f>
        <v>328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0.1277777777777778</v>
      </c>
      <c r="AF16" s="87">
        <f t="shared" si="9"/>
        <v>11</v>
      </c>
    </row>
    <row r="17" spans="1:32" ht="27" customHeight="1">
      <c r="A17" s="102">
        <v>12</v>
      </c>
      <c r="B17" s="11" t="s">
        <v>57</v>
      </c>
      <c r="C17" s="34" t="s">
        <v>130</v>
      </c>
      <c r="D17" s="52" t="s">
        <v>125</v>
      </c>
      <c r="E17" s="53" t="s">
        <v>563</v>
      </c>
      <c r="F17" s="30" t="s">
        <v>137</v>
      </c>
      <c r="G17" s="33">
        <v>2</v>
      </c>
      <c r="H17" s="35">
        <v>24</v>
      </c>
      <c r="I17" s="7">
        <v>20000</v>
      </c>
      <c r="J17" s="5">
        <v>11450</v>
      </c>
      <c r="K17" s="15">
        <f>L17+11282+11450</f>
        <v>22732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0.1277777777777778</v>
      </c>
      <c r="AF17" s="87">
        <f t="shared" si="9"/>
        <v>12</v>
      </c>
    </row>
    <row r="18" spans="1:32" ht="27" customHeight="1">
      <c r="A18" s="103">
        <v>13</v>
      </c>
      <c r="B18" s="11" t="s">
        <v>57</v>
      </c>
      <c r="C18" s="11" t="s">
        <v>124</v>
      </c>
      <c r="D18" s="52" t="s">
        <v>320</v>
      </c>
      <c r="E18" s="53" t="s">
        <v>582</v>
      </c>
      <c r="F18" s="30" t="s">
        <v>274</v>
      </c>
      <c r="G18" s="33">
        <v>1</v>
      </c>
      <c r="H18" s="35">
        <v>24</v>
      </c>
      <c r="I18" s="7">
        <v>8500</v>
      </c>
      <c r="J18" s="14">
        <v>2474</v>
      </c>
      <c r="K18" s="15">
        <f>L18+3459</f>
        <v>5933</v>
      </c>
      <c r="L18" s="15">
        <v>2474</v>
      </c>
      <c r="M18" s="15">
        <f t="shared" si="1"/>
        <v>2474</v>
      </c>
      <c r="N18" s="15">
        <v>0</v>
      </c>
      <c r="O18" s="58">
        <f t="shared" si="2"/>
        <v>0</v>
      </c>
      <c r="P18" s="39">
        <f t="shared" si="3"/>
        <v>10</v>
      </c>
      <c r="Q18" s="40">
        <f t="shared" si="4"/>
        <v>14</v>
      </c>
      <c r="R18" s="7"/>
      <c r="S18" s="6"/>
      <c r="T18" s="16"/>
      <c r="U18" s="16"/>
      <c r="V18" s="17">
        <v>14</v>
      </c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0.41666666666666669</v>
      </c>
      <c r="AD18" s="10">
        <f t="shared" si="7"/>
        <v>0.41666666666666669</v>
      </c>
      <c r="AE18" s="36">
        <f t="shared" si="8"/>
        <v>0.1277777777777778</v>
      </c>
      <c r="AF18" s="87">
        <f t="shared" si="9"/>
        <v>13</v>
      </c>
    </row>
    <row r="19" spans="1:32" ht="27" customHeight="1">
      <c r="A19" s="103">
        <v>14</v>
      </c>
      <c r="B19" s="11" t="s">
        <v>57</v>
      </c>
      <c r="C19" s="11" t="s">
        <v>124</v>
      </c>
      <c r="D19" s="52" t="s">
        <v>117</v>
      </c>
      <c r="E19" s="53" t="s">
        <v>160</v>
      </c>
      <c r="F19" s="30" t="s">
        <v>151</v>
      </c>
      <c r="G19" s="33">
        <v>1</v>
      </c>
      <c r="H19" s="35">
        <v>24</v>
      </c>
      <c r="I19" s="7">
        <v>8000</v>
      </c>
      <c r="J19" s="14">
        <v>4604</v>
      </c>
      <c r="K19" s="15">
        <f>L19+3114+4726+4604</f>
        <v>12444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/>
      <c r="T19" s="16"/>
      <c r="U19" s="16"/>
      <c r="V19" s="17"/>
      <c r="W19" s="5"/>
      <c r="X19" s="16"/>
      <c r="Y19" s="16"/>
      <c r="Z19" s="16"/>
      <c r="AA19" s="18">
        <v>24</v>
      </c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0.1277777777777778</v>
      </c>
      <c r="AF19" s="87">
        <f t="shared" si="9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260</v>
      </c>
      <c r="F20" s="12" t="s">
        <v>116</v>
      </c>
      <c r="G20" s="12">
        <v>4</v>
      </c>
      <c r="H20" s="35">
        <v>20</v>
      </c>
      <c r="I20" s="7">
        <v>500000</v>
      </c>
      <c r="J20" s="14">
        <v>34480</v>
      </c>
      <c r="K20" s="15">
        <f>L20+16528+39012+44316+40172+38096+34480</f>
        <v>212604</v>
      </c>
      <c r="L20" s="15"/>
      <c r="M20" s="15">
        <f t="shared" si="1"/>
        <v>0</v>
      </c>
      <c r="N20" s="15">
        <v>0</v>
      </c>
      <c r="O20" s="58" t="str">
        <f t="shared" si="2"/>
        <v>0</v>
      </c>
      <c r="P20" s="39" t="str">
        <f t="shared" si="3"/>
        <v>0</v>
      </c>
      <c r="Q20" s="40">
        <f t="shared" si="4"/>
        <v>24</v>
      </c>
      <c r="R20" s="7"/>
      <c r="S20" s="6"/>
      <c r="T20" s="16"/>
      <c r="U20" s="16"/>
      <c r="V20" s="17">
        <v>24</v>
      </c>
      <c r="W20" s="5"/>
      <c r="X20" s="16"/>
      <c r="Y20" s="16"/>
      <c r="Z20" s="16"/>
      <c r="AA20" s="18"/>
      <c r="AB20" s="8">
        <f t="shared" si="5"/>
        <v>0</v>
      </c>
      <c r="AC20" s="9">
        <f t="shared" si="6"/>
        <v>0</v>
      </c>
      <c r="AD20" s="10">
        <f t="shared" si="7"/>
        <v>0</v>
      </c>
      <c r="AE20" s="36">
        <f t="shared" si="8"/>
        <v>0.1277777777777778</v>
      </c>
      <c r="AF20" s="87">
        <f t="shared" si="9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 t="shared" ref="I21:N21" si="11">SUM(I6:I20)</f>
        <v>649600</v>
      </c>
      <c r="J21" s="19">
        <f t="shared" si="11"/>
        <v>71151</v>
      </c>
      <c r="K21" s="20">
        <f t="shared" si="11"/>
        <v>357403</v>
      </c>
      <c r="L21" s="21">
        <f t="shared" si="11"/>
        <v>15959</v>
      </c>
      <c r="M21" s="20">
        <f t="shared" si="11"/>
        <v>15959</v>
      </c>
      <c r="N21" s="21">
        <f t="shared" si="11"/>
        <v>0</v>
      </c>
      <c r="O21" s="41">
        <f t="shared" si="2"/>
        <v>0</v>
      </c>
      <c r="P21" s="42">
        <f t="shared" ref="P21:AA21" si="12">SUM(P6:P20)</f>
        <v>46</v>
      </c>
      <c r="Q21" s="43">
        <f t="shared" si="12"/>
        <v>314</v>
      </c>
      <c r="R21" s="23">
        <f t="shared" si="12"/>
        <v>24</v>
      </c>
      <c r="S21" s="24">
        <f t="shared" si="12"/>
        <v>31</v>
      </c>
      <c r="T21" s="24">
        <f t="shared" si="12"/>
        <v>0</v>
      </c>
      <c r="U21" s="24">
        <f t="shared" si="12"/>
        <v>0</v>
      </c>
      <c r="V21" s="25">
        <f t="shared" si="12"/>
        <v>104</v>
      </c>
      <c r="W21" s="26">
        <f t="shared" si="12"/>
        <v>131</v>
      </c>
      <c r="X21" s="27">
        <f t="shared" si="12"/>
        <v>0</v>
      </c>
      <c r="Y21" s="27">
        <f t="shared" si="12"/>
        <v>0</v>
      </c>
      <c r="Z21" s="27">
        <f t="shared" si="12"/>
        <v>0</v>
      </c>
      <c r="AA21" s="27">
        <f t="shared" si="12"/>
        <v>24</v>
      </c>
      <c r="AB21" s="28">
        <f>SUM(AB6:AB20)/15</f>
        <v>0.4</v>
      </c>
      <c r="AC21" s="4">
        <f>SUM(AC6:AC20)/15</f>
        <v>0.1277777777777778</v>
      </c>
      <c r="AD21" s="4">
        <f>SUM(AD6:AD20)/15</f>
        <v>0.1277777777777778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600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602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374" t="s">
        <v>46</v>
      </c>
      <c r="D50" s="374" t="s">
        <v>47</v>
      </c>
      <c r="E50" s="374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374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114</v>
      </c>
      <c r="B51" s="486"/>
      <c r="C51" s="376" t="s">
        <v>262</v>
      </c>
      <c r="D51" s="376" t="s">
        <v>320</v>
      </c>
      <c r="E51" s="376" t="s">
        <v>319</v>
      </c>
      <c r="F51" s="487" t="s">
        <v>204</v>
      </c>
      <c r="G51" s="488"/>
      <c r="H51" s="488"/>
      <c r="I51" s="488"/>
      <c r="J51" s="488"/>
      <c r="K51" s="488"/>
      <c r="L51" s="488"/>
      <c r="M51" s="489"/>
      <c r="N51" s="375" t="s">
        <v>124</v>
      </c>
      <c r="O51" s="380" t="s">
        <v>262</v>
      </c>
      <c r="P51" s="499" t="s">
        <v>125</v>
      </c>
      <c r="Q51" s="500"/>
      <c r="R51" s="486" t="s">
        <v>379</v>
      </c>
      <c r="S51" s="486"/>
      <c r="T51" s="486"/>
      <c r="U51" s="486"/>
      <c r="V51" s="476" t="s">
        <v>120</v>
      </c>
      <c r="W51" s="476"/>
      <c r="X51" s="476"/>
      <c r="Y51" s="476"/>
      <c r="Z51" s="476"/>
      <c r="AA51" s="476"/>
      <c r="AB51" s="476"/>
      <c r="AC51" s="476"/>
      <c r="AD51" s="490"/>
    </row>
    <row r="52" spans="1:32" ht="27" customHeight="1">
      <c r="A52" s="485" t="s">
        <v>209</v>
      </c>
      <c r="B52" s="486"/>
      <c r="C52" s="386" t="s">
        <v>128</v>
      </c>
      <c r="D52" s="386"/>
      <c r="E52" s="386" t="s">
        <v>487</v>
      </c>
      <c r="F52" s="487" t="s">
        <v>561</v>
      </c>
      <c r="G52" s="488"/>
      <c r="H52" s="488"/>
      <c r="I52" s="488"/>
      <c r="J52" s="488"/>
      <c r="K52" s="488"/>
      <c r="L52" s="488"/>
      <c r="M52" s="489"/>
      <c r="N52" s="375" t="s">
        <v>609</v>
      </c>
      <c r="O52" s="380" t="s">
        <v>611</v>
      </c>
      <c r="P52" s="499" t="s">
        <v>612</v>
      </c>
      <c r="Q52" s="500"/>
      <c r="R52" s="499" t="s">
        <v>603</v>
      </c>
      <c r="S52" s="501"/>
      <c r="T52" s="501"/>
      <c r="U52" s="500"/>
      <c r="V52" s="476" t="s">
        <v>604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130</v>
      </c>
      <c r="B53" s="486"/>
      <c r="C53" s="386" t="s">
        <v>178</v>
      </c>
      <c r="D53" s="386" t="s">
        <v>117</v>
      </c>
      <c r="E53" s="386" t="s">
        <v>161</v>
      </c>
      <c r="F53" s="487" t="s">
        <v>601</v>
      </c>
      <c r="G53" s="488"/>
      <c r="H53" s="488"/>
      <c r="I53" s="488"/>
      <c r="J53" s="488"/>
      <c r="K53" s="488"/>
      <c r="L53" s="488"/>
      <c r="M53" s="489"/>
      <c r="N53" s="375" t="s">
        <v>609</v>
      </c>
      <c r="O53" s="380" t="s">
        <v>613</v>
      </c>
      <c r="P53" s="499" t="s">
        <v>614</v>
      </c>
      <c r="Q53" s="500"/>
      <c r="R53" s="499" t="s">
        <v>605</v>
      </c>
      <c r="S53" s="501"/>
      <c r="T53" s="501"/>
      <c r="U53" s="500"/>
      <c r="V53" s="476" t="s">
        <v>604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/>
      <c r="B54" s="486"/>
      <c r="C54" s="376"/>
      <c r="D54" s="376"/>
      <c r="E54" s="376"/>
      <c r="F54" s="487"/>
      <c r="G54" s="488"/>
      <c r="H54" s="488"/>
      <c r="I54" s="488"/>
      <c r="J54" s="488"/>
      <c r="K54" s="488"/>
      <c r="L54" s="488"/>
      <c r="M54" s="489"/>
      <c r="N54" s="375" t="s">
        <v>610</v>
      </c>
      <c r="O54" s="380" t="s">
        <v>615</v>
      </c>
      <c r="P54" s="499" t="s">
        <v>614</v>
      </c>
      <c r="Q54" s="500"/>
      <c r="R54" s="499" t="s">
        <v>606</v>
      </c>
      <c r="S54" s="501"/>
      <c r="T54" s="501"/>
      <c r="U54" s="500"/>
      <c r="V54" s="476" t="s">
        <v>604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/>
      <c r="B55" s="486"/>
      <c r="C55" s="376"/>
      <c r="D55" s="376"/>
      <c r="E55" s="376"/>
      <c r="F55" s="487"/>
      <c r="G55" s="488"/>
      <c r="H55" s="488"/>
      <c r="I55" s="488"/>
      <c r="J55" s="488"/>
      <c r="K55" s="488"/>
      <c r="L55" s="488"/>
      <c r="M55" s="489"/>
      <c r="N55" s="375" t="s">
        <v>124</v>
      </c>
      <c r="O55" s="380" t="s">
        <v>616</v>
      </c>
      <c r="P55" s="499" t="s">
        <v>617</v>
      </c>
      <c r="Q55" s="500"/>
      <c r="R55" s="499" t="s">
        <v>607</v>
      </c>
      <c r="S55" s="501"/>
      <c r="T55" s="501"/>
      <c r="U55" s="500"/>
      <c r="V55" s="476" t="s">
        <v>120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/>
      <c r="B56" s="486"/>
      <c r="C56" s="376"/>
      <c r="D56" s="376"/>
      <c r="E56" s="376"/>
      <c r="F56" s="487"/>
      <c r="G56" s="488"/>
      <c r="H56" s="488"/>
      <c r="I56" s="488"/>
      <c r="J56" s="488"/>
      <c r="K56" s="488"/>
      <c r="L56" s="488"/>
      <c r="M56" s="489"/>
      <c r="N56" s="375" t="s">
        <v>609</v>
      </c>
      <c r="O56" s="380" t="s">
        <v>618</v>
      </c>
      <c r="P56" s="499" t="s">
        <v>619</v>
      </c>
      <c r="Q56" s="500"/>
      <c r="R56" s="486" t="s">
        <v>608</v>
      </c>
      <c r="S56" s="486"/>
      <c r="T56" s="486"/>
      <c r="U56" s="486"/>
      <c r="V56" s="476" t="s">
        <v>604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/>
      <c r="B57" s="486"/>
      <c r="C57" s="376"/>
      <c r="D57" s="376"/>
      <c r="E57" s="376"/>
      <c r="F57" s="487"/>
      <c r="G57" s="488"/>
      <c r="H57" s="488"/>
      <c r="I57" s="488"/>
      <c r="J57" s="488"/>
      <c r="K57" s="488"/>
      <c r="L57" s="488"/>
      <c r="M57" s="489"/>
      <c r="N57" s="375"/>
      <c r="O57" s="380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376"/>
      <c r="D58" s="376"/>
      <c r="E58" s="376"/>
      <c r="F58" s="487"/>
      <c r="G58" s="488"/>
      <c r="H58" s="488"/>
      <c r="I58" s="488"/>
      <c r="J58" s="488"/>
      <c r="K58" s="488"/>
      <c r="L58" s="488"/>
      <c r="M58" s="489"/>
      <c r="N58" s="375"/>
      <c r="O58" s="380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376"/>
      <c r="D59" s="376"/>
      <c r="E59" s="376"/>
      <c r="F59" s="487"/>
      <c r="G59" s="488"/>
      <c r="H59" s="488"/>
      <c r="I59" s="488"/>
      <c r="J59" s="488"/>
      <c r="K59" s="488"/>
      <c r="L59" s="488"/>
      <c r="M59" s="489"/>
      <c r="N59" s="375"/>
      <c r="O59" s="380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377"/>
      <c r="D60" s="377"/>
      <c r="E60" s="377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620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378" t="s">
        <v>2</v>
      </c>
      <c r="D62" s="378" t="s">
        <v>37</v>
      </c>
      <c r="E62" s="378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378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124</v>
      </c>
      <c r="D63" s="382"/>
      <c r="E63" s="379" t="s">
        <v>125</v>
      </c>
      <c r="F63" s="543" t="s">
        <v>621</v>
      </c>
      <c r="G63" s="544"/>
      <c r="H63" s="544"/>
      <c r="I63" s="544"/>
      <c r="J63" s="545"/>
      <c r="K63" s="546" t="s">
        <v>622</v>
      </c>
      <c r="L63" s="473"/>
      <c r="M63" s="51" t="s">
        <v>216</v>
      </c>
      <c r="N63" s="547" t="s">
        <v>211</v>
      </c>
      <c r="O63" s="548"/>
      <c r="P63" s="549">
        <v>50</v>
      </c>
      <c r="Q63" s="550"/>
      <c r="R63" s="487"/>
      <c r="S63" s="488"/>
      <c r="T63" s="488"/>
      <c r="U63" s="488"/>
      <c r="V63" s="488"/>
      <c r="W63" s="488"/>
      <c r="X63" s="488"/>
      <c r="Y63" s="488"/>
      <c r="Z63" s="488"/>
      <c r="AA63" s="551"/>
      <c r="AB63" s="546"/>
      <c r="AC63" s="552"/>
      <c r="AD63" s="553"/>
      <c r="AF63" s="50"/>
    </row>
    <row r="64" spans="1:32" ht="25.5" customHeight="1">
      <c r="A64" s="472">
        <v>2</v>
      </c>
      <c r="B64" s="473"/>
      <c r="C64" s="117" t="s">
        <v>124</v>
      </c>
      <c r="D64" s="382"/>
      <c r="E64" s="379" t="s">
        <v>138</v>
      </c>
      <c r="F64" s="474" t="s">
        <v>594</v>
      </c>
      <c r="G64" s="466"/>
      <c r="H64" s="466"/>
      <c r="I64" s="466"/>
      <c r="J64" s="466"/>
      <c r="K64" s="466" t="s">
        <v>304</v>
      </c>
      <c r="L64" s="466"/>
      <c r="M64" s="51" t="s">
        <v>216</v>
      </c>
      <c r="N64" s="477" t="s">
        <v>211</v>
      </c>
      <c r="O64" s="477"/>
      <c r="P64" s="475">
        <v>100</v>
      </c>
      <c r="Q64" s="475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 t="s">
        <v>124</v>
      </c>
      <c r="D65" s="382"/>
      <c r="E65" s="379" t="s">
        <v>141</v>
      </c>
      <c r="F65" s="474" t="s">
        <v>565</v>
      </c>
      <c r="G65" s="466"/>
      <c r="H65" s="466"/>
      <c r="I65" s="466"/>
      <c r="J65" s="466"/>
      <c r="K65" s="466" t="s">
        <v>137</v>
      </c>
      <c r="L65" s="466"/>
      <c r="M65" s="51" t="s">
        <v>216</v>
      </c>
      <c r="N65" s="477" t="s">
        <v>210</v>
      </c>
      <c r="O65" s="477"/>
      <c r="P65" s="475">
        <v>50</v>
      </c>
      <c r="Q65" s="475"/>
      <c r="R65" s="476" t="s">
        <v>623</v>
      </c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 t="s">
        <v>130</v>
      </c>
      <c r="D66" s="382"/>
      <c r="E66" s="379" t="s">
        <v>136</v>
      </c>
      <c r="F66" s="474" t="s">
        <v>624</v>
      </c>
      <c r="G66" s="466"/>
      <c r="H66" s="466"/>
      <c r="I66" s="466"/>
      <c r="J66" s="466"/>
      <c r="K66" s="466" t="s">
        <v>137</v>
      </c>
      <c r="L66" s="466"/>
      <c r="M66" s="51" t="s">
        <v>351</v>
      </c>
      <c r="N66" s="477" t="s">
        <v>132</v>
      </c>
      <c r="O66" s="477"/>
      <c r="P66" s="475">
        <v>200</v>
      </c>
      <c r="Q66" s="475"/>
      <c r="R66" s="476" t="s">
        <v>625</v>
      </c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 t="s">
        <v>130</v>
      </c>
      <c r="D67" s="388"/>
      <c r="E67" s="387" t="s">
        <v>122</v>
      </c>
      <c r="F67" s="474" t="s">
        <v>317</v>
      </c>
      <c r="G67" s="466"/>
      <c r="H67" s="466"/>
      <c r="I67" s="466"/>
      <c r="J67" s="466"/>
      <c r="K67" s="466" t="s">
        <v>135</v>
      </c>
      <c r="L67" s="466"/>
      <c r="M67" s="51" t="s">
        <v>351</v>
      </c>
      <c r="N67" s="477" t="s">
        <v>264</v>
      </c>
      <c r="O67" s="477"/>
      <c r="P67" s="475">
        <v>200</v>
      </c>
      <c r="Q67" s="475"/>
      <c r="R67" s="476" t="s">
        <v>625</v>
      </c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382"/>
      <c r="E68" s="379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382"/>
      <c r="E69" s="379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382"/>
      <c r="E70" s="379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626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381" t="s">
        <v>2</v>
      </c>
      <c r="D72" s="381" t="s">
        <v>37</v>
      </c>
      <c r="E72" s="381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383" t="s">
        <v>114</v>
      </c>
      <c r="D73" s="383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382"/>
      <c r="D74" s="382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3">A74+1</f>
        <v>3</v>
      </c>
      <c r="B75" s="434"/>
      <c r="C75" s="382"/>
      <c r="D75" s="382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3"/>
        <v>4</v>
      </c>
      <c r="B76" s="434"/>
      <c r="C76" s="382"/>
      <c r="D76" s="382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3"/>
        <v>5</v>
      </c>
      <c r="B77" s="434"/>
      <c r="C77" s="382"/>
      <c r="D77" s="382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3"/>
        <v>6</v>
      </c>
      <c r="B78" s="434"/>
      <c r="C78" s="382"/>
      <c r="D78" s="382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3"/>
        <v>7</v>
      </c>
      <c r="B79" s="434"/>
      <c r="C79" s="382"/>
      <c r="D79" s="382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3"/>
        <v>8</v>
      </c>
      <c r="B80" s="434"/>
      <c r="C80" s="382"/>
      <c r="D80" s="382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3"/>
        <v>9</v>
      </c>
      <c r="B81" s="434"/>
      <c r="C81" s="382"/>
      <c r="D81" s="382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627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EFCA-188B-46F2-8D67-CEBD9EAA90A0}">
  <dimension ref="A1:AF89"/>
  <sheetViews>
    <sheetView zoomScale="72" zoomScaleNormal="72" zoomScaleSheetLayoutView="70" workbookViewId="0">
      <selection activeCell="M94" sqref="M9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628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399" t="s">
        <v>17</v>
      </c>
      <c r="L5" s="399" t="s">
        <v>18</v>
      </c>
      <c r="M5" s="399" t="s">
        <v>19</v>
      </c>
      <c r="N5" s="399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3" si="1">L6-N6</f>
        <v>0</v>
      </c>
      <c r="N6" s="15">
        <v>0</v>
      </c>
      <c r="O6" s="58" t="str">
        <f t="shared" ref="O6:O24" si="2">IF(L6=0,"0",N6/L6)</f>
        <v>0</v>
      </c>
      <c r="P6" s="39" t="str">
        <f t="shared" ref="P6:P23" si="3">IF(L6=0,"0",(24-Q6))</f>
        <v>0</v>
      </c>
      <c r="Q6" s="40">
        <f t="shared" ref="Q6:Q23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3" si="5">IF(J6=0,"0",(L6/J6))</f>
        <v>0</v>
      </c>
      <c r="AC6" s="9">
        <f t="shared" ref="AC6:AC23" si="6">IF(P6=0,"0",(P6/24))</f>
        <v>0</v>
      </c>
      <c r="AD6" s="10">
        <f t="shared" ref="AD6:AD23" si="7">AC6*AB6*(1-O6)</f>
        <v>0</v>
      </c>
      <c r="AE6" s="36">
        <f t="shared" ref="AE6:AE23" si="8">$AD$24</f>
        <v>0.32500000000000001</v>
      </c>
      <c r="AF6" s="87">
        <f t="shared" ref="AF6:AF23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0.32500000000000001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114</v>
      </c>
      <c r="D8" s="52" t="s">
        <v>320</v>
      </c>
      <c r="E8" s="53" t="s">
        <v>319</v>
      </c>
      <c r="F8" s="30" t="s">
        <v>123</v>
      </c>
      <c r="G8" s="33">
        <v>1</v>
      </c>
      <c r="H8" s="35">
        <v>24</v>
      </c>
      <c r="I8" s="7">
        <v>10000</v>
      </c>
      <c r="J8" s="14">
        <v>1741</v>
      </c>
      <c r="K8" s="15">
        <f>L8+2633+4507+1352</f>
        <v>10233</v>
      </c>
      <c r="L8" s="15">
        <v>1741</v>
      </c>
      <c r="M8" s="15">
        <f t="shared" si="1"/>
        <v>1741</v>
      </c>
      <c r="N8" s="15">
        <v>0</v>
      </c>
      <c r="O8" s="58">
        <f t="shared" si="2"/>
        <v>0</v>
      </c>
      <c r="P8" s="39">
        <f t="shared" si="3"/>
        <v>8</v>
      </c>
      <c r="Q8" s="40">
        <f t="shared" si="4"/>
        <v>16</v>
      </c>
      <c r="R8" s="7"/>
      <c r="S8" s="6"/>
      <c r="T8" s="16"/>
      <c r="U8" s="16"/>
      <c r="V8" s="17"/>
      <c r="W8" s="5">
        <v>16</v>
      </c>
      <c r="X8" s="16"/>
      <c r="Y8" s="16"/>
      <c r="Z8" s="16"/>
      <c r="AA8" s="18"/>
      <c r="AB8" s="8">
        <f t="shared" si="5"/>
        <v>1</v>
      </c>
      <c r="AC8" s="9">
        <f t="shared" si="6"/>
        <v>0.33333333333333331</v>
      </c>
      <c r="AD8" s="10">
        <f t="shared" si="7"/>
        <v>0.33333333333333331</v>
      </c>
      <c r="AE8" s="36">
        <f t="shared" si="8"/>
        <v>0.32500000000000001</v>
      </c>
      <c r="AF8" s="87">
        <f t="shared" si="9"/>
        <v>3</v>
      </c>
    </row>
    <row r="9" spans="1:32" ht="27" customHeight="1">
      <c r="A9" s="102">
        <v>3</v>
      </c>
      <c r="B9" s="11" t="s">
        <v>57</v>
      </c>
      <c r="C9" s="11" t="s">
        <v>124</v>
      </c>
      <c r="D9" s="52" t="s">
        <v>125</v>
      </c>
      <c r="E9" s="53" t="s">
        <v>379</v>
      </c>
      <c r="F9" s="30" t="s">
        <v>274</v>
      </c>
      <c r="G9" s="33">
        <v>1</v>
      </c>
      <c r="H9" s="35">
        <v>24</v>
      </c>
      <c r="I9" s="7">
        <v>3500</v>
      </c>
      <c r="J9" s="14">
        <v>3007</v>
      </c>
      <c r="K9" s="15">
        <f>L9</f>
        <v>3007</v>
      </c>
      <c r="L9" s="15">
        <f>356+2651</f>
        <v>3007</v>
      </c>
      <c r="M9" s="15">
        <f t="shared" ref="M9" si="10">L9-N9</f>
        <v>3007</v>
      </c>
      <c r="N9" s="15">
        <v>0</v>
      </c>
      <c r="O9" s="58">
        <f t="shared" ref="O9" si="11">IF(L9=0,"0",N9/L9)</f>
        <v>0</v>
      </c>
      <c r="P9" s="39">
        <f t="shared" ref="P9" si="12">IF(L9=0,"0",(24-Q9))</f>
        <v>14</v>
      </c>
      <c r="Q9" s="40">
        <f t="shared" ref="Q9" si="13">SUM(R9:AA9)</f>
        <v>10</v>
      </c>
      <c r="R9" s="7"/>
      <c r="S9" s="6"/>
      <c r="T9" s="16">
        <v>10</v>
      </c>
      <c r="U9" s="16"/>
      <c r="V9" s="17"/>
      <c r="W9" s="5"/>
      <c r="X9" s="16"/>
      <c r="Y9" s="16"/>
      <c r="Z9" s="16"/>
      <c r="AA9" s="18"/>
      <c r="AB9" s="8">
        <f t="shared" ref="AB9" si="14">IF(J9=0,"0",(L9/J9))</f>
        <v>1</v>
      </c>
      <c r="AC9" s="9">
        <f t="shared" ref="AC9" si="15">IF(P9=0,"0",(P9/24))</f>
        <v>0.58333333333333337</v>
      </c>
      <c r="AD9" s="10">
        <f t="shared" ref="AD9" si="16">AC9*AB9*(1-O9)</f>
        <v>0.58333333333333337</v>
      </c>
      <c r="AE9" s="36">
        <f t="shared" si="8"/>
        <v>0.32500000000000001</v>
      </c>
      <c r="AF9" s="87">
        <f t="shared" ref="AF9" si="17">A9</f>
        <v>3</v>
      </c>
    </row>
    <row r="10" spans="1:32" ht="27" customHeight="1">
      <c r="A10" s="103">
        <v>4</v>
      </c>
      <c r="B10" s="11" t="s">
        <v>57</v>
      </c>
      <c r="C10" s="11" t="s">
        <v>114</v>
      </c>
      <c r="D10" s="52" t="s">
        <v>401</v>
      </c>
      <c r="E10" s="53" t="s">
        <v>421</v>
      </c>
      <c r="F10" s="30" t="s">
        <v>127</v>
      </c>
      <c r="G10" s="33">
        <v>1</v>
      </c>
      <c r="H10" s="35">
        <v>24</v>
      </c>
      <c r="I10" s="7">
        <v>70000</v>
      </c>
      <c r="J10" s="14">
        <v>2384</v>
      </c>
      <c r="K10" s="15">
        <f>L10</f>
        <v>0</v>
      </c>
      <c r="L10" s="15"/>
      <c r="M10" s="15">
        <f t="shared" si="1"/>
        <v>0</v>
      </c>
      <c r="N10" s="15">
        <v>0</v>
      </c>
      <c r="O10" s="58" t="str">
        <f t="shared" si="2"/>
        <v>0</v>
      </c>
      <c r="P10" s="39" t="str">
        <f t="shared" si="3"/>
        <v>0</v>
      </c>
      <c r="Q10" s="40">
        <f t="shared" si="4"/>
        <v>24</v>
      </c>
      <c r="R10" s="7"/>
      <c r="S10" s="6">
        <v>24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0</v>
      </c>
      <c r="AC10" s="9">
        <f t="shared" si="6"/>
        <v>0</v>
      </c>
      <c r="AD10" s="10">
        <f t="shared" si="7"/>
        <v>0</v>
      </c>
      <c r="AE10" s="36">
        <f t="shared" si="8"/>
        <v>0.32500000000000001</v>
      </c>
      <c r="AF10" s="87">
        <f t="shared" si="9"/>
        <v>4</v>
      </c>
    </row>
    <row r="11" spans="1:32" ht="27" customHeight="1">
      <c r="A11" s="103">
        <v>5</v>
      </c>
      <c r="B11" s="11" t="s">
        <v>57</v>
      </c>
      <c r="C11" s="34" t="s">
        <v>209</v>
      </c>
      <c r="D11" s="52" t="s">
        <v>226</v>
      </c>
      <c r="E11" s="53" t="s">
        <v>487</v>
      </c>
      <c r="F11" s="30" t="s">
        <v>235</v>
      </c>
      <c r="G11" s="33" t="s">
        <v>197</v>
      </c>
      <c r="H11" s="35">
        <v>24</v>
      </c>
      <c r="I11" s="7">
        <v>35000</v>
      </c>
      <c r="J11" s="5">
        <v>15594</v>
      </c>
      <c r="K11" s="15">
        <f>L11+3601+2209+6181+7284+1089</f>
        <v>35958</v>
      </c>
      <c r="L11" s="15">
        <f>3646*2+4151*2</f>
        <v>15594</v>
      </c>
      <c r="M11" s="15">
        <f t="shared" si="1"/>
        <v>15594</v>
      </c>
      <c r="N11" s="15">
        <v>0</v>
      </c>
      <c r="O11" s="58">
        <f t="shared" si="2"/>
        <v>0</v>
      </c>
      <c r="P11" s="39">
        <f t="shared" si="3"/>
        <v>24</v>
      </c>
      <c r="Q11" s="40">
        <f t="shared" si="4"/>
        <v>0</v>
      </c>
      <c r="R11" s="7"/>
      <c r="S11" s="6"/>
      <c r="T11" s="16"/>
      <c r="U11" s="16"/>
      <c r="V11" s="17"/>
      <c r="W11" s="5"/>
      <c r="X11" s="16"/>
      <c r="Y11" s="16"/>
      <c r="Z11" s="16"/>
      <c r="AA11" s="18"/>
      <c r="AB11" s="8">
        <f t="shared" si="5"/>
        <v>1</v>
      </c>
      <c r="AC11" s="9">
        <f t="shared" si="6"/>
        <v>1</v>
      </c>
      <c r="AD11" s="10">
        <f>AC11*AB11*(1-O11)</f>
        <v>1</v>
      </c>
      <c r="AE11" s="36">
        <f t="shared" si="8"/>
        <v>0.32500000000000001</v>
      </c>
      <c r="AF11" s="87">
        <f t="shared" si="9"/>
        <v>5</v>
      </c>
    </row>
    <row r="12" spans="1:32" ht="27" customHeight="1">
      <c r="A12" s="103">
        <v>6</v>
      </c>
      <c r="B12" s="11" t="s">
        <v>57</v>
      </c>
      <c r="C12" s="34" t="s">
        <v>114</v>
      </c>
      <c r="D12" s="52" t="s">
        <v>125</v>
      </c>
      <c r="E12" s="53" t="s">
        <v>629</v>
      </c>
      <c r="F12" s="30" t="s">
        <v>127</v>
      </c>
      <c r="G12" s="33">
        <v>1</v>
      </c>
      <c r="H12" s="35">
        <v>24</v>
      </c>
      <c r="I12" s="7">
        <v>70000</v>
      </c>
      <c r="J12" s="5">
        <v>1336</v>
      </c>
      <c r="K12" s="15">
        <f>L12</f>
        <v>1336</v>
      </c>
      <c r="L12" s="15">
        <f>1336</f>
        <v>1336</v>
      </c>
      <c r="M12" s="15">
        <f t="shared" si="1"/>
        <v>1336</v>
      </c>
      <c r="N12" s="15">
        <v>0</v>
      </c>
      <c r="O12" s="58">
        <f t="shared" si="2"/>
        <v>0</v>
      </c>
      <c r="P12" s="39">
        <f t="shared" si="3"/>
        <v>7</v>
      </c>
      <c r="Q12" s="40">
        <f t="shared" si="4"/>
        <v>17</v>
      </c>
      <c r="R12" s="7"/>
      <c r="S12" s="6">
        <v>17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0.29166666666666669</v>
      </c>
      <c r="AD12" s="10">
        <f>AC12*AB12*(1-O12)</f>
        <v>0.29166666666666669</v>
      </c>
      <c r="AE12" s="36">
        <f t="shared" si="8"/>
        <v>0.32500000000000001</v>
      </c>
      <c r="AF12" s="87">
        <f t="shared" si="9"/>
        <v>6</v>
      </c>
    </row>
    <row r="13" spans="1:32" ht="27" customHeight="1">
      <c r="A13" s="103">
        <v>7</v>
      </c>
      <c r="B13" s="11" t="s">
        <v>57</v>
      </c>
      <c r="C13" s="11" t="s">
        <v>114</v>
      </c>
      <c r="D13" s="52" t="s">
        <v>117</v>
      </c>
      <c r="E13" s="53" t="s">
        <v>419</v>
      </c>
      <c r="F13" s="30" t="s">
        <v>121</v>
      </c>
      <c r="G13" s="33">
        <v>1</v>
      </c>
      <c r="H13" s="35">
        <v>24</v>
      </c>
      <c r="I13" s="7">
        <v>70000</v>
      </c>
      <c r="J13" s="14">
        <v>4850</v>
      </c>
      <c r="K13" s="15">
        <f>L13</f>
        <v>0</v>
      </c>
      <c r="L13" s="15"/>
      <c r="M13" s="15">
        <f t="shared" si="1"/>
        <v>0</v>
      </c>
      <c r="N13" s="15">
        <v>0</v>
      </c>
      <c r="O13" s="58" t="str">
        <f t="shared" si="2"/>
        <v>0</v>
      </c>
      <c r="P13" s="39" t="str">
        <f t="shared" si="3"/>
        <v>0</v>
      </c>
      <c r="Q13" s="40">
        <f t="shared" si="4"/>
        <v>24</v>
      </c>
      <c r="R13" s="7"/>
      <c r="S13" s="6">
        <v>24</v>
      </c>
      <c r="T13" s="16"/>
      <c r="U13" s="16"/>
      <c r="V13" s="17"/>
      <c r="W13" s="5"/>
      <c r="X13" s="16"/>
      <c r="Y13" s="16"/>
      <c r="Z13" s="16"/>
      <c r="AA13" s="18"/>
      <c r="AB13" s="8">
        <f t="shared" si="5"/>
        <v>0</v>
      </c>
      <c r="AC13" s="9">
        <f t="shared" si="6"/>
        <v>0</v>
      </c>
      <c r="AD13" s="10">
        <f t="shared" ref="AD13:AD14" si="18">AC13*AB13*(1-O13)</f>
        <v>0</v>
      </c>
      <c r="AE13" s="36">
        <f t="shared" si="8"/>
        <v>0.32500000000000001</v>
      </c>
      <c r="AF13" s="87">
        <f t="shared" si="9"/>
        <v>7</v>
      </c>
    </row>
    <row r="14" spans="1:32" ht="27" customHeight="1">
      <c r="A14" s="103">
        <v>8</v>
      </c>
      <c r="B14" s="11" t="s">
        <v>57</v>
      </c>
      <c r="C14" s="11" t="s">
        <v>130</v>
      </c>
      <c r="D14" s="52" t="s">
        <v>117</v>
      </c>
      <c r="E14" s="53" t="s">
        <v>478</v>
      </c>
      <c r="F14" s="30" t="s">
        <v>135</v>
      </c>
      <c r="G14" s="33">
        <v>2</v>
      </c>
      <c r="H14" s="35">
        <v>24</v>
      </c>
      <c r="I14" s="7">
        <v>10000</v>
      </c>
      <c r="J14" s="14">
        <v>6546</v>
      </c>
      <c r="K14" s="15">
        <f>L14</f>
        <v>6546</v>
      </c>
      <c r="L14" s="15">
        <f>2135*2+1138*2</f>
        <v>6546</v>
      </c>
      <c r="M14" s="15">
        <f t="shared" si="1"/>
        <v>6546</v>
      </c>
      <c r="N14" s="15">
        <v>0</v>
      </c>
      <c r="O14" s="58">
        <f t="shared" si="2"/>
        <v>0</v>
      </c>
      <c r="P14" s="39">
        <f t="shared" si="3"/>
        <v>16</v>
      </c>
      <c r="Q14" s="40">
        <f t="shared" si="4"/>
        <v>8</v>
      </c>
      <c r="R14" s="7"/>
      <c r="S14" s="6">
        <v>8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0.66666666666666663</v>
      </c>
      <c r="AD14" s="10">
        <f t="shared" si="18"/>
        <v>0.66666666666666663</v>
      </c>
      <c r="AE14" s="36">
        <f t="shared" si="8"/>
        <v>0.32500000000000001</v>
      </c>
      <c r="AF14" s="87">
        <f t="shared" si="9"/>
        <v>8</v>
      </c>
    </row>
    <row r="15" spans="1:32" ht="27" customHeight="1">
      <c r="A15" s="118">
        <v>9</v>
      </c>
      <c r="B15" s="11" t="s">
        <v>57</v>
      </c>
      <c r="C15" s="34" t="s">
        <v>124</v>
      </c>
      <c r="D15" s="52" t="s">
        <v>117</v>
      </c>
      <c r="E15" s="53" t="s">
        <v>371</v>
      </c>
      <c r="F15" s="30" t="s">
        <v>151</v>
      </c>
      <c r="G15" s="12">
        <v>1</v>
      </c>
      <c r="H15" s="13">
        <v>45</v>
      </c>
      <c r="I15" s="7">
        <v>300</v>
      </c>
      <c r="J15" s="5">
        <v>516</v>
      </c>
      <c r="K15" s="15">
        <f>L15+516</f>
        <v>516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0.32500000000000001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124</v>
      </c>
      <c r="D16" s="52" t="s">
        <v>183</v>
      </c>
      <c r="E16" s="53" t="s">
        <v>607</v>
      </c>
      <c r="F16" s="12">
        <v>8301</v>
      </c>
      <c r="G16" s="12">
        <v>1</v>
      </c>
      <c r="H16" s="13">
        <v>24</v>
      </c>
      <c r="I16" s="31">
        <v>500</v>
      </c>
      <c r="J16" s="14">
        <v>2517</v>
      </c>
      <c r="K16" s="15">
        <f>L16</f>
        <v>2517</v>
      </c>
      <c r="L16" s="15">
        <f>2517</f>
        <v>2517</v>
      </c>
      <c r="M16" s="15">
        <f t="shared" si="1"/>
        <v>2517</v>
      </c>
      <c r="N16" s="15">
        <v>0</v>
      </c>
      <c r="O16" s="58">
        <f t="shared" si="2"/>
        <v>0</v>
      </c>
      <c r="P16" s="39">
        <f t="shared" si="3"/>
        <v>12</v>
      </c>
      <c r="Q16" s="40">
        <f t="shared" si="4"/>
        <v>12</v>
      </c>
      <c r="R16" s="7"/>
      <c r="S16" s="6"/>
      <c r="T16" s="16"/>
      <c r="U16" s="16"/>
      <c r="V16" s="17"/>
      <c r="W16" s="5">
        <v>12</v>
      </c>
      <c r="X16" s="16"/>
      <c r="Y16" s="16"/>
      <c r="Z16" s="16"/>
      <c r="AA16" s="18"/>
      <c r="AB16" s="8">
        <f t="shared" si="5"/>
        <v>1</v>
      </c>
      <c r="AC16" s="9">
        <f t="shared" si="6"/>
        <v>0.5</v>
      </c>
      <c r="AD16" s="10">
        <f t="shared" si="7"/>
        <v>0.5</v>
      </c>
      <c r="AE16" s="36">
        <f t="shared" si="8"/>
        <v>0.32500000000000001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153</v>
      </c>
      <c r="D17" s="52" t="s">
        <v>125</v>
      </c>
      <c r="E17" s="53" t="s">
        <v>163</v>
      </c>
      <c r="F17" s="30" t="s">
        <v>127</v>
      </c>
      <c r="G17" s="12">
        <v>1</v>
      </c>
      <c r="H17" s="13">
        <v>28</v>
      </c>
      <c r="I17" s="7">
        <v>300</v>
      </c>
      <c r="J17" s="14">
        <v>328</v>
      </c>
      <c r="K17" s="15">
        <f>L17+328</f>
        <v>328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 t="shared" si="8"/>
        <v>0.32500000000000001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130</v>
      </c>
      <c r="D18" s="52" t="s">
        <v>125</v>
      </c>
      <c r="E18" s="53" t="s">
        <v>563</v>
      </c>
      <c r="F18" s="30" t="s">
        <v>137</v>
      </c>
      <c r="G18" s="33">
        <v>2</v>
      </c>
      <c r="H18" s="35">
        <v>24</v>
      </c>
      <c r="I18" s="7">
        <v>20000</v>
      </c>
      <c r="J18" s="5">
        <v>11450</v>
      </c>
      <c r="K18" s="15">
        <f>L18+11282+11450</f>
        <v>22732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0.32500000000000001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124</v>
      </c>
      <c r="D19" s="52" t="s">
        <v>320</v>
      </c>
      <c r="E19" s="53" t="s">
        <v>582</v>
      </c>
      <c r="F19" s="30" t="s">
        <v>274</v>
      </c>
      <c r="G19" s="33">
        <v>1</v>
      </c>
      <c r="H19" s="35">
        <v>24</v>
      </c>
      <c r="I19" s="7">
        <v>8500</v>
      </c>
      <c r="J19" s="14">
        <v>2365</v>
      </c>
      <c r="K19" s="15">
        <f>L19+3459+2474</f>
        <v>8298</v>
      </c>
      <c r="L19" s="15">
        <v>2365</v>
      </c>
      <c r="M19" s="15">
        <f t="shared" si="1"/>
        <v>2365</v>
      </c>
      <c r="N19" s="15">
        <v>0</v>
      </c>
      <c r="O19" s="58">
        <f t="shared" si="2"/>
        <v>0</v>
      </c>
      <c r="P19" s="39">
        <f t="shared" si="3"/>
        <v>10</v>
      </c>
      <c r="Q19" s="40">
        <f t="shared" si="4"/>
        <v>14</v>
      </c>
      <c r="R19" s="7"/>
      <c r="S19" s="6"/>
      <c r="T19" s="16"/>
      <c r="U19" s="16"/>
      <c r="V19" s="17"/>
      <c r="W19" s="5">
        <v>14</v>
      </c>
      <c r="X19" s="16"/>
      <c r="Y19" s="16"/>
      <c r="Z19" s="16"/>
      <c r="AA19" s="18"/>
      <c r="AB19" s="8">
        <f t="shared" si="5"/>
        <v>1</v>
      </c>
      <c r="AC19" s="9">
        <f t="shared" si="6"/>
        <v>0.41666666666666669</v>
      </c>
      <c r="AD19" s="10">
        <f t="shared" si="7"/>
        <v>0.41666666666666669</v>
      </c>
      <c r="AE19" s="36">
        <f t="shared" si="8"/>
        <v>0.32500000000000001</v>
      </c>
      <c r="AF19" s="87">
        <f t="shared" si="9"/>
        <v>13</v>
      </c>
    </row>
    <row r="20" spans="1:32" ht="27" customHeight="1">
      <c r="A20" s="103">
        <v>13</v>
      </c>
      <c r="B20" s="11" t="s">
        <v>57</v>
      </c>
      <c r="C20" s="11" t="s">
        <v>153</v>
      </c>
      <c r="D20" s="52"/>
      <c r="E20" s="53" t="s">
        <v>635</v>
      </c>
      <c r="F20" s="30" t="s">
        <v>127</v>
      </c>
      <c r="G20" s="33">
        <v>1</v>
      </c>
      <c r="H20" s="35">
        <v>24</v>
      </c>
      <c r="I20" s="7">
        <v>300</v>
      </c>
      <c r="J20" s="14">
        <v>317</v>
      </c>
      <c r="K20" s="15">
        <f>L20</f>
        <v>317</v>
      </c>
      <c r="L20" s="15">
        <v>317</v>
      </c>
      <c r="M20" s="15">
        <f t="shared" ref="M20" si="19">L20-N20</f>
        <v>317</v>
      </c>
      <c r="N20" s="15">
        <v>0</v>
      </c>
      <c r="O20" s="58">
        <f t="shared" ref="O20" si="20">IF(L20=0,"0",N20/L20)</f>
        <v>0</v>
      </c>
      <c r="P20" s="39">
        <f t="shared" ref="P20" si="21">IF(L20=0,"0",(24-Q20))</f>
        <v>4</v>
      </c>
      <c r="Q20" s="40">
        <f t="shared" ref="Q20" si="22">SUM(R20:AA20)</f>
        <v>20</v>
      </c>
      <c r="R20" s="7"/>
      <c r="S20" s="6"/>
      <c r="T20" s="16"/>
      <c r="U20" s="16"/>
      <c r="V20" s="17"/>
      <c r="W20" s="5">
        <v>20</v>
      </c>
      <c r="X20" s="16"/>
      <c r="Y20" s="16"/>
      <c r="Z20" s="16"/>
      <c r="AA20" s="18"/>
      <c r="AB20" s="8">
        <f t="shared" ref="AB20" si="23">IF(J20=0,"0",(L20/J20))</f>
        <v>1</v>
      </c>
      <c r="AC20" s="9">
        <f t="shared" ref="AC20" si="24">IF(P20=0,"0",(P20/24))</f>
        <v>0.16666666666666666</v>
      </c>
      <c r="AD20" s="10">
        <f t="shared" ref="AD20" si="25">AC20*AB20*(1-O20)</f>
        <v>0.16666666666666666</v>
      </c>
      <c r="AE20" s="36">
        <f t="shared" si="8"/>
        <v>0.32500000000000001</v>
      </c>
      <c r="AF20" s="87">
        <f t="shared" ref="AF20" si="26">A20</f>
        <v>13</v>
      </c>
    </row>
    <row r="21" spans="1:32" ht="27" customHeight="1">
      <c r="A21" s="103">
        <v>13</v>
      </c>
      <c r="B21" s="11" t="s">
        <v>57</v>
      </c>
      <c r="C21" s="11" t="s">
        <v>114</v>
      </c>
      <c r="D21" s="52" t="s">
        <v>122</v>
      </c>
      <c r="E21" s="53" t="s">
        <v>576</v>
      </c>
      <c r="F21" s="30" t="s">
        <v>123</v>
      </c>
      <c r="G21" s="33">
        <v>1</v>
      </c>
      <c r="H21" s="35">
        <v>24</v>
      </c>
      <c r="I21" s="7">
        <v>70000</v>
      </c>
      <c r="J21" s="14">
        <v>2365</v>
      </c>
      <c r="K21" s="15">
        <f>L21</f>
        <v>0</v>
      </c>
      <c r="L21" s="15">
        <v>0</v>
      </c>
      <c r="M21" s="15">
        <f t="shared" ref="M21" si="27">L21-N21</f>
        <v>0</v>
      </c>
      <c r="N21" s="15">
        <v>0</v>
      </c>
      <c r="O21" s="58" t="str">
        <f t="shared" ref="O21" si="28">IF(L21=0,"0",N21/L21)</f>
        <v>0</v>
      </c>
      <c r="P21" s="39" t="str">
        <f t="shared" ref="P21" si="29">IF(L21=0,"0",(24-Q21))</f>
        <v>0</v>
      </c>
      <c r="Q21" s="40">
        <f t="shared" ref="Q21" si="30">SUM(R21:AA21)</f>
        <v>14</v>
      </c>
      <c r="R21" s="7"/>
      <c r="S21" s="6">
        <v>14</v>
      </c>
      <c r="T21" s="16"/>
      <c r="U21" s="16"/>
      <c r="V21" s="17"/>
      <c r="W21" s="5"/>
      <c r="X21" s="16"/>
      <c r="Y21" s="16"/>
      <c r="Z21" s="16"/>
      <c r="AA21" s="18"/>
      <c r="AB21" s="8">
        <f t="shared" ref="AB21" si="31">IF(J21=0,"0",(L21/J21))</f>
        <v>0</v>
      </c>
      <c r="AC21" s="9">
        <f t="shared" ref="AC21" si="32">IF(P21=0,"0",(P21/24))</f>
        <v>0</v>
      </c>
      <c r="AD21" s="10">
        <f t="shared" ref="AD21" si="33">AC21*AB21*(1-O21)</f>
        <v>0</v>
      </c>
      <c r="AE21" s="36">
        <f t="shared" si="8"/>
        <v>0.32500000000000001</v>
      </c>
      <c r="AF21" s="87">
        <f t="shared" ref="AF21" si="34">A21</f>
        <v>13</v>
      </c>
    </row>
    <row r="22" spans="1:32" ht="27" customHeight="1">
      <c r="A22" s="103">
        <v>14</v>
      </c>
      <c r="B22" s="11" t="s">
        <v>57</v>
      </c>
      <c r="C22" s="11" t="s">
        <v>124</v>
      </c>
      <c r="D22" s="52" t="s">
        <v>117</v>
      </c>
      <c r="E22" s="53" t="s">
        <v>160</v>
      </c>
      <c r="F22" s="30" t="s">
        <v>151</v>
      </c>
      <c r="G22" s="33">
        <v>1</v>
      </c>
      <c r="H22" s="35">
        <v>24</v>
      </c>
      <c r="I22" s="7">
        <v>8000</v>
      </c>
      <c r="J22" s="14">
        <v>4604</v>
      </c>
      <c r="K22" s="15">
        <f>L22+3114+4726+4604</f>
        <v>12444</v>
      </c>
      <c r="L22" s="15"/>
      <c r="M22" s="15">
        <f t="shared" si="1"/>
        <v>0</v>
      </c>
      <c r="N22" s="15">
        <v>0</v>
      </c>
      <c r="O22" s="58" t="str">
        <f t="shared" si="2"/>
        <v>0</v>
      </c>
      <c r="P22" s="39" t="str">
        <f t="shared" si="3"/>
        <v>0</v>
      </c>
      <c r="Q22" s="40">
        <f t="shared" si="4"/>
        <v>24</v>
      </c>
      <c r="R22" s="7"/>
      <c r="S22" s="6"/>
      <c r="T22" s="16"/>
      <c r="U22" s="16"/>
      <c r="V22" s="17"/>
      <c r="W22" s="5"/>
      <c r="X22" s="16"/>
      <c r="Y22" s="16"/>
      <c r="Z22" s="16"/>
      <c r="AA22" s="18">
        <v>24</v>
      </c>
      <c r="AB22" s="8">
        <f t="shared" si="5"/>
        <v>0</v>
      </c>
      <c r="AC22" s="9">
        <f t="shared" si="6"/>
        <v>0</v>
      </c>
      <c r="AD22" s="10">
        <f t="shared" si="7"/>
        <v>0</v>
      </c>
      <c r="AE22" s="36">
        <f t="shared" si="8"/>
        <v>0.32500000000000001</v>
      </c>
      <c r="AF22" s="87">
        <f t="shared" si="9"/>
        <v>14</v>
      </c>
    </row>
    <row r="23" spans="1:32" ht="27" customHeight="1" thickBot="1">
      <c r="A23" s="103">
        <v>15</v>
      </c>
      <c r="B23" s="11" t="s">
        <v>57</v>
      </c>
      <c r="C23" s="11" t="s">
        <v>115</v>
      </c>
      <c r="D23" s="52"/>
      <c r="E23" s="53" t="s">
        <v>630</v>
      </c>
      <c r="F23" s="12" t="s">
        <v>116</v>
      </c>
      <c r="G23" s="12">
        <v>4</v>
      </c>
      <c r="H23" s="35">
        <v>20</v>
      </c>
      <c r="I23" s="7">
        <v>40000</v>
      </c>
      <c r="J23" s="14">
        <v>62764</v>
      </c>
      <c r="K23" s="15">
        <f>L23</f>
        <v>62764</v>
      </c>
      <c r="L23" s="15">
        <f>7524*4+8167*4</f>
        <v>62764</v>
      </c>
      <c r="M23" s="15">
        <f t="shared" si="1"/>
        <v>62764</v>
      </c>
      <c r="N23" s="15">
        <v>0</v>
      </c>
      <c r="O23" s="58">
        <f t="shared" si="2"/>
        <v>0</v>
      </c>
      <c r="P23" s="39">
        <f t="shared" si="3"/>
        <v>22</v>
      </c>
      <c r="Q23" s="40">
        <f t="shared" si="4"/>
        <v>2</v>
      </c>
      <c r="R23" s="7"/>
      <c r="S23" s="6"/>
      <c r="T23" s="16">
        <v>2</v>
      </c>
      <c r="U23" s="16"/>
      <c r="V23" s="17"/>
      <c r="W23" s="5"/>
      <c r="X23" s="16"/>
      <c r="Y23" s="16"/>
      <c r="Z23" s="16"/>
      <c r="AA23" s="18"/>
      <c r="AB23" s="8">
        <f t="shared" si="5"/>
        <v>1</v>
      </c>
      <c r="AC23" s="9">
        <f t="shared" si="6"/>
        <v>0.91666666666666663</v>
      </c>
      <c r="AD23" s="10">
        <f t="shared" si="7"/>
        <v>0.91666666666666663</v>
      </c>
      <c r="AE23" s="36">
        <f t="shared" si="8"/>
        <v>0.32500000000000001</v>
      </c>
      <c r="AF23" s="87">
        <f t="shared" si="9"/>
        <v>15</v>
      </c>
    </row>
    <row r="24" spans="1:32" ht="31.5" customHeight="1" thickBot="1">
      <c r="A24" s="504" t="s">
        <v>34</v>
      </c>
      <c r="B24" s="505"/>
      <c r="C24" s="505"/>
      <c r="D24" s="505"/>
      <c r="E24" s="505"/>
      <c r="F24" s="505"/>
      <c r="G24" s="505"/>
      <c r="H24" s="506"/>
      <c r="I24" s="22">
        <f t="shared" ref="I24:N24" si="35">SUM(I6:I23)</f>
        <v>437400</v>
      </c>
      <c r="J24" s="19">
        <f t="shared" si="35"/>
        <v>124745</v>
      </c>
      <c r="K24" s="20">
        <f t="shared" si="35"/>
        <v>178544</v>
      </c>
      <c r="L24" s="21">
        <f t="shared" si="35"/>
        <v>96187</v>
      </c>
      <c r="M24" s="20">
        <f t="shared" si="35"/>
        <v>96187</v>
      </c>
      <c r="N24" s="21">
        <f t="shared" si="35"/>
        <v>0</v>
      </c>
      <c r="O24" s="41">
        <f t="shared" si="2"/>
        <v>0</v>
      </c>
      <c r="P24" s="42">
        <f t="shared" ref="P24:AA24" si="36">SUM(P6:P23)</f>
        <v>117</v>
      </c>
      <c r="Q24" s="43">
        <f t="shared" si="36"/>
        <v>305</v>
      </c>
      <c r="R24" s="23">
        <f t="shared" si="36"/>
        <v>24</v>
      </c>
      <c r="S24" s="24">
        <f t="shared" si="36"/>
        <v>87</v>
      </c>
      <c r="T24" s="24">
        <f t="shared" si="36"/>
        <v>12</v>
      </c>
      <c r="U24" s="24">
        <f t="shared" si="36"/>
        <v>0</v>
      </c>
      <c r="V24" s="25">
        <f t="shared" si="36"/>
        <v>24</v>
      </c>
      <c r="W24" s="26">
        <f t="shared" si="36"/>
        <v>134</v>
      </c>
      <c r="X24" s="27">
        <f t="shared" si="36"/>
        <v>0</v>
      </c>
      <c r="Y24" s="27">
        <f t="shared" si="36"/>
        <v>0</v>
      </c>
      <c r="Z24" s="27">
        <f t="shared" si="36"/>
        <v>0</v>
      </c>
      <c r="AA24" s="27">
        <f t="shared" si="36"/>
        <v>24</v>
      </c>
      <c r="AB24" s="28">
        <f>SUM(AB6:AB23)/15</f>
        <v>0.6</v>
      </c>
      <c r="AC24" s="4">
        <f>SUM(AC6:AC23)/15</f>
        <v>0.32500000000000001</v>
      </c>
      <c r="AD24" s="4">
        <f>SUM(AD6:AD23)/15</f>
        <v>0.32500000000000001</v>
      </c>
      <c r="AE24" s="29"/>
    </row>
    <row r="26" spans="1:32" ht="18.75">
      <c r="A26" s="2"/>
      <c r="B26" s="2" t="s">
        <v>35</v>
      </c>
      <c r="C26" s="2"/>
      <c r="D26" s="2"/>
      <c r="E26" s="2"/>
      <c r="F26" s="2"/>
      <c r="G26" s="2"/>
      <c r="H26" s="3"/>
      <c r="I26" s="3"/>
      <c r="J26" s="2"/>
      <c r="K26" s="2"/>
      <c r="L26" s="2"/>
      <c r="M26" s="2"/>
      <c r="N26" s="2" t="s">
        <v>36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1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</row>
    <row r="34" spans="1:32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</row>
    <row r="35" spans="1:32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88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F39" s="50"/>
    </row>
    <row r="40" spans="1:32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F40" s="50"/>
    </row>
    <row r="41" spans="1:32" ht="27">
      <c r="A41" s="59"/>
      <c r="B41" s="59"/>
      <c r="C41" s="59"/>
      <c r="D41" s="59"/>
      <c r="E41" s="59"/>
      <c r="F41" s="37"/>
      <c r="G41" s="37"/>
      <c r="H41" s="38"/>
      <c r="I41" s="38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F41" s="50"/>
    </row>
    <row r="42" spans="1:32" ht="29.25" customHeight="1">
      <c r="A42" s="60"/>
      <c r="B42" s="60"/>
      <c r="C42" s="61"/>
      <c r="D42" s="61"/>
      <c r="E42" s="61"/>
      <c r="F42" s="60"/>
      <c r="G42" s="60"/>
      <c r="H42" s="60"/>
      <c r="I42" s="60"/>
      <c r="J42" s="60"/>
      <c r="K42" s="60"/>
      <c r="L42" s="60"/>
      <c r="M42" s="61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29.25" customHeight="1">
      <c r="A48" s="60"/>
      <c r="B48" s="60"/>
      <c r="C48" s="62"/>
      <c r="D48" s="61"/>
      <c r="E48" s="61"/>
      <c r="F48" s="60"/>
      <c r="G48" s="60"/>
      <c r="H48" s="60"/>
      <c r="I48" s="60"/>
      <c r="J48" s="60"/>
      <c r="K48" s="60"/>
      <c r="L48" s="60"/>
      <c r="M48" s="62"/>
      <c r="N48" s="60"/>
      <c r="O48" s="60"/>
      <c r="P48" s="63"/>
      <c r="Q48" s="63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0"/>
      <c r="AC48" s="60"/>
      <c r="AD48" s="60"/>
      <c r="AF48" s="50"/>
    </row>
    <row r="49" spans="1:32" ht="29.25" customHeight="1">
      <c r="A49" s="60"/>
      <c r="B49" s="60"/>
      <c r="C49" s="62"/>
      <c r="D49" s="61"/>
      <c r="E49" s="61"/>
      <c r="F49" s="60"/>
      <c r="G49" s="60"/>
      <c r="H49" s="60"/>
      <c r="I49" s="60"/>
      <c r="J49" s="60"/>
      <c r="K49" s="60"/>
      <c r="L49" s="60"/>
      <c r="M49" s="62"/>
      <c r="N49" s="60"/>
      <c r="O49" s="60"/>
      <c r="P49" s="63"/>
      <c r="Q49" s="63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0"/>
      <c r="AC49" s="60"/>
      <c r="AD49" s="60"/>
      <c r="AF49" s="50"/>
    </row>
    <row r="50" spans="1:32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F50" s="50"/>
    </row>
    <row r="51" spans="1:32" ht="36" thickBot="1">
      <c r="A51" s="507" t="s">
        <v>45</v>
      </c>
      <c r="B51" s="507"/>
      <c r="C51" s="507"/>
      <c r="D51" s="507"/>
      <c r="E51" s="507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F51" s="50"/>
    </row>
    <row r="52" spans="1:32" ht="26.25" thickBot="1">
      <c r="A52" s="508" t="s">
        <v>631</v>
      </c>
      <c r="B52" s="509"/>
      <c r="C52" s="509"/>
      <c r="D52" s="509"/>
      <c r="E52" s="509"/>
      <c r="F52" s="509"/>
      <c r="G52" s="509"/>
      <c r="H52" s="509"/>
      <c r="I52" s="509"/>
      <c r="J52" s="509"/>
      <c r="K52" s="509"/>
      <c r="L52" s="509"/>
      <c r="M52" s="510"/>
      <c r="N52" s="511" t="s">
        <v>633</v>
      </c>
      <c r="O52" s="512"/>
      <c r="P52" s="512"/>
      <c r="Q52" s="512"/>
      <c r="R52" s="512"/>
      <c r="S52" s="512"/>
      <c r="T52" s="512"/>
      <c r="U52" s="512"/>
      <c r="V52" s="512"/>
      <c r="W52" s="512"/>
      <c r="X52" s="512"/>
      <c r="Y52" s="512"/>
      <c r="Z52" s="512"/>
      <c r="AA52" s="512"/>
      <c r="AB52" s="512"/>
      <c r="AC52" s="512"/>
      <c r="AD52" s="513"/>
    </row>
    <row r="53" spans="1:32" ht="27" customHeight="1">
      <c r="A53" s="514" t="s">
        <v>2</v>
      </c>
      <c r="B53" s="515"/>
      <c r="C53" s="398" t="s">
        <v>46</v>
      </c>
      <c r="D53" s="398" t="s">
        <v>47</v>
      </c>
      <c r="E53" s="398" t="s">
        <v>108</v>
      </c>
      <c r="F53" s="515" t="s">
        <v>107</v>
      </c>
      <c r="G53" s="515"/>
      <c r="H53" s="515"/>
      <c r="I53" s="515"/>
      <c r="J53" s="515"/>
      <c r="K53" s="515"/>
      <c r="L53" s="515"/>
      <c r="M53" s="516"/>
      <c r="N53" s="67" t="s">
        <v>112</v>
      </c>
      <c r="O53" s="398" t="s">
        <v>46</v>
      </c>
      <c r="P53" s="517" t="s">
        <v>47</v>
      </c>
      <c r="Q53" s="518"/>
      <c r="R53" s="517" t="s">
        <v>38</v>
      </c>
      <c r="S53" s="519"/>
      <c r="T53" s="519"/>
      <c r="U53" s="518"/>
      <c r="V53" s="517" t="s">
        <v>48</v>
      </c>
      <c r="W53" s="519"/>
      <c r="X53" s="519"/>
      <c r="Y53" s="519"/>
      <c r="Z53" s="519"/>
      <c r="AA53" s="519"/>
      <c r="AB53" s="519"/>
      <c r="AC53" s="519"/>
      <c r="AD53" s="520"/>
    </row>
    <row r="54" spans="1:32" ht="27" customHeight="1">
      <c r="A54" s="485" t="s">
        <v>124</v>
      </c>
      <c r="B54" s="486"/>
      <c r="C54" s="396" t="s">
        <v>262</v>
      </c>
      <c r="D54" s="396" t="s">
        <v>125</v>
      </c>
      <c r="E54" s="396" t="s">
        <v>379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395" t="s">
        <v>114</v>
      </c>
      <c r="O54" s="393" t="s">
        <v>144</v>
      </c>
      <c r="P54" s="499" t="s">
        <v>401</v>
      </c>
      <c r="Q54" s="500"/>
      <c r="R54" s="499" t="s">
        <v>421</v>
      </c>
      <c r="S54" s="501"/>
      <c r="T54" s="501"/>
      <c r="U54" s="500"/>
      <c r="V54" s="487" t="s">
        <v>204</v>
      </c>
      <c r="W54" s="488"/>
      <c r="X54" s="488"/>
      <c r="Y54" s="488"/>
      <c r="Z54" s="488"/>
      <c r="AA54" s="488"/>
      <c r="AB54" s="488"/>
      <c r="AC54" s="488"/>
      <c r="AD54" s="489"/>
    </row>
    <row r="55" spans="1:32" ht="27" customHeight="1">
      <c r="A55" s="485" t="s">
        <v>209</v>
      </c>
      <c r="B55" s="486"/>
      <c r="C55" s="396" t="s">
        <v>128</v>
      </c>
      <c r="D55" s="396"/>
      <c r="E55" s="396" t="s">
        <v>487</v>
      </c>
      <c r="F55" s="487" t="s">
        <v>204</v>
      </c>
      <c r="G55" s="488"/>
      <c r="H55" s="488"/>
      <c r="I55" s="488"/>
      <c r="J55" s="488"/>
      <c r="K55" s="488"/>
      <c r="L55" s="488"/>
      <c r="M55" s="489"/>
      <c r="N55" s="395" t="s">
        <v>114</v>
      </c>
      <c r="O55" s="393" t="s">
        <v>134</v>
      </c>
      <c r="P55" s="499" t="s">
        <v>117</v>
      </c>
      <c r="Q55" s="500"/>
      <c r="R55" s="499" t="s">
        <v>419</v>
      </c>
      <c r="S55" s="501"/>
      <c r="T55" s="501"/>
      <c r="U55" s="500"/>
      <c r="V55" s="476" t="s">
        <v>204</v>
      </c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130</v>
      </c>
      <c r="B56" s="486"/>
      <c r="C56" s="396" t="s">
        <v>178</v>
      </c>
      <c r="D56" s="396" t="s">
        <v>117</v>
      </c>
      <c r="E56" s="396" t="s">
        <v>478</v>
      </c>
      <c r="F56" s="487" t="s">
        <v>632</v>
      </c>
      <c r="G56" s="488"/>
      <c r="H56" s="488"/>
      <c r="I56" s="488"/>
      <c r="J56" s="488"/>
      <c r="K56" s="488"/>
      <c r="L56" s="488"/>
      <c r="M56" s="489"/>
      <c r="N56" s="395" t="s">
        <v>130</v>
      </c>
      <c r="O56" s="393" t="s">
        <v>178</v>
      </c>
      <c r="P56" s="499" t="s">
        <v>122</v>
      </c>
      <c r="Q56" s="500"/>
      <c r="R56" s="499" t="s">
        <v>481</v>
      </c>
      <c r="S56" s="501"/>
      <c r="T56" s="501"/>
      <c r="U56" s="500"/>
      <c r="V56" s="476" t="s">
        <v>120</v>
      </c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114</v>
      </c>
      <c r="B57" s="486"/>
      <c r="C57" s="396" t="s">
        <v>149</v>
      </c>
      <c r="D57" s="396" t="s">
        <v>125</v>
      </c>
      <c r="E57" s="396" t="s">
        <v>629</v>
      </c>
      <c r="F57" s="487" t="s">
        <v>205</v>
      </c>
      <c r="G57" s="488"/>
      <c r="H57" s="488"/>
      <c r="I57" s="488"/>
      <c r="J57" s="488"/>
      <c r="K57" s="488"/>
      <c r="L57" s="488"/>
      <c r="M57" s="489"/>
      <c r="N57" s="395" t="s">
        <v>114</v>
      </c>
      <c r="O57" s="393" t="s">
        <v>143</v>
      </c>
      <c r="P57" s="499" t="s">
        <v>122</v>
      </c>
      <c r="Q57" s="500"/>
      <c r="R57" s="486" t="s">
        <v>576</v>
      </c>
      <c r="S57" s="486"/>
      <c r="T57" s="486"/>
      <c r="U57" s="486"/>
      <c r="V57" s="476" t="s">
        <v>204</v>
      </c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114</v>
      </c>
      <c r="B58" s="486"/>
      <c r="C58" s="396" t="s">
        <v>143</v>
      </c>
      <c r="D58" s="396" t="s">
        <v>122</v>
      </c>
      <c r="E58" s="396" t="s">
        <v>576</v>
      </c>
      <c r="F58" s="487" t="s">
        <v>510</v>
      </c>
      <c r="G58" s="488"/>
      <c r="H58" s="488"/>
      <c r="I58" s="488"/>
      <c r="J58" s="488"/>
      <c r="K58" s="488"/>
      <c r="L58" s="488"/>
      <c r="M58" s="489"/>
      <c r="N58" s="395" t="s">
        <v>114</v>
      </c>
      <c r="O58" s="393" t="s">
        <v>149</v>
      </c>
      <c r="P58" s="499" t="s">
        <v>125</v>
      </c>
      <c r="Q58" s="500"/>
      <c r="R58" s="499" t="s">
        <v>629</v>
      </c>
      <c r="S58" s="501"/>
      <c r="T58" s="501"/>
      <c r="U58" s="500"/>
      <c r="V58" s="476" t="s">
        <v>204</v>
      </c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115</v>
      </c>
      <c r="B59" s="486"/>
      <c r="C59" s="396" t="s">
        <v>291</v>
      </c>
      <c r="D59" s="396"/>
      <c r="E59" s="396" t="s">
        <v>630</v>
      </c>
      <c r="F59" s="487" t="s">
        <v>120</v>
      </c>
      <c r="G59" s="488"/>
      <c r="H59" s="488"/>
      <c r="I59" s="488"/>
      <c r="J59" s="488"/>
      <c r="K59" s="488"/>
      <c r="L59" s="488"/>
      <c r="M59" s="489"/>
      <c r="N59" s="395"/>
      <c r="O59" s="393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124</v>
      </c>
      <c r="B60" s="486"/>
      <c r="C60" s="396" t="s">
        <v>210</v>
      </c>
      <c r="D60" s="396" t="s">
        <v>183</v>
      </c>
      <c r="E60" s="396" t="s">
        <v>607</v>
      </c>
      <c r="F60" s="487" t="s">
        <v>120</v>
      </c>
      <c r="G60" s="488"/>
      <c r="H60" s="488"/>
      <c r="I60" s="488"/>
      <c r="J60" s="488"/>
      <c r="K60" s="488"/>
      <c r="L60" s="488"/>
      <c r="M60" s="489"/>
      <c r="N60" s="395"/>
      <c r="O60" s="393"/>
      <c r="P60" s="499"/>
      <c r="Q60" s="500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</row>
    <row r="61" spans="1:32" ht="27" customHeight="1">
      <c r="A61" s="485" t="s">
        <v>153</v>
      </c>
      <c r="B61" s="486"/>
      <c r="C61" s="396" t="s">
        <v>143</v>
      </c>
      <c r="D61" s="396"/>
      <c r="E61" s="396" t="s">
        <v>635</v>
      </c>
      <c r="F61" s="487" t="s">
        <v>120</v>
      </c>
      <c r="G61" s="488"/>
      <c r="H61" s="488"/>
      <c r="I61" s="488"/>
      <c r="J61" s="488"/>
      <c r="K61" s="488"/>
      <c r="L61" s="488"/>
      <c r="M61" s="489"/>
      <c r="N61" s="395"/>
      <c r="O61" s="393"/>
      <c r="P61" s="499"/>
      <c r="Q61" s="500"/>
      <c r="R61" s="486"/>
      <c r="S61" s="486"/>
      <c r="T61" s="486"/>
      <c r="U61" s="486"/>
      <c r="V61" s="476"/>
      <c r="W61" s="476"/>
      <c r="X61" s="476"/>
      <c r="Y61" s="476"/>
      <c r="Z61" s="476"/>
      <c r="AA61" s="476"/>
      <c r="AB61" s="476"/>
      <c r="AC61" s="476"/>
      <c r="AD61" s="490"/>
    </row>
    <row r="62" spans="1:32" ht="27" customHeight="1">
      <c r="A62" s="485"/>
      <c r="B62" s="486"/>
      <c r="C62" s="396"/>
      <c r="D62" s="396"/>
      <c r="E62" s="396"/>
      <c r="F62" s="487"/>
      <c r="G62" s="488"/>
      <c r="H62" s="488"/>
      <c r="I62" s="488"/>
      <c r="J62" s="488"/>
      <c r="K62" s="488"/>
      <c r="L62" s="488"/>
      <c r="M62" s="489"/>
      <c r="N62" s="395"/>
      <c r="O62" s="393"/>
      <c r="P62" s="486"/>
      <c r="Q62" s="486"/>
      <c r="R62" s="486"/>
      <c r="S62" s="486"/>
      <c r="T62" s="486"/>
      <c r="U62" s="486"/>
      <c r="V62" s="476"/>
      <c r="W62" s="476"/>
      <c r="X62" s="476"/>
      <c r="Y62" s="476"/>
      <c r="Z62" s="476"/>
      <c r="AA62" s="476"/>
      <c r="AB62" s="476"/>
      <c r="AC62" s="476"/>
      <c r="AD62" s="490"/>
      <c r="AF62" s="87">
        <f>8*3000</f>
        <v>24000</v>
      </c>
    </row>
    <row r="63" spans="1:32" ht="27" customHeight="1" thickBot="1">
      <c r="A63" s="491"/>
      <c r="B63" s="492"/>
      <c r="C63" s="397"/>
      <c r="D63" s="397"/>
      <c r="E63" s="397"/>
      <c r="F63" s="493"/>
      <c r="G63" s="494"/>
      <c r="H63" s="494"/>
      <c r="I63" s="494"/>
      <c r="J63" s="494"/>
      <c r="K63" s="494"/>
      <c r="L63" s="494"/>
      <c r="M63" s="495"/>
      <c r="N63" s="124"/>
      <c r="O63" s="114"/>
      <c r="P63" s="496"/>
      <c r="Q63" s="496"/>
      <c r="R63" s="496"/>
      <c r="S63" s="496"/>
      <c r="T63" s="496"/>
      <c r="U63" s="496"/>
      <c r="V63" s="497"/>
      <c r="W63" s="497"/>
      <c r="X63" s="497"/>
      <c r="Y63" s="497"/>
      <c r="Z63" s="497"/>
      <c r="AA63" s="497"/>
      <c r="AB63" s="497"/>
      <c r="AC63" s="497"/>
      <c r="AD63" s="498"/>
      <c r="AF63" s="87">
        <f>16*3000</f>
        <v>48000</v>
      </c>
    </row>
    <row r="64" spans="1:32" ht="27.75" thickBot="1">
      <c r="A64" s="483" t="s">
        <v>634</v>
      </c>
      <c r="B64" s="483"/>
      <c r="C64" s="483"/>
      <c r="D64" s="483"/>
      <c r="E64" s="483"/>
      <c r="F64" s="37"/>
      <c r="G64" s="37"/>
      <c r="H64" s="38"/>
      <c r="I64" s="38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F64" s="87">
        <v>24000</v>
      </c>
    </row>
    <row r="65" spans="1:32" ht="29.25" customHeight="1" thickBot="1">
      <c r="A65" s="484" t="s">
        <v>113</v>
      </c>
      <c r="B65" s="481"/>
      <c r="C65" s="394" t="s">
        <v>2</v>
      </c>
      <c r="D65" s="394" t="s">
        <v>37</v>
      </c>
      <c r="E65" s="394" t="s">
        <v>3</v>
      </c>
      <c r="F65" s="481" t="s">
        <v>110</v>
      </c>
      <c r="G65" s="481"/>
      <c r="H65" s="481"/>
      <c r="I65" s="481"/>
      <c r="J65" s="481"/>
      <c r="K65" s="481" t="s">
        <v>39</v>
      </c>
      <c r="L65" s="481"/>
      <c r="M65" s="394" t="s">
        <v>40</v>
      </c>
      <c r="N65" s="481" t="s">
        <v>41</v>
      </c>
      <c r="O65" s="481"/>
      <c r="P65" s="478" t="s">
        <v>42</v>
      </c>
      <c r="Q65" s="480"/>
      <c r="R65" s="478" t="s">
        <v>43</v>
      </c>
      <c r="S65" s="479"/>
      <c r="T65" s="479"/>
      <c r="U65" s="479"/>
      <c r="V65" s="479"/>
      <c r="W65" s="479"/>
      <c r="X65" s="479"/>
      <c r="Y65" s="479"/>
      <c r="Z65" s="479"/>
      <c r="AA65" s="480"/>
      <c r="AB65" s="481" t="s">
        <v>44</v>
      </c>
      <c r="AC65" s="481"/>
      <c r="AD65" s="482"/>
      <c r="AF65" s="87">
        <f>SUM(AF62:AF64)</f>
        <v>96000</v>
      </c>
    </row>
    <row r="66" spans="1:32" ht="25.5" customHeight="1">
      <c r="A66" s="472">
        <v>1</v>
      </c>
      <c r="B66" s="473"/>
      <c r="C66" s="117" t="s">
        <v>124</v>
      </c>
      <c r="D66" s="389"/>
      <c r="E66" s="392" t="s">
        <v>117</v>
      </c>
      <c r="F66" s="543" t="s">
        <v>596</v>
      </c>
      <c r="G66" s="544"/>
      <c r="H66" s="544"/>
      <c r="I66" s="544"/>
      <c r="J66" s="545"/>
      <c r="K66" s="546" t="s">
        <v>274</v>
      </c>
      <c r="L66" s="473"/>
      <c r="M66" s="51" t="s">
        <v>216</v>
      </c>
      <c r="N66" s="547" t="s">
        <v>211</v>
      </c>
      <c r="O66" s="548"/>
      <c r="P66" s="549">
        <v>50</v>
      </c>
      <c r="Q66" s="550"/>
      <c r="R66" s="487" t="s">
        <v>636</v>
      </c>
      <c r="S66" s="488"/>
      <c r="T66" s="488"/>
      <c r="U66" s="488"/>
      <c r="V66" s="488"/>
      <c r="W66" s="488"/>
      <c r="X66" s="488"/>
      <c r="Y66" s="488"/>
      <c r="Z66" s="488"/>
      <c r="AA66" s="551"/>
      <c r="AB66" s="546"/>
      <c r="AC66" s="552"/>
      <c r="AD66" s="553"/>
      <c r="AF66" s="50"/>
    </row>
    <row r="67" spans="1:32" ht="25.5" customHeight="1">
      <c r="A67" s="472">
        <v>2</v>
      </c>
      <c r="B67" s="473"/>
      <c r="C67" s="117"/>
      <c r="D67" s="389"/>
      <c r="E67" s="392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3</v>
      </c>
      <c r="B68" s="473"/>
      <c r="C68" s="117"/>
      <c r="D68" s="389"/>
      <c r="E68" s="392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4</v>
      </c>
      <c r="B69" s="473"/>
      <c r="C69" s="117"/>
      <c r="D69" s="389"/>
      <c r="E69" s="392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5</v>
      </c>
      <c r="B70" s="473"/>
      <c r="C70" s="117"/>
      <c r="D70" s="389"/>
      <c r="E70" s="392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6</v>
      </c>
      <c r="B71" s="473"/>
      <c r="C71" s="117"/>
      <c r="D71" s="389"/>
      <c r="E71" s="392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5.5" customHeight="1">
      <c r="A72" s="472">
        <v>7</v>
      </c>
      <c r="B72" s="473"/>
      <c r="C72" s="117"/>
      <c r="D72" s="389"/>
      <c r="E72" s="392"/>
      <c r="F72" s="474"/>
      <c r="G72" s="466"/>
      <c r="H72" s="466"/>
      <c r="I72" s="466"/>
      <c r="J72" s="466"/>
      <c r="K72" s="466"/>
      <c r="L72" s="466"/>
      <c r="M72" s="51"/>
      <c r="N72" s="477"/>
      <c r="O72" s="477"/>
      <c r="P72" s="475"/>
      <c r="Q72" s="475"/>
      <c r="R72" s="476"/>
      <c r="S72" s="476"/>
      <c r="T72" s="476"/>
      <c r="U72" s="476"/>
      <c r="V72" s="476"/>
      <c r="W72" s="476"/>
      <c r="X72" s="476"/>
      <c r="Y72" s="476"/>
      <c r="Z72" s="476"/>
      <c r="AA72" s="476"/>
      <c r="AB72" s="466"/>
      <c r="AC72" s="466"/>
      <c r="AD72" s="467"/>
      <c r="AF72" s="50"/>
    </row>
    <row r="73" spans="1:32" ht="25.5" customHeight="1">
      <c r="A73" s="472">
        <v>8</v>
      </c>
      <c r="B73" s="473"/>
      <c r="C73" s="117"/>
      <c r="D73" s="389"/>
      <c r="E73" s="392"/>
      <c r="F73" s="474"/>
      <c r="G73" s="466"/>
      <c r="H73" s="466"/>
      <c r="I73" s="466"/>
      <c r="J73" s="466"/>
      <c r="K73" s="466"/>
      <c r="L73" s="466"/>
      <c r="M73" s="51"/>
      <c r="N73" s="477"/>
      <c r="O73" s="477"/>
      <c r="P73" s="475"/>
      <c r="Q73" s="475"/>
      <c r="R73" s="476"/>
      <c r="S73" s="476"/>
      <c r="T73" s="476"/>
      <c r="U73" s="476"/>
      <c r="V73" s="476"/>
      <c r="W73" s="476"/>
      <c r="X73" s="476"/>
      <c r="Y73" s="476"/>
      <c r="Z73" s="476"/>
      <c r="AA73" s="476"/>
      <c r="AB73" s="466"/>
      <c r="AC73" s="466"/>
      <c r="AD73" s="467"/>
      <c r="AF73" s="50"/>
    </row>
    <row r="74" spans="1:32" ht="26.25" customHeight="1" thickBot="1">
      <c r="A74" s="446" t="s">
        <v>637</v>
      </c>
      <c r="B74" s="446"/>
      <c r="C74" s="446"/>
      <c r="D74" s="446"/>
      <c r="E74" s="446"/>
      <c r="F74" s="37"/>
      <c r="G74" s="37"/>
      <c r="H74" s="38"/>
      <c r="I74" s="38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F74" s="50"/>
    </row>
    <row r="75" spans="1:32" ht="23.25" thickBot="1">
      <c r="A75" s="447" t="s">
        <v>113</v>
      </c>
      <c r="B75" s="448"/>
      <c r="C75" s="391" t="s">
        <v>2</v>
      </c>
      <c r="D75" s="391" t="s">
        <v>37</v>
      </c>
      <c r="E75" s="391" t="s">
        <v>3</v>
      </c>
      <c r="F75" s="448" t="s">
        <v>38</v>
      </c>
      <c r="G75" s="448"/>
      <c r="H75" s="448"/>
      <c r="I75" s="448"/>
      <c r="J75" s="448"/>
      <c r="K75" s="468" t="s">
        <v>58</v>
      </c>
      <c r="L75" s="469"/>
      <c r="M75" s="469"/>
      <c r="N75" s="469"/>
      <c r="O75" s="469"/>
      <c r="P75" s="469"/>
      <c r="Q75" s="469"/>
      <c r="R75" s="469"/>
      <c r="S75" s="470"/>
      <c r="T75" s="448" t="s">
        <v>49</v>
      </c>
      <c r="U75" s="448"/>
      <c r="V75" s="468" t="s">
        <v>50</v>
      </c>
      <c r="W75" s="470"/>
      <c r="X75" s="469" t="s">
        <v>51</v>
      </c>
      <c r="Y75" s="469"/>
      <c r="Z75" s="469"/>
      <c r="AA75" s="469"/>
      <c r="AB75" s="469"/>
      <c r="AC75" s="469"/>
      <c r="AD75" s="471"/>
      <c r="AF75" s="50"/>
    </row>
    <row r="76" spans="1:32" ht="33.75" customHeight="1">
      <c r="A76" s="440">
        <v>1</v>
      </c>
      <c r="B76" s="441"/>
      <c r="C76" s="390" t="s">
        <v>114</v>
      </c>
      <c r="D76" s="390"/>
      <c r="E76" s="65" t="s">
        <v>119</v>
      </c>
      <c r="F76" s="455" t="s">
        <v>118</v>
      </c>
      <c r="G76" s="456"/>
      <c r="H76" s="456"/>
      <c r="I76" s="456"/>
      <c r="J76" s="457"/>
      <c r="K76" s="458" t="s">
        <v>133</v>
      </c>
      <c r="L76" s="459"/>
      <c r="M76" s="459"/>
      <c r="N76" s="459"/>
      <c r="O76" s="459"/>
      <c r="P76" s="459"/>
      <c r="Q76" s="459"/>
      <c r="R76" s="459"/>
      <c r="S76" s="460"/>
      <c r="T76" s="461">
        <v>43675</v>
      </c>
      <c r="U76" s="462"/>
      <c r="V76" s="463"/>
      <c r="W76" s="463"/>
      <c r="X76" s="464"/>
      <c r="Y76" s="464"/>
      <c r="Z76" s="464"/>
      <c r="AA76" s="464"/>
      <c r="AB76" s="464"/>
      <c r="AC76" s="464"/>
      <c r="AD76" s="465"/>
      <c r="AF76" s="50"/>
    </row>
    <row r="77" spans="1:32" ht="30" customHeight="1">
      <c r="A77" s="433">
        <f>A76+1</f>
        <v>2</v>
      </c>
      <c r="B77" s="434"/>
      <c r="C77" s="389"/>
      <c r="D77" s="389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ref="A78:A84" si="37">A77+1</f>
        <v>3</v>
      </c>
      <c r="B78" s="434"/>
      <c r="C78" s="389"/>
      <c r="D78" s="389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37"/>
        <v>4</v>
      </c>
      <c r="B79" s="434"/>
      <c r="C79" s="389"/>
      <c r="D79" s="389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37"/>
        <v>5</v>
      </c>
      <c r="B80" s="434"/>
      <c r="C80" s="389"/>
      <c r="D80" s="389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37"/>
        <v>6</v>
      </c>
      <c r="B81" s="434"/>
      <c r="C81" s="389"/>
      <c r="D81" s="389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37"/>
        <v>7</v>
      </c>
      <c r="B82" s="434"/>
      <c r="C82" s="389"/>
      <c r="D82" s="389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0" customHeight="1">
      <c r="A83" s="433">
        <f t="shared" si="37"/>
        <v>8</v>
      </c>
      <c r="B83" s="434"/>
      <c r="C83" s="389"/>
      <c r="D83" s="389"/>
      <c r="E83" s="32"/>
      <c r="F83" s="434"/>
      <c r="G83" s="434"/>
      <c r="H83" s="434"/>
      <c r="I83" s="434"/>
      <c r="J83" s="434"/>
      <c r="K83" s="449"/>
      <c r="L83" s="450"/>
      <c r="M83" s="450"/>
      <c r="N83" s="450"/>
      <c r="O83" s="450"/>
      <c r="P83" s="450"/>
      <c r="Q83" s="450"/>
      <c r="R83" s="450"/>
      <c r="S83" s="451"/>
      <c r="T83" s="452"/>
      <c r="U83" s="452"/>
      <c r="V83" s="452"/>
      <c r="W83" s="452"/>
      <c r="X83" s="453"/>
      <c r="Y83" s="453"/>
      <c r="Z83" s="453"/>
      <c r="AA83" s="453"/>
      <c r="AB83" s="453"/>
      <c r="AC83" s="453"/>
      <c r="AD83" s="454"/>
      <c r="AF83" s="50"/>
    </row>
    <row r="84" spans="1:32" ht="30" customHeight="1">
      <c r="A84" s="433">
        <f t="shared" si="37"/>
        <v>9</v>
      </c>
      <c r="B84" s="434"/>
      <c r="C84" s="389"/>
      <c r="D84" s="389"/>
      <c r="E84" s="32"/>
      <c r="F84" s="434"/>
      <c r="G84" s="434"/>
      <c r="H84" s="434"/>
      <c r="I84" s="434"/>
      <c r="J84" s="434"/>
      <c r="K84" s="449"/>
      <c r="L84" s="450"/>
      <c r="M84" s="450"/>
      <c r="N84" s="450"/>
      <c r="O84" s="450"/>
      <c r="P84" s="450"/>
      <c r="Q84" s="450"/>
      <c r="R84" s="450"/>
      <c r="S84" s="451"/>
      <c r="T84" s="452"/>
      <c r="U84" s="452"/>
      <c r="V84" s="452"/>
      <c r="W84" s="452"/>
      <c r="X84" s="453"/>
      <c r="Y84" s="453"/>
      <c r="Z84" s="453"/>
      <c r="AA84" s="453"/>
      <c r="AB84" s="453"/>
      <c r="AC84" s="453"/>
      <c r="AD84" s="454"/>
      <c r="AF84" s="50"/>
    </row>
    <row r="85" spans="1:32" ht="36" thickBot="1">
      <c r="A85" s="446" t="s">
        <v>638</v>
      </c>
      <c r="B85" s="446"/>
      <c r="C85" s="446"/>
      <c r="D85" s="446"/>
      <c r="E85" s="446"/>
      <c r="F85" s="37"/>
      <c r="G85" s="37"/>
      <c r="H85" s="38"/>
      <c r="I85" s="38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F85" s="50"/>
    </row>
    <row r="86" spans="1:32" ht="30.75" customHeight="1" thickBot="1">
      <c r="A86" s="447" t="s">
        <v>113</v>
      </c>
      <c r="B86" s="448"/>
      <c r="C86" s="438" t="s">
        <v>52</v>
      </c>
      <c r="D86" s="438"/>
      <c r="E86" s="438" t="s">
        <v>53</v>
      </c>
      <c r="F86" s="438"/>
      <c r="G86" s="438"/>
      <c r="H86" s="438"/>
      <c r="I86" s="438"/>
      <c r="J86" s="438"/>
      <c r="K86" s="438" t="s">
        <v>54</v>
      </c>
      <c r="L86" s="438"/>
      <c r="M86" s="438"/>
      <c r="N86" s="438"/>
      <c r="O86" s="438"/>
      <c r="P86" s="438"/>
      <c r="Q86" s="438"/>
      <c r="R86" s="438"/>
      <c r="S86" s="438"/>
      <c r="T86" s="438" t="s">
        <v>55</v>
      </c>
      <c r="U86" s="438"/>
      <c r="V86" s="438" t="s">
        <v>56</v>
      </c>
      <c r="W86" s="438"/>
      <c r="X86" s="438"/>
      <c r="Y86" s="438" t="s">
        <v>51</v>
      </c>
      <c r="Z86" s="438"/>
      <c r="AA86" s="438"/>
      <c r="AB86" s="438"/>
      <c r="AC86" s="438"/>
      <c r="AD86" s="439"/>
      <c r="AF86" s="50"/>
    </row>
    <row r="87" spans="1:32" ht="30.75" customHeight="1">
      <c r="A87" s="440">
        <v>1</v>
      </c>
      <c r="B87" s="441"/>
      <c r="C87" s="442"/>
      <c r="D87" s="442"/>
      <c r="E87" s="442"/>
      <c r="F87" s="442"/>
      <c r="G87" s="442"/>
      <c r="H87" s="442"/>
      <c r="I87" s="442"/>
      <c r="J87" s="442"/>
      <c r="K87" s="442"/>
      <c r="L87" s="442"/>
      <c r="M87" s="442"/>
      <c r="N87" s="442"/>
      <c r="O87" s="442"/>
      <c r="P87" s="442"/>
      <c r="Q87" s="442"/>
      <c r="R87" s="442"/>
      <c r="S87" s="442"/>
      <c r="T87" s="442"/>
      <c r="U87" s="442"/>
      <c r="V87" s="443"/>
      <c r="W87" s="443"/>
      <c r="X87" s="443"/>
      <c r="Y87" s="444"/>
      <c r="Z87" s="444"/>
      <c r="AA87" s="444"/>
      <c r="AB87" s="444"/>
      <c r="AC87" s="444"/>
      <c r="AD87" s="445"/>
      <c r="AF87" s="50"/>
    </row>
    <row r="88" spans="1:32" ht="30.75" customHeight="1">
      <c r="A88" s="433">
        <v>2</v>
      </c>
      <c r="B88" s="434"/>
      <c r="C88" s="435"/>
      <c r="D88" s="435"/>
      <c r="E88" s="435"/>
      <c r="F88" s="435"/>
      <c r="G88" s="435"/>
      <c r="H88" s="435"/>
      <c r="I88" s="435"/>
      <c r="J88" s="435"/>
      <c r="K88" s="435"/>
      <c r="L88" s="435"/>
      <c r="M88" s="435"/>
      <c r="N88" s="435"/>
      <c r="O88" s="435"/>
      <c r="P88" s="435"/>
      <c r="Q88" s="435"/>
      <c r="R88" s="435"/>
      <c r="S88" s="435"/>
      <c r="T88" s="436"/>
      <c r="U88" s="436"/>
      <c r="V88" s="437"/>
      <c r="W88" s="437"/>
      <c r="X88" s="437"/>
      <c r="Y88" s="426"/>
      <c r="Z88" s="426"/>
      <c r="AA88" s="426"/>
      <c r="AB88" s="426"/>
      <c r="AC88" s="426"/>
      <c r="AD88" s="427"/>
      <c r="AF88" s="50"/>
    </row>
    <row r="89" spans="1:32" ht="30.75" customHeight="1" thickBot="1">
      <c r="A89" s="428">
        <v>3</v>
      </c>
      <c r="B89" s="429"/>
      <c r="C89" s="430"/>
      <c r="D89" s="430"/>
      <c r="E89" s="430"/>
      <c r="F89" s="430"/>
      <c r="G89" s="430"/>
      <c r="H89" s="430"/>
      <c r="I89" s="430"/>
      <c r="J89" s="430"/>
      <c r="K89" s="430"/>
      <c r="L89" s="430"/>
      <c r="M89" s="430"/>
      <c r="N89" s="430"/>
      <c r="O89" s="430"/>
      <c r="P89" s="430"/>
      <c r="Q89" s="430"/>
      <c r="R89" s="430"/>
      <c r="S89" s="430"/>
      <c r="T89" s="430"/>
      <c r="U89" s="430"/>
      <c r="V89" s="430"/>
      <c r="W89" s="430"/>
      <c r="X89" s="430"/>
      <c r="Y89" s="431"/>
      <c r="Z89" s="431"/>
      <c r="AA89" s="431"/>
      <c r="AB89" s="431"/>
      <c r="AC89" s="431"/>
      <c r="AD89" s="432"/>
      <c r="AF89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4:H24"/>
    <mergeCell ref="A51:E51"/>
    <mergeCell ref="A52:M52"/>
    <mergeCell ref="N52:AD52"/>
    <mergeCell ref="A53:B53"/>
    <mergeCell ref="F53:M53"/>
    <mergeCell ref="P53:Q53"/>
    <mergeCell ref="R53:U53"/>
    <mergeCell ref="V53:AD53"/>
    <mergeCell ref="I4:O4"/>
    <mergeCell ref="P4:Q4"/>
    <mergeCell ref="R4:V4"/>
    <mergeCell ref="W4:AA4"/>
    <mergeCell ref="AB4:AB5"/>
    <mergeCell ref="AC4:AC5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R62:U62"/>
    <mergeCell ref="V62:AD62"/>
    <mergeCell ref="A63:B63"/>
    <mergeCell ref="F63:M63"/>
    <mergeCell ref="P63:Q63"/>
    <mergeCell ref="R63:U63"/>
    <mergeCell ref="V63:AD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64:E64"/>
    <mergeCell ref="A65:B65"/>
    <mergeCell ref="F65:J65"/>
    <mergeCell ref="K65:L65"/>
    <mergeCell ref="N65:O65"/>
    <mergeCell ref="P65:Q65"/>
    <mergeCell ref="A62:B62"/>
    <mergeCell ref="F62:M62"/>
    <mergeCell ref="P62:Q62"/>
    <mergeCell ref="R65:AA65"/>
    <mergeCell ref="AB65:AD65"/>
    <mergeCell ref="A66:B66"/>
    <mergeCell ref="F66:J66"/>
    <mergeCell ref="K66:L66"/>
    <mergeCell ref="N66:O66"/>
    <mergeCell ref="P66:Q66"/>
    <mergeCell ref="R66:AA66"/>
    <mergeCell ref="AB66:AD66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B72"/>
    <mergeCell ref="F72:J72"/>
    <mergeCell ref="K72:L72"/>
    <mergeCell ref="N72:O72"/>
    <mergeCell ref="P72:Q72"/>
    <mergeCell ref="R72:AA72"/>
    <mergeCell ref="AB72:AD72"/>
    <mergeCell ref="A71:B71"/>
    <mergeCell ref="F71:J71"/>
    <mergeCell ref="K71:L71"/>
    <mergeCell ref="N71:O71"/>
    <mergeCell ref="P71:Q71"/>
    <mergeCell ref="R71:AA71"/>
    <mergeCell ref="AB73:AD73"/>
    <mergeCell ref="A74:E74"/>
    <mergeCell ref="A75:B75"/>
    <mergeCell ref="F75:J75"/>
    <mergeCell ref="K75:S75"/>
    <mergeCell ref="T75:U75"/>
    <mergeCell ref="V75:W75"/>
    <mergeCell ref="X75:AD75"/>
    <mergeCell ref="A73:B73"/>
    <mergeCell ref="F73:J73"/>
    <mergeCell ref="K73:L73"/>
    <mergeCell ref="N73:O73"/>
    <mergeCell ref="P73:Q73"/>
    <mergeCell ref="R73:AA73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V84:W84"/>
    <mergeCell ref="X84:AD84"/>
    <mergeCell ref="A83:B83"/>
    <mergeCell ref="F83:J83"/>
    <mergeCell ref="K83:S83"/>
    <mergeCell ref="T83:U83"/>
    <mergeCell ref="V83:W83"/>
    <mergeCell ref="X83:AD83"/>
    <mergeCell ref="A82:B82"/>
    <mergeCell ref="F82:J82"/>
    <mergeCell ref="K82:S82"/>
    <mergeCell ref="T82:U82"/>
    <mergeCell ref="V82:W82"/>
    <mergeCell ref="X82:AD82"/>
    <mergeCell ref="A85:E85"/>
    <mergeCell ref="A86:B86"/>
    <mergeCell ref="C86:D86"/>
    <mergeCell ref="E86:J86"/>
    <mergeCell ref="K86:S86"/>
    <mergeCell ref="T86:U86"/>
    <mergeCell ref="A84:B84"/>
    <mergeCell ref="F84:J84"/>
    <mergeCell ref="K84:S84"/>
    <mergeCell ref="T84:U84"/>
    <mergeCell ref="V86:X86"/>
    <mergeCell ref="Y86:AD86"/>
    <mergeCell ref="A87:B87"/>
    <mergeCell ref="C87:D87"/>
    <mergeCell ref="E87:J87"/>
    <mergeCell ref="K87:S87"/>
    <mergeCell ref="T87:U87"/>
    <mergeCell ref="V87:X87"/>
    <mergeCell ref="Y87:AD87"/>
    <mergeCell ref="Y88:AD88"/>
    <mergeCell ref="A89:B89"/>
    <mergeCell ref="C89:D89"/>
    <mergeCell ref="E89:J89"/>
    <mergeCell ref="K89:S89"/>
    <mergeCell ref="T89:U89"/>
    <mergeCell ref="V89:X89"/>
    <mergeCell ref="Y89:AD89"/>
    <mergeCell ref="A88:B88"/>
    <mergeCell ref="C88:D88"/>
    <mergeCell ref="E88:J88"/>
    <mergeCell ref="K88:S88"/>
    <mergeCell ref="T88:U88"/>
    <mergeCell ref="V88:X88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9" max="29" man="1"/>
  </rowBrea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43BD-E492-48E8-A6CB-EAD6722C166A}">
  <dimension ref="A1:AF87"/>
  <sheetViews>
    <sheetView topLeftCell="A17"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639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400" t="s">
        <v>17</v>
      </c>
      <c r="L5" s="400" t="s">
        <v>18</v>
      </c>
      <c r="M5" s="400" t="s">
        <v>19</v>
      </c>
      <c r="N5" s="40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0.35277777777777775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0.35277777777777775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125</v>
      </c>
      <c r="E8" s="53" t="s">
        <v>379</v>
      </c>
      <c r="F8" s="30" t="s">
        <v>274</v>
      </c>
      <c r="G8" s="33">
        <v>1</v>
      </c>
      <c r="H8" s="35">
        <v>24</v>
      </c>
      <c r="I8" s="7">
        <v>3500</v>
      </c>
      <c r="J8" s="14">
        <v>3599</v>
      </c>
      <c r="K8" s="15">
        <f>L8+3007</f>
        <v>6606</v>
      </c>
      <c r="L8" s="15">
        <f>1282+2317</f>
        <v>3599</v>
      </c>
      <c r="M8" s="15">
        <f t="shared" si="1"/>
        <v>3599</v>
      </c>
      <c r="N8" s="15">
        <v>0</v>
      </c>
      <c r="O8" s="58">
        <f t="shared" si="2"/>
        <v>0</v>
      </c>
      <c r="P8" s="39">
        <f t="shared" si="3"/>
        <v>19</v>
      </c>
      <c r="Q8" s="40">
        <f t="shared" si="4"/>
        <v>5</v>
      </c>
      <c r="R8" s="7"/>
      <c r="S8" s="6"/>
      <c r="T8" s="16"/>
      <c r="U8" s="16"/>
      <c r="V8" s="17"/>
      <c r="W8" s="5">
        <v>5</v>
      </c>
      <c r="X8" s="16"/>
      <c r="Y8" s="16"/>
      <c r="Z8" s="16"/>
      <c r="AA8" s="18"/>
      <c r="AB8" s="8">
        <f t="shared" si="5"/>
        <v>1</v>
      </c>
      <c r="AC8" s="9">
        <f t="shared" si="6"/>
        <v>0.79166666666666663</v>
      </c>
      <c r="AD8" s="10">
        <f t="shared" si="7"/>
        <v>0.79166666666666663</v>
      </c>
      <c r="AE8" s="36">
        <f t="shared" si="8"/>
        <v>0.35277777777777775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401</v>
      </c>
      <c r="E9" s="53" t="s">
        <v>421</v>
      </c>
      <c r="F9" s="30" t="s">
        <v>127</v>
      </c>
      <c r="G9" s="33">
        <v>1</v>
      </c>
      <c r="H9" s="35">
        <v>24</v>
      </c>
      <c r="I9" s="7">
        <v>70000</v>
      </c>
      <c r="J9" s="14">
        <v>2384</v>
      </c>
      <c r="K9" s="15">
        <f>L9</f>
        <v>0</v>
      </c>
      <c r="L9" s="15"/>
      <c r="M9" s="15">
        <f t="shared" si="1"/>
        <v>0</v>
      </c>
      <c r="N9" s="15">
        <v>0</v>
      </c>
      <c r="O9" s="58" t="str">
        <f t="shared" si="2"/>
        <v>0</v>
      </c>
      <c r="P9" s="39" t="str">
        <f t="shared" si="3"/>
        <v>0</v>
      </c>
      <c r="Q9" s="40">
        <f t="shared" si="4"/>
        <v>24</v>
      </c>
      <c r="R9" s="7"/>
      <c r="S9" s="6">
        <v>24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0</v>
      </c>
      <c r="AC9" s="9">
        <f t="shared" si="6"/>
        <v>0</v>
      </c>
      <c r="AD9" s="10">
        <f t="shared" si="7"/>
        <v>0</v>
      </c>
      <c r="AE9" s="36">
        <f t="shared" si="8"/>
        <v>0.35277777777777775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5320</v>
      </c>
      <c r="K10" s="15">
        <f>L10+3601+2209+6181+7284+1089+15594</f>
        <v>41278</v>
      </c>
      <c r="L10" s="15">
        <f>2483+2837</f>
        <v>5320</v>
      </c>
      <c r="M10" s="15">
        <f t="shared" si="1"/>
        <v>5320</v>
      </c>
      <c r="N10" s="15">
        <v>0</v>
      </c>
      <c r="O10" s="58">
        <f t="shared" si="2"/>
        <v>0</v>
      </c>
      <c r="P10" s="39">
        <f t="shared" si="3"/>
        <v>18</v>
      </c>
      <c r="Q10" s="40">
        <f t="shared" si="4"/>
        <v>6</v>
      </c>
      <c r="R10" s="7"/>
      <c r="S10" s="6">
        <v>6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0.75</v>
      </c>
      <c r="AD10" s="10">
        <f>AC10*AB10*(1-O10)</f>
        <v>0.75</v>
      </c>
      <c r="AE10" s="36">
        <f t="shared" si="8"/>
        <v>0.35277777777777775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1336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0.35277777777777775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419</v>
      </c>
      <c r="F12" s="30" t="s">
        <v>121</v>
      </c>
      <c r="G12" s="33">
        <v>1</v>
      </c>
      <c r="H12" s="35">
        <v>24</v>
      </c>
      <c r="I12" s="7">
        <v>70000</v>
      </c>
      <c r="J12" s="14">
        <v>2036</v>
      </c>
      <c r="K12" s="15">
        <f>L12</f>
        <v>2036</v>
      </c>
      <c r="L12" s="15">
        <f>2036</f>
        <v>2036</v>
      </c>
      <c r="M12" s="15">
        <f t="shared" si="1"/>
        <v>2036</v>
      </c>
      <c r="N12" s="15">
        <v>0</v>
      </c>
      <c r="O12" s="58">
        <f t="shared" si="2"/>
        <v>0</v>
      </c>
      <c r="P12" s="39">
        <f t="shared" si="3"/>
        <v>12</v>
      </c>
      <c r="Q12" s="40">
        <f t="shared" si="4"/>
        <v>12</v>
      </c>
      <c r="R12" s="7"/>
      <c r="S12" s="6">
        <v>12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0.5</v>
      </c>
      <c r="AD12" s="10">
        <f t="shared" ref="AD12:AD13" si="10">AC12*AB12*(1-O12)</f>
        <v>0.5</v>
      </c>
      <c r="AE12" s="36">
        <f t="shared" si="8"/>
        <v>0.35277777777777775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122</v>
      </c>
      <c r="E13" s="53" t="s">
        <v>481</v>
      </c>
      <c r="F13" s="30" t="s">
        <v>135</v>
      </c>
      <c r="G13" s="33">
        <v>2</v>
      </c>
      <c r="H13" s="35">
        <v>24</v>
      </c>
      <c r="I13" s="7">
        <v>10000</v>
      </c>
      <c r="J13" s="14">
        <v>11332</v>
      </c>
      <c r="K13" s="15">
        <f>L13</f>
        <v>11332</v>
      </c>
      <c r="L13" s="15">
        <f>2433*2+3233*2</f>
        <v>11332</v>
      </c>
      <c r="M13" s="15">
        <f t="shared" si="1"/>
        <v>11332</v>
      </c>
      <c r="N13" s="15">
        <v>0</v>
      </c>
      <c r="O13" s="58">
        <f t="shared" si="2"/>
        <v>0</v>
      </c>
      <c r="P13" s="39">
        <f t="shared" si="3"/>
        <v>24</v>
      </c>
      <c r="Q13" s="40">
        <f t="shared" si="4"/>
        <v>0</v>
      </c>
      <c r="R13" s="7"/>
      <c r="S13" s="6"/>
      <c r="T13" s="16"/>
      <c r="U13" s="16"/>
      <c r="V13" s="17"/>
      <c r="W13" s="5"/>
      <c r="X13" s="16"/>
      <c r="Y13" s="16"/>
      <c r="Z13" s="16"/>
      <c r="AA13" s="18"/>
      <c r="AB13" s="8">
        <f t="shared" si="5"/>
        <v>1</v>
      </c>
      <c r="AC13" s="9">
        <f t="shared" si="6"/>
        <v>1</v>
      </c>
      <c r="AD13" s="10">
        <f t="shared" si="10"/>
        <v>1</v>
      </c>
      <c r="AE13" s="36">
        <f t="shared" si="8"/>
        <v>0.35277777777777775</v>
      </c>
      <c r="AF13" s="87">
        <f t="shared" si="9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117</v>
      </c>
      <c r="E14" s="53" t="s">
        <v>371</v>
      </c>
      <c r="F14" s="30" t="s">
        <v>151</v>
      </c>
      <c r="G14" s="12">
        <v>1</v>
      </c>
      <c r="H14" s="13">
        <v>45</v>
      </c>
      <c r="I14" s="7">
        <v>300</v>
      </c>
      <c r="J14" s="5">
        <v>516</v>
      </c>
      <c r="K14" s="15">
        <f>L14+516</f>
        <v>516</v>
      </c>
      <c r="L14" s="15"/>
      <c r="M14" s="15">
        <f t="shared" si="1"/>
        <v>0</v>
      </c>
      <c r="N14" s="15">
        <v>0</v>
      </c>
      <c r="O14" s="58" t="str">
        <f t="shared" si="2"/>
        <v>0</v>
      </c>
      <c r="P14" s="39" t="str">
        <f t="shared" si="3"/>
        <v>0</v>
      </c>
      <c r="Q14" s="40">
        <f t="shared" si="4"/>
        <v>24</v>
      </c>
      <c r="R14" s="7"/>
      <c r="S14" s="6"/>
      <c r="T14" s="16"/>
      <c r="U14" s="16"/>
      <c r="V14" s="17"/>
      <c r="W14" s="5">
        <v>24</v>
      </c>
      <c r="X14" s="16"/>
      <c r="Y14" s="16"/>
      <c r="Z14" s="16"/>
      <c r="AA14" s="18"/>
      <c r="AB14" s="8">
        <f t="shared" si="5"/>
        <v>0</v>
      </c>
      <c r="AC14" s="9">
        <f t="shared" si="6"/>
        <v>0</v>
      </c>
      <c r="AD14" s="10">
        <f t="shared" si="7"/>
        <v>0</v>
      </c>
      <c r="AE14" s="36">
        <f t="shared" si="8"/>
        <v>0.35277777777777775</v>
      </c>
      <c r="AF14" s="87">
        <f t="shared" si="9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183</v>
      </c>
      <c r="E15" s="53" t="s">
        <v>607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 t="shared" si="8"/>
        <v>0.35277777777777775</v>
      </c>
      <c r="AF15" s="87">
        <f t="shared" si="9"/>
        <v>10</v>
      </c>
    </row>
    <row r="16" spans="1:32" ht="30" customHeight="1">
      <c r="A16" s="102">
        <v>11</v>
      </c>
      <c r="B16" s="11" t="s">
        <v>57</v>
      </c>
      <c r="C16" s="34" t="s">
        <v>124</v>
      </c>
      <c r="D16" s="52" t="s">
        <v>125</v>
      </c>
      <c r="E16" s="53" t="s">
        <v>444</v>
      </c>
      <c r="F16" s="30" t="s">
        <v>406</v>
      </c>
      <c r="G16" s="12">
        <v>1</v>
      </c>
      <c r="H16" s="13">
        <v>28</v>
      </c>
      <c r="I16" s="7">
        <v>7500</v>
      </c>
      <c r="J16" s="14">
        <v>810</v>
      </c>
      <c r="K16" s="15">
        <f>L16</f>
        <v>810</v>
      </c>
      <c r="L16" s="15">
        <v>810</v>
      </c>
      <c r="M16" s="15">
        <f t="shared" si="1"/>
        <v>810</v>
      </c>
      <c r="N16" s="15">
        <v>0</v>
      </c>
      <c r="O16" s="58">
        <f t="shared" si="2"/>
        <v>0</v>
      </c>
      <c r="P16" s="39">
        <f t="shared" si="3"/>
        <v>5</v>
      </c>
      <c r="Q16" s="40">
        <f t="shared" si="4"/>
        <v>19</v>
      </c>
      <c r="R16" s="7"/>
      <c r="S16" s="6">
        <v>19</v>
      </c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0.20833333333333334</v>
      </c>
      <c r="AD16" s="10">
        <f t="shared" si="7"/>
        <v>0.20833333333333334</v>
      </c>
      <c r="AE16" s="36">
        <f t="shared" si="8"/>
        <v>0.35277777777777775</v>
      </c>
      <c r="AF16" s="87">
        <f t="shared" si="9"/>
        <v>11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629</v>
      </c>
      <c r="F17" s="30" t="s">
        <v>127</v>
      </c>
      <c r="G17" s="12">
        <v>1</v>
      </c>
      <c r="H17" s="13">
        <v>28</v>
      </c>
      <c r="I17" s="7">
        <v>70000</v>
      </c>
      <c r="J17" s="14">
        <v>2620</v>
      </c>
      <c r="K17" s="15">
        <f>L17</f>
        <v>2620</v>
      </c>
      <c r="L17" s="15">
        <f>2620</f>
        <v>2620</v>
      </c>
      <c r="M17" s="15">
        <f t="shared" ref="M17" si="11">L17-N17</f>
        <v>2620</v>
      </c>
      <c r="N17" s="15">
        <v>0</v>
      </c>
      <c r="O17" s="58">
        <f t="shared" ref="O17" si="12">IF(L17=0,"0",N17/L17)</f>
        <v>0</v>
      </c>
      <c r="P17" s="39">
        <f t="shared" ref="P17" si="13">IF(L17=0,"0",(24-Q17))</f>
        <v>13</v>
      </c>
      <c r="Q17" s="40">
        <f t="shared" ref="Q17" si="14">SUM(R17:AA17)</f>
        <v>11</v>
      </c>
      <c r="R17" s="7"/>
      <c r="S17" s="6">
        <v>6</v>
      </c>
      <c r="T17" s="16">
        <v>5</v>
      </c>
      <c r="U17" s="16"/>
      <c r="V17" s="17"/>
      <c r="W17" s="5"/>
      <c r="X17" s="16"/>
      <c r="Y17" s="16"/>
      <c r="Z17" s="16"/>
      <c r="AA17" s="18"/>
      <c r="AB17" s="8">
        <f t="shared" ref="AB17" si="15">IF(J17=0,"0",(L17/J17))</f>
        <v>1</v>
      </c>
      <c r="AC17" s="9">
        <f t="shared" ref="AC17" si="16">IF(P17=0,"0",(P17/24))</f>
        <v>0.54166666666666663</v>
      </c>
      <c r="AD17" s="10">
        <f t="shared" ref="AD17" si="17">AC17*AB17*(1-O17)</f>
        <v>0.54166666666666663</v>
      </c>
      <c r="AE17" s="36">
        <f t="shared" si="8"/>
        <v>0.35277777777777775</v>
      </c>
      <c r="AF17" s="87">
        <f t="shared" ref="AF17" si="18">A17</f>
        <v>11</v>
      </c>
    </row>
    <row r="18" spans="1:32" ht="27" customHeight="1">
      <c r="A18" s="102">
        <v>12</v>
      </c>
      <c r="B18" s="11" t="s">
        <v>57</v>
      </c>
      <c r="C18" s="34" t="s">
        <v>130</v>
      </c>
      <c r="D18" s="52" t="s">
        <v>125</v>
      </c>
      <c r="E18" s="53" t="s">
        <v>563</v>
      </c>
      <c r="F18" s="30" t="s">
        <v>137</v>
      </c>
      <c r="G18" s="33">
        <v>2</v>
      </c>
      <c r="H18" s="35">
        <v>24</v>
      </c>
      <c r="I18" s="7">
        <v>20000</v>
      </c>
      <c r="J18" s="5">
        <v>11450</v>
      </c>
      <c r="K18" s="15">
        <f>L18+11282+11450</f>
        <v>22732</v>
      </c>
      <c r="L18" s="15"/>
      <c r="M18" s="15">
        <f t="shared" si="1"/>
        <v>0</v>
      </c>
      <c r="N18" s="15">
        <v>0</v>
      </c>
      <c r="O18" s="58" t="str">
        <f t="shared" si="2"/>
        <v>0</v>
      </c>
      <c r="P18" s="39" t="str">
        <f t="shared" si="3"/>
        <v>0</v>
      </c>
      <c r="Q18" s="40">
        <f t="shared" si="4"/>
        <v>24</v>
      </c>
      <c r="R18" s="7"/>
      <c r="S18" s="6"/>
      <c r="T18" s="16"/>
      <c r="U18" s="16"/>
      <c r="V18" s="17"/>
      <c r="W18" s="5">
        <v>24</v>
      </c>
      <c r="X18" s="16"/>
      <c r="Y18" s="16"/>
      <c r="Z18" s="16"/>
      <c r="AA18" s="18"/>
      <c r="AB18" s="8">
        <f t="shared" si="5"/>
        <v>0</v>
      </c>
      <c r="AC18" s="9">
        <f t="shared" si="6"/>
        <v>0</v>
      </c>
      <c r="AD18" s="10">
        <f t="shared" si="7"/>
        <v>0</v>
      </c>
      <c r="AE18" s="36">
        <f t="shared" si="8"/>
        <v>0.35277777777777775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114</v>
      </c>
      <c r="D19" s="52" t="s">
        <v>122</v>
      </c>
      <c r="E19" s="53" t="s">
        <v>576</v>
      </c>
      <c r="F19" s="30" t="s">
        <v>123</v>
      </c>
      <c r="G19" s="33">
        <v>1</v>
      </c>
      <c r="H19" s="35">
        <v>24</v>
      </c>
      <c r="I19" s="7">
        <v>70000</v>
      </c>
      <c r="J19" s="14">
        <v>2365</v>
      </c>
      <c r="K19" s="15">
        <f>L19</f>
        <v>0</v>
      </c>
      <c r="L19" s="15"/>
      <c r="M19" s="15">
        <f t="shared" si="1"/>
        <v>0</v>
      </c>
      <c r="N19" s="15">
        <v>0</v>
      </c>
      <c r="O19" s="58" t="str">
        <f t="shared" si="2"/>
        <v>0</v>
      </c>
      <c r="P19" s="39" t="str">
        <f t="shared" si="3"/>
        <v>0</v>
      </c>
      <c r="Q19" s="40">
        <f t="shared" si="4"/>
        <v>24</v>
      </c>
      <c r="R19" s="7"/>
      <c r="S19" s="6">
        <v>24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0</v>
      </c>
      <c r="AC19" s="9">
        <f t="shared" si="6"/>
        <v>0</v>
      </c>
      <c r="AD19" s="10">
        <f t="shared" si="7"/>
        <v>0</v>
      </c>
      <c r="AE19" s="36">
        <f t="shared" si="8"/>
        <v>0.35277777777777775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114</v>
      </c>
      <c r="D20" s="52" t="s">
        <v>117</v>
      </c>
      <c r="E20" s="53" t="s">
        <v>118</v>
      </c>
      <c r="F20" s="30" t="s">
        <v>121</v>
      </c>
      <c r="G20" s="33">
        <v>1</v>
      </c>
      <c r="H20" s="35">
        <v>24</v>
      </c>
      <c r="I20" s="7">
        <v>11000</v>
      </c>
      <c r="J20" s="14">
        <v>4119</v>
      </c>
      <c r="K20" s="15">
        <f>L20</f>
        <v>4119</v>
      </c>
      <c r="L20" s="15">
        <f>1532+2587</f>
        <v>4119</v>
      </c>
      <c r="M20" s="15">
        <f t="shared" si="1"/>
        <v>4119</v>
      </c>
      <c r="N20" s="15">
        <v>0</v>
      </c>
      <c r="O20" s="58">
        <f t="shared" si="2"/>
        <v>0</v>
      </c>
      <c r="P20" s="39">
        <f t="shared" si="3"/>
        <v>22</v>
      </c>
      <c r="Q20" s="40">
        <f t="shared" si="4"/>
        <v>2</v>
      </c>
      <c r="R20" s="7"/>
      <c r="S20" s="6">
        <v>2</v>
      </c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0.91666666666666663</v>
      </c>
      <c r="AD20" s="10">
        <f t="shared" si="7"/>
        <v>0.91666666666666663</v>
      </c>
      <c r="AE20" s="36">
        <f t="shared" si="8"/>
        <v>0.35277777777777775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157</v>
      </c>
      <c r="F21" s="12" t="s">
        <v>116</v>
      </c>
      <c r="G21" s="12">
        <v>4</v>
      </c>
      <c r="H21" s="35">
        <v>20</v>
      </c>
      <c r="I21" s="7">
        <v>300000</v>
      </c>
      <c r="J21" s="14">
        <v>40708</v>
      </c>
      <c r="K21" s="15">
        <f>L21</f>
        <v>40708</v>
      </c>
      <c r="L21" s="15">
        <f>7252*4+2925*4</f>
        <v>40708</v>
      </c>
      <c r="M21" s="15">
        <f t="shared" si="1"/>
        <v>40708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8"/>
        <v>0.35277777777777775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9">SUM(I6:I21)</f>
        <v>698800</v>
      </c>
      <c r="J22" s="19">
        <f t="shared" si="19"/>
        <v>93173</v>
      </c>
      <c r="K22" s="20">
        <f t="shared" si="19"/>
        <v>146822</v>
      </c>
      <c r="L22" s="21">
        <f t="shared" si="19"/>
        <v>70544</v>
      </c>
      <c r="M22" s="20">
        <f t="shared" si="19"/>
        <v>70544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127</v>
      </c>
      <c r="Q22" s="43">
        <f t="shared" si="20"/>
        <v>257</v>
      </c>
      <c r="R22" s="23">
        <f t="shared" si="20"/>
        <v>24</v>
      </c>
      <c r="S22" s="24">
        <f t="shared" si="20"/>
        <v>117</v>
      </c>
      <c r="T22" s="24">
        <f t="shared" si="20"/>
        <v>5</v>
      </c>
      <c r="U22" s="24">
        <f t="shared" si="20"/>
        <v>0</v>
      </c>
      <c r="V22" s="25">
        <f t="shared" si="20"/>
        <v>34</v>
      </c>
      <c r="W22" s="26">
        <f t="shared" si="20"/>
        <v>77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0.53333333333333333</v>
      </c>
      <c r="AC22" s="4">
        <f>SUM(AC6:AC21)/15</f>
        <v>0.35277777777777775</v>
      </c>
      <c r="AD22" s="4">
        <f>SUM(AD6:AD21)/15</f>
        <v>0.35277777777777775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640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646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401" t="s">
        <v>46</v>
      </c>
      <c r="D51" s="401" t="s">
        <v>47</v>
      </c>
      <c r="E51" s="401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401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209</v>
      </c>
      <c r="B52" s="486"/>
      <c r="C52" s="403" t="s">
        <v>128</v>
      </c>
      <c r="D52" s="403"/>
      <c r="E52" s="403" t="s">
        <v>487</v>
      </c>
      <c r="F52" s="487" t="s">
        <v>263</v>
      </c>
      <c r="G52" s="488"/>
      <c r="H52" s="488"/>
      <c r="I52" s="488"/>
      <c r="J52" s="488"/>
      <c r="K52" s="488"/>
      <c r="L52" s="488"/>
      <c r="M52" s="489"/>
      <c r="N52" s="402" t="s">
        <v>114</v>
      </c>
      <c r="O52" s="407" t="s">
        <v>144</v>
      </c>
      <c r="P52" s="499" t="s">
        <v>401</v>
      </c>
      <c r="Q52" s="500"/>
      <c r="R52" s="499" t="s">
        <v>421</v>
      </c>
      <c r="S52" s="501"/>
      <c r="T52" s="501"/>
      <c r="U52" s="500"/>
      <c r="V52" s="487" t="s">
        <v>204</v>
      </c>
      <c r="W52" s="488"/>
      <c r="X52" s="488"/>
      <c r="Y52" s="488"/>
      <c r="Z52" s="488"/>
      <c r="AA52" s="488"/>
      <c r="AB52" s="488"/>
      <c r="AC52" s="488"/>
      <c r="AD52" s="489"/>
    </row>
    <row r="53" spans="1:32" ht="27" customHeight="1">
      <c r="A53" s="485" t="s">
        <v>114</v>
      </c>
      <c r="B53" s="486"/>
      <c r="C53" s="403" t="s">
        <v>144</v>
      </c>
      <c r="D53" s="403" t="s">
        <v>401</v>
      </c>
      <c r="E53" s="403" t="s">
        <v>421</v>
      </c>
      <c r="F53" s="487" t="s">
        <v>641</v>
      </c>
      <c r="G53" s="488"/>
      <c r="H53" s="488"/>
      <c r="I53" s="488"/>
      <c r="J53" s="488"/>
      <c r="K53" s="488"/>
      <c r="L53" s="488"/>
      <c r="M53" s="489"/>
      <c r="N53" s="402" t="s">
        <v>114</v>
      </c>
      <c r="O53" s="407" t="s">
        <v>143</v>
      </c>
      <c r="P53" s="499" t="s">
        <v>122</v>
      </c>
      <c r="Q53" s="500"/>
      <c r="R53" s="486" t="s">
        <v>576</v>
      </c>
      <c r="S53" s="486"/>
      <c r="T53" s="486"/>
      <c r="U53" s="486"/>
      <c r="V53" s="476" t="s">
        <v>204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130</v>
      </c>
      <c r="B54" s="486"/>
      <c r="C54" s="403" t="s">
        <v>178</v>
      </c>
      <c r="D54" s="403" t="s">
        <v>122</v>
      </c>
      <c r="E54" s="403" t="s">
        <v>481</v>
      </c>
      <c r="F54" s="487" t="s">
        <v>120</v>
      </c>
      <c r="G54" s="488"/>
      <c r="H54" s="488"/>
      <c r="I54" s="488"/>
      <c r="J54" s="488"/>
      <c r="K54" s="488"/>
      <c r="L54" s="488"/>
      <c r="M54" s="489"/>
      <c r="N54" s="402" t="s">
        <v>124</v>
      </c>
      <c r="O54" s="407" t="s">
        <v>262</v>
      </c>
      <c r="P54" s="499" t="s">
        <v>138</v>
      </c>
      <c r="Q54" s="500"/>
      <c r="R54" s="499" t="s">
        <v>647</v>
      </c>
      <c r="S54" s="501"/>
      <c r="T54" s="501"/>
      <c r="U54" s="500"/>
      <c r="V54" s="476" t="s">
        <v>120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403" t="s">
        <v>149</v>
      </c>
      <c r="D55" s="403" t="s">
        <v>183</v>
      </c>
      <c r="E55" s="403" t="s">
        <v>408</v>
      </c>
      <c r="F55" s="487" t="s">
        <v>416</v>
      </c>
      <c r="G55" s="488"/>
      <c r="H55" s="488"/>
      <c r="I55" s="488"/>
      <c r="J55" s="488"/>
      <c r="K55" s="488"/>
      <c r="L55" s="488"/>
      <c r="M55" s="489"/>
      <c r="N55" s="402"/>
      <c r="O55" s="407"/>
      <c r="P55" s="499"/>
      <c r="Q55" s="500"/>
      <c r="R55" s="486"/>
      <c r="S55" s="486"/>
      <c r="T55" s="486"/>
      <c r="U55" s="486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403" t="s">
        <v>143</v>
      </c>
      <c r="D56" s="403" t="s">
        <v>122</v>
      </c>
      <c r="E56" s="403" t="s">
        <v>576</v>
      </c>
      <c r="F56" s="487" t="s">
        <v>642</v>
      </c>
      <c r="G56" s="488"/>
      <c r="H56" s="488"/>
      <c r="I56" s="488"/>
      <c r="J56" s="488"/>
      <c r="K56" s="488"/>
      <c r="L56" s="488"/>
      <c r="M56" s="489"/>
      <c r="N56" s="402"/>
      <c r="O56" s="407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115</v>
      </c>
      <c r="B57" s="486"/>
      <c r="C57" s="403" t="s">
        <v>291</v>
      </c>
      <c r="D57" s="403"/>
      <c r="E57" s="403" t="s">
        <v>157</v>
      </c>
      <c r="F57" s="487" t="s">
        <v>120</v>
      </c>
      <c r="G57" s="488"/>
      <c r="H57" s="488"/>
      <c r="I57" s="488"/>
      <c r="J57" s="488"/>
      <c r="K57" s="488"/>
      <c r="L57" s="488"/>
      <c r="M57" s="489"/>
      <c r="N57" s="402"/>
      <c r="O57" s="407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124</v>
      </c>
      <c r="B58" s="486"/>
      <c r="C58" s="403" t="s">
        <v>264</v>
      </c>
      <c r="D58" s="403" t="s">
        <v>125</v>
      </c>
      <c r="E58" s="403" t="s">
        <v>444</v>
      </c>
      <c r="F58" s="487" t="s">
        <v>643</v>
      </c>
      <c r="G58" s="488"/>
      <c r="H58" s="488"/>
      <c r="I58" s="488"/>
      <c r="J58" s="488"/>
      <c r="K58" s="488"/>
      <c r="L58" s="488"/>
      <c r="M58" s="489"/>
      <c r="N58" s="402"/>
      <c r="O58" s="407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 t="s">
        <v>114</v>
      </c>
      <c r="B59" s="486"/>
      <c r="C59" s="403" t="s">
        <v>264</v>
      </c>
      <c r="D59" s="403" t="s">
        <v>125</v>
      </c>
      <c r="E59" s="403" t="s">
        <v>629</v>
      </c>
      <c r="F59" s="487" t="s">
        <v>644</v>
      </c>
      <c r="G59" s="488"/>
      <c r="H59" s="488"/>
      <c r="I59" s="488"/>
      <c r="J59" s="488"/>
      <c r="K59" s="488"/>
      <c r="L59" s="488"/>
      <c r="M59" s="489"/>
      <c r="N59" s="402"/>
      <c r="O59" s="407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 t="s">
        <v>114</v>
      </c>
      <c r="B60" s="486"/>
      <c r="C60" s="403" t="s">
        <v>211</v>
      </c>
      <c r="D60" s="403" t="s">
        <v>117</v>
      </c>
      <c r="E60" s="403" t="s">
        <v>118</v>
      </c>
      <c r="F60" s="487" t="s">
        <v>645</v>
      </c>
      <c r="G60" s="488"/>
      <c r="H60" s="488"/>
      <c r="I60" s="488"/>
      <c r="J60" s="488"/>
      <c r="K60" s="488"/>
      <c r="L60" s="488"/>
      <c r="M60" s="489"/>
      <c r="N60" s="402"/>
      <c r="O60" s="407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404"/>
      <c r="D61" s="404"/>
      <c r="E61" s="404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648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405" t="s">
        <v>2</v>
      </c>
      <c r="D63" s="405" t="s">
        <v>37</v>
      </c>
      <c r="E63" s="405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405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/>
      <c r="D64" s="409"/>
      <c r="E64" s="406"/>
      <c r="F64" s="543"/>
      <c r="G64" s="544"/>
      <c r="H64" s="544"/>
      <c r="I64" s="544"/>
      <c r="J64" s="545"/>
      <c r="K64" s="546"/>
      <c r="L64" s="473"/>
      <c r="M64" s="51"/>
      <c r="N64" s="547"/>
      <c r="O64" s="548"/>
      <c r="P64" s="549"/>
      <c r="Q64" s="550"/>
      <c r="R64" s="487"/>
      <c r="S64" s="488"/>
      <c r="T64" s="488"/>
      <c r="U64" s="488"/>
      <c r="V64" s="488"/>
      <c r="W64" s="488"/>
      <c r="X64" s="488"/>
      <c r="Y64" s="488"/>
      <c r="Z64" s="488"/>
      <c r="AA64" s="551"/>
      <c r="AB64" s="546"/>
      <c r="AC64" s="552"/>
      <c r="AD64" s="553"/>
      <c r="AF64" s="50"/>
    </row>
    <row r="65" spans="1:32" ht="25.5" customHeight="1">
      <c r="A65" s="472">
        <v>2</v>
      </c>
      <c r="B65" s="473"/>
      <c r="C65" s="117"/>
      <c r="D65" s="409"/>
      <c r="E65" s="406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409"/>
      <c r="E66" s="406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409"/>
      <c r="E67" s="406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409"/>
      <c r="E68" s="406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409"/>
      <c r="E69" s="406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409"/>
      <c r="E70" s="406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409"/>
      <c r="E71" s="406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649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408" t="s">
        <v>2</v>
      </c>
      <c r="D73" s="408" t="s">
        <v>37</v>
      </c>
      <c r="E73" s="408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410" t="s">
        <v>114</v>
      </c>
      <c r="D74" s="410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409"/>
      <c r="D75" s="409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1">A75+1</f>
        <v>3</v>
      </c>
      <c r="B76" s="434"/>
      <c r="C76" s="409"/>
      <c r="D76" s="409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1"/>
        <v>4</v>
      </c>
      <c r="B77" s="434"/>
      <c r="C77" s="409"/>
      <c r="D77" s="409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5</v>
      </c>
      <c r="B78" s="434"/>
      <c r="C78" s="409"/>
      <c r="D78" s="409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6</v>
      </c>
      <c r="B79" s="434"/>
      <c r="C79" s="409"/>
      <c r="D79" s="409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7</v>
      </c>
      <c r="B80" s="434"/>
      <c r="C80" s="409"/>
      <c r="D80" s="409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8</v>
      </c>
      <c r="B81" s="434"/>
      <c r="C81" s="409"/>
      <c r="D81" s="409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9</v>
      </c>
      <c r="B82" s="434"/>
      <c r="C82" s="409"/>
      <c r="D82" s="409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650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0CE9-6922-4F8A-97ED-754B4C5C16F4}">
  <dimension ref="A1:AF87"/>
  <sheetViews>
    <sheetView zoomScale="72" zoomScaleNormal="72" zoomScaleSheetLayoutView="70" workbookViewId="0">
      <selection activeCell="A84" sqref="A84:B84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651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400" t="s">
        <v>17</v>
      </c>
      <c r="L5" s="400" t="s">
        <v>18</v>
      </c>
      <c r="M5" s="400" t="s">
        <v>19</v>
      </c>
      <c r="N5" s="400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1" si="1">L6-N6</f>
        <v>0</v>
      </c>
      <c r="N6" s="15">
        <v>0</v>
      </c>
      <c r="O6" s="58" t="str">
        <f t="shared" ref="O6:O22" si="2">IF(L6=0,"0",N6/L6)</f>
        <v>0</v>
      </c>
      <c r="P6" s="39" t="str">
        <f t="shared" ref="P6:P21" si="3">IF(L6=0,"0",(24-Q6))</f>
        <v>0</v>
      </c>
      <c r="Q6" s="40">
        <f t="shared" ref="Q6:Q21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1" si="5">IF(J6=0,"0",(L6/J6))</f>
        <v>0</v>
      </c>
      <c r="AC6" s="9">
        <f t="shared" ref="AC6:AC21" si="6">IF(P6=0,"0",(P6/24))</f>
        <v>0</v>
      </c>
      <c r="AD6" s="10">
        <f t="shared" ref="AD6:AD21" si="7">AC6*AB6*(1-O6)</f>
        <v>0</v>
      </c>
      <c r="AE6" s="36">
        <f t="shared" ref="AE6:AE21" si="8">$AD$22</f>
        <v>0.53888888888888897</v>
      </c>
      <c r="AF6" s="87">
        <f t="shared" ref="AF6:AF21" si="9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 t="shared" si="8"/>
        <v>0.53888888888888897</v>
      </c>
      <c r="AF7" s="87">
        <f t="shared" si="9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138</v>
      </c>
      <c r="E8" s="53" t="s">
        <v>647</v>
      </c>
      <c r="F8" s="30" t="s">
        <v>126</v>
      </c>
      <c r="G8" s="33">
        <v>1</v>
      </c>
      <c r="H8" s="35">
        <v>24</v>
      </c>
      <c r="I8" s="7">
        <v>5000</v>
      </c>
      <c r="J8" s="14">
        <v>4294</v>
      </c>
      <c r="K8" s="15">
        <f>L8</f>
        <v>4294</v>
      </c>
      <c r="L8" s="15">
        <f>2147*2</f>
        <v>4294</v>
      </c>
      <c r="M8" s="15">
        <f t="shared" si="1"/>
        <v>4294</v>
      </c>
      <c r="N8" s="15">
        <v>0</v>
      </c>
      <c r="O8" s="58">
        <f t="shared" si="2"/>
        <v>0</v>
      </c>
      <c r="P8" s="39">
        <f t="shared" si="3"/>
        <v>12</v>
      </c>
      <c r="Q8" s="40">
        <f t="shared" si="4"/>
        <v>12</v>
      </c>
      <c r="R8" s="7"/>
      <c r="S8" s="6"/>
      <c r="T8" s="16"/>
      <c r="U8" s="16"/>
      <c r="V8" s="17"/>
      <c r="W8" s="5">
        <v>12</v>
      </c>
      <c r="X8" s="16"/>
      <c r="Y8" s="16"/>
      <c r="Z8" s="16"/>
      <c r="AA8" s="18"/>
      <c r="AB8" s="8">
        <f t="shared" si="5"/>
        <v>1</v>
      </c>
      <c r="AC8" s="9">
        <f t="shared" si="6"/>
        <v>0.5</v>
      </c>
      <c r="AD8" s="10">
        <f t="shared" si="7"/>
        <v>0.5</v>
      </c>
      <c r="AE8" s="36">
        <f t="shared" si="8"/>
        <v>0.53888888888888897</v>
      </c>
      <c r="AF8" s="87">
        <f t="shared" si="9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401</v>
      </c>
      <c r="E9" s="53" t="s">
        <v>421</v>
      </c>
      <c r="F9" s="30" t="s">
        <v>127</v>
      </c>
      <c r="G9" s="33">
        <v>1</v>
      </c>
      <c r="H9" s="35">
        <v>24</v>
      </c>
      <c r="I9" s="7">
        <v>70000</v>
      </c>
      <c r="J9" s="14">
        <v>1036</v>
      </c>
      <c r="K9" s="15">
        <f>L9</f>
        <v>1036</v>
      </c>
      <c r="L9" s="15">
        <f>300+736</f>
        <v>1036</v>
      </c>
      <c r="M9" s="15">
        <f t="shared" si="1"/>
        <v>1036</v>
      </c>
      <c r="N9" s="15">
        <v>0</v>
      </c>
      <c r="O9" s="58">
        <f t="shared" si="2"/>
        <v>0</v>
      </c>
      <c r="P9" s="39">
        <f t="shared" si="3"/>
        <v>6</v>
      </c>
      <c r="Q9" s="40">
        <f t="shared" si="4"/>
        <v>18</v>
      </c>
      <c r="R9" s="7"/>
      <c r="S9" s="6">
        <v>18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0.25</v>
      </c>
      <c r="AD9" s="10">
        <f t="shared" si="7"/>
        <v>0.25</v>
      </c>
      <c r="AE9" s="36">
        <f t="shared" si="8"/>
        <v>0.53888888888888897</v>
      </c>
      <c r="AF9" s="87">
        <f t="shared" si="9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6949</v>
      </c>
      <c r="K10" s="15">
        <f>L10+3601+2209+6181+7284+1089+15594+5320</f>
        <v>48227</v>
      </c>
      <c r="L10" s="15">
        <f>2308+4641</f>
        <v>6949</v>
      </c>
      <c r="M10" s="15">
        <f t="shared" si="1"/>
        <v>6949</v>
      </c>
      <c r="N10" s="15">
        <v>0</v>
      </c>
      <c r="O10" s="58">
        <f t="shared" si="2"/>
        <v>0</v>
      </c>
      <c r="P10" s="39">
        <f t="shared" si="3"/>
        <v>21</v>
      </c>
      <c r="Q10" s="40">
        <f t="shared" si="4"/>
        <v>3</v>
      </c>
      <c r="R10" s="7"/>
      <c r="S10" s="6">
        <v>3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0.875</v>
      </c>
      <c r="AD10" s="10">
        <f>AC10*AB10*(1-O10)</f>
        <v>0.875</v>
      </c>
      <c r="AE10" s="36">
        <f t="shared" si="8"/>
        <v>0.53888888888888897</v>
      </c>
      <c r="AF10" s="87">
        <f t="shared" si="9"/>
        <v>5</v>
      </c>
    </row>
    <row r="11" spans="1:32" ht="27" customHeight="1">
      <c r="A11" s="103">
        <v>6</v>
      </c>
      <c r="B11" s="11" t="s">
        <v>57</v>
      </c>
      <c r="C11" s="34" t="s">
        <v>124</v>
      </c>
      <c r="D11" s="52" t="s">
        <v>183</v>
      </c>
      <c r="E11" s="53" t="s">
        <v>408</v>
      </c>
      <c r="F11" s="30" t="s">
        <v>154</v>
      </c>
      <c r="G11" s="33">
        <v>1</v>
      </c>
      <c r="H11" s="35">
        <v>24</v>
      </c>
      <c r="I11" s="7">
        <v>10000</v>
      </c>
      <c r="J11" s="5">
        <v>1336</v>
      </c>
      <c r="K11" s="15">
        <f>L11</f>
        <v>0</v>
      </c>
      <c r="L11" s="15"/>
      <c r="M11" s="15">
        <f t="shared" si="1"/>
        <v>0</v>
      </c>
      <c r="N11" s="15">
        <v>0</v>
      </c>
      <c r="O11" s="58" t="str">
        <f t="shared" si="2"/>
        <v>0</v>
      </c>
      <c r="P11" s="39" t="str">
        <f t="shared" si="3"/>
        <v>0</v>
      </c>
      <c r="Q11" s="40">
        <f t="shared" si="4"/>
        <v>24</v>
      </c>
      <c r="R11" s="7"/>
      <c r="S11" s="6">
        <v>24</v>
      </c>
      <c r="T11" s="16"/>
      <c r="U11" s="16"/>
      <c r="V11" s="17"/>
      <c r="W11" s="5"/>
      <c r="X11" s="16"/>
      <c r="Y11" s="16"/>
      <c r="Z11" s="16"/>
      <c r="AA11" s="18"/>
      <c r="AB11" s="8">
        <f t="shared" si="5"/>
        <v>0</v>
      </c>
      <c r="AC11" s="9">
        <f t="shared" si="6"/>
        <v>0</v>
      </c>
      <c r="AD11" s="10">
        <f>AC11*AB11*(1-O11)</f>
        <v>0</v>
      </c>
      <c r="AE11" s="36">
        <f t="shared" si="8"/>
        <v>0.53888888888888897</v>
      </c>
      <c r="AF11" s="87">
        <f t="shared" si="9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419</v>
      </c>
      <c r="F12" s="30" t="s">
        <v>121</v>
      </c>
      <c r="G12" s="33">
        <v>1</v>
      </c>
      <c r="H12" s="35">
        <v>24</v>
      </c>
      <c r="I12" s="7">
        <v>70000</v>
      </c>
      <c r="J12" s="14">
        <v>3193</v>
      </c>
      <c r="K12" s="15">
        <f>L12+2036</f>
        <v>5229</v>
      </c>
      <c r="L12" s="15">
        <f>901+2292</f>
        <v>3193</v>
      </c>
      <c r="M12" s="15">
        <f t="shared" si="1"/>
        <v>3193</v>
      </c>
      <c r="N12" s="15">
        <v>0</v>
      </c>
      <c r="O12" s="58">
        <f t="shared" si="2"/>
        <v>0</v>
      </c>
      <c r="P12" s="39">
        <f t="shared" si="3"/>
        <v>18</v>
      </c>
      <c r="Q12" s="40">
        <f t="shared" si="4"/>
        <v>6</v>
      </c>
      <c r="R12" s="7"/>
      <c r="S12" s="6">
        <v>6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0.75</v>
      </c>
      <c r="AD12" s="10">
        <f t="shared" ref="AD12:AD13" si="10">AC12*AB12*(1-O12)</f>
        <v>0.75</v>
      </c>
      <c r="AE12" s="36">
        <f t="shared" si="8"/>
        <v>0.53888888888888897</v>
      </c>
      <c r="AF12" s="87">
        <f t="shared" si="9"/>
        <v>7</v>
      </c>
    </row>
    <row r="13" spans="1:32" ht="27" customHeight="1">
      <c r="A13" s="103">
        <v>8</v>
      </c>
      <c r="B13" s="11" t="s">
        <v>57</v>
      </c>
      <c r="C13" s="11" t="s">
        <v>130</v>
      </c>
      <c r="D13" s="52" t="s">
        <v>122</v>
      </c>
      <c r="E13" s="53" t="s">
        <v>481</v>
      </c>
      <c r="F13" s="30" t="s">
        <v>135</v>
      </c>
      <c r="G13" s="33">
        <v>2</v>
      </c>
      <c r="H13" s="35">
        <v>24</v>
      </c>
      <c r="I13" s="7">
        <v>10000</v>
      </c>
      <c r="J13" s="14">
        <v>3620</v>
      </c>
      <c r="K13" s="15">
        <f>L13+11332</f>
        <v>14952</v>
      </c>
      <c r="L13" s="15">
        <f>1810*2</f>
        <v>3620</v>
      </c>
      <c r="M13" s="15">
        <f t="shared" si="1"/>
        <v>3620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10"/>
        <v>0.41666666666666669</v>
      </c>
      <c r="AE13" s="36">
        <f t="shared" si="8"/>
        <v>0.53888888888888897</v>
      </c>
      <c r="AF13" s="87">
        <f t="shared" si="9"/>
        <v>8</v>
      </c>
    </row>
    <row r="14" spans="1:32" ht="27" customHeight="1">
      <c r="A14" s="103">
        <v>8</v>
      </c>
      <c r="B14" s="11" t="s">
        <v>57</v>
      </c>
      <c r="C14" s="11" t="s">
        <v>114</v>
      </c>
      <c r="D14" s="52" t="s">
        <v>125</v>
      </c>
      <c r="E14" s="53" t="s">
        <v>256</v>
      </c>
      <c r="F14" s="30" t="s">
        <v>126</v>
      </c>
      <c r="G14" s="33">
        <v>1</v>
      </c>
      <c r="H14" s="35">
        <v>24</v>
      </c>
      <c r="I14" s="7">
        <v>5000</v>
      </c>
      <c r="J14" s="14">
        <v>2462</v>
      </c>
      <c r="K14" s="15">
        <f>L14</f>
        <v>2462</v>
      </c>
      <c r="L14" s="15">
        <f>2462</f>
        <v>2462</v>
      </c>
      <c r="M14" s="15">
        <f t="shared" ref="M14" si="11">L14-N14</f>
        <v>2462</v>
      </c>
      <c r="N14" s="15">
        <v>0</v>
      </c>
      <c r="O14" s="58">
        <f t="shared" ref="O14" si="12">IF(L14=0,"0",N14/L14)</f>
        <v>0</v>
      </c>
      <c r="P14" s="39">
        <f t="shared" ref="P14" si="13">IF(L14=0,"0",(24-Q14))</f>
        <v>11</v>
      </c>
      <c r="Q14" s="40">
        <f t="shared" ref="Q14" si="14">SUM(R14:AA14)</f>
        <v>13</v>
      </c>
      <c r="R14" s="7"/>
      <c r="S14" s="6">
        <v>13</v>
      </c>
      <c r="T14" s="16"/>
      <c r="U14" s="16"/>
      <c r="V14" s="17"/>
      <c r="W14" s="5"/>
      <c r="X14" s="16"/>
      <c r="Y14" s="16"/>
      <c r="Z14" s="16"/>
      <c r="AA14" s="18"/>
      <c r="AB14" s="8">
        <f t="shared" ref="AB14" si="15">IF(J14=0,"0",(L14/J14))</f>
        <v>1</v>
      </c>
      <c r="AC14" s="9">
        <f t="shared" ref="AC14" si="16">IF(P14=0,"0",(P14/24))</f>
        <v>0.45833333333333331</v>
      </c>
      <c r="AD14" s="10">
        <f t="shared" ref="AD14" si="17">AC14*AB14*(1-O14)</f>
        <v>0.45833333333333331</v>
      </c>
      <c r="AE14" s="36">
        <f t="shared" si="8"/>
        <v>0.53888888888888897</v>
      </c>
      <c r="AF14" s="87">
        <f t="shared" ref="AF14" si="18">A14</f>
        <v>8</v>
      </c>
    </row>
    <row r="15" spans="1:32" ht="27" customHeight="1">
      <c r="A15" s="118">
        <v>9</v>
      </c>
      <c r="B15" s="11" t="s">
        <v>57</v>
      </c>
      <c r="C15" s="34" t="s">
        <v>124</v>
      </c>
      <c r="D15" s="52" t="s">
        <v>183</v>
      </c>
      <c r="E15" s="53" t="s">
        <v>408</v>
      </c>
      <c r="F15" s="30" t="s">
        <v>154</v>
      </c>
      <c r="G15" s="33">
        <v>1</v>
      </c>
      <c r="H15" s="35">
        <v>24</v>
      </c>
      <c r="I15" s="7">
        <v>10000</v>
      </c>
      <c r="J15" s="5">
        <v>3232</v>
      </c>
      <c r="K15" s="15">
        <f>L15</f>
        <v>3232</v>
      </c>
      <c r="L15" s="15">
        <f>2790+442</f>
        <v>3232</v>
      </c>
      <c r="M15" s="15">
        <f t="shared" si="1"/>
        <v>3232</v>
      </c>
      <c r="N15" s="15">
        <v>0</v>
      </c>
      <c r="O15" s="58">
        <f t="shared" si="2"/>
        <v>0</v>
      </c>
      <c r="P15" s="39">
        <f t="shared" si="3"/>
        <v>14</v>
      </c>
      <c r="Q15" s="40">
        <f t="shared" si="4"/>
        <v>10</v>
      </c>
      <c r="R15" s="7"/>
      <c r="S15" s="6">
        <v>10</v>
      </c>
      <c r="T15" s="16"/>
      <c r="U15" s="16"/>
      <c r="V15" s="17"/>
      <c r="W15" s="5"/>
      <c r="X15" s="16"/>
      <c r="Y15" s="16"/>
      <c r="Z15" s="16"/>
      <c r="AA15" s="18"/>
      <c r="AB15" s="8">
        <f t="shared" si="5"/>
        <v>1</v>
      </c>
      <c r="AC15" s="9">
        <f t="shared" si="6"/>
        <v>0.58333333333333337</v>
      </c>
      <c r="AD15" s="10">
        <f t="shared" si="7"/>
        <v>0.58333333333333337</v>
      </c>
      <c r="AE15" s="36">
        <f t="shared" si="8"/>
        <v>0.53888888888888897</v>
      </c>
      <c r="AF15" s="87">
        <f t="shared" si="9"/>
        <v>9</v>
      </c>
    </row>
    <row r="16" spans="1:32" ht="27" customHeight="1">
      <c r="A16" s="102">
        <v>10</v>
      </c>
      <c r="B16" s="11" t="s">
        <v>57</v>
      </c>
      <c r="C16" s="34" t="s">
        <v>124</v>
      </c>
      <c r="D16" s="52" t="s">
        <v>183</v>
      </c>
      <c r="E16" s="53" t="s">
        <v>607</v>
      </c>
      <c r="F16" s="12">
        <v>8301</v>
      </c>
      <c r="G16" s="12">
        <v>1</v>
      </c>
      <c r="H16" s="13">
        <v>24</v>
      </c>
      <c r="I16" s="31">
        <v>500</v>
      </c>
      <c r="J16" s="14">
        <v>2517</v>
      </c>
      <c r="K16" s="15">
        <f>L16+2517</f>
        <v>2517</v>
      </c>
      <c r="L16" s="15"/>
      <c r="M16" s="15">
        <f t="shared" si="1"/>
        <v>0</v>
      </c>
      <c r="N16" s="15">
        <v>0</v>
      </c>
      <c r="O16" s="58" t="str">
        <f t="shared" si="2"/>
        <v>0</v>
      </c>
      <c r="P16" s="39" t="str">
        <f t="shared" si="3"/>
        <v>0</v>
      </c>
      <c r="Q16" s="40">
        <f t="shared" si="4"/>
        <v>24</v>
      </c>
      <c r="R16" s="7"/>
      <c r="S16" s="6"/>
      <c r="T16" s="16"/>
      <c r="U16" s="16"/>
      <c r="V16" s="17"/>
      <c r="W16" s="5">
        <v>24</v>
      </c>
      <c r="X16" s="16"/>
      <c r="Y16" s="16"/>
      <c r="Z16" s="16"/>
      <c r="AA16" s="18"/>
      <c r="AB16" s="8">
        <f t="shared" si="5"/>
        <v>0</v>
      </c>
      <c r="AC16" s="9">
        <f t="shared" si="6"/>
        <v>0</v>
      </c>
      <c r="AD16" s="10">
        <f t="shared" si="7"/>
        <v>0</v>
      </c>
      <c r="AE16" s="36">
        <f t="shared" si="8"/>
        <v>0.53888888888888897</v>
      </c>
      <c r="AF16" s="87">
        <f t="shared" si="9"/>
        <v>10</v>
      </c>
    </row>
    <row r="17" spans="1:32" ht="30" customHeight="1">
      <c r="A17" s="102">
        <v>11</v>
      </c>
      <c r="B17" s="11" t="s">
        <v>57</v>
      </c>
      <c r="C17" s="34" t="s">
        <v>114</v>
      </c>
      <c r="D17" s="52" t="s">
        <v>125</v>
      </c>
      <c r="E17" s="53" t="s">
        <v>629</v>
      </c>
      <c r="F17" s="30" t="s">
        <v>127</v>
      </c>
      <c r="G17" s="12">
        <v>1</v>
      </c>
      <c r="H17" s="13">
        <v>28</v>
      </c>
      <c r="I17" s="7">
        <v>70000</v>
      </c>
      <c r="J17" s="14">
        <v>5280</v>
      </c>
      <c r="K17" s="15">
        <f>L17+2620</f>
        <v>7900</v>
      </c>
      <c r="L17" s="15">
        <f>2789+2491</f>
        <v>5280</v>
      </c>
      <c r="M17" s="15">
        <f t="shared" si="1"/>
        <v>5280</v>
      </c>
      <c r="N17" s="15">
        <v>0</v>
      </c>
      <c r="O17" s="58">
        <f t="shared" si="2"/>
        <v>0</v>
      </c>
      <c r="P17" s="39">
        <f t="shared" si="3"/>
        <v>24</v>
      </c>
      <c r="Q17" s="40">
        <f t="shared" si="4"/>
        <v>0</v>
      </c>
      <c r="R17" s="7"/>
      <c r="S17" s="6"/>
      <c r="T17" s="16"/>
      <c r="U17" s="16"/>
      <c r="V17" s="17"/>
      <c r="W17" s="5"/>
      <c r="X17" s="16"/>
      <c r="Y17" s="16"/>
      <c r="Z17" s="16"/>
      <c r="AA17" s="18"/>
      <c r="AB17" s="8">
        <f t="shared" si="5"/>
        <v>1</v>
      </c>
      <c r="AC17" s="9">
        <f t="shared" si="6"/>
        <v>1</v>
      </c>
      <c r="AD17" s="10">
        <f t="shared" si="7"/>
        <v>1</v>
      </c>
      <c r="AE17" s="36">
        <f t="shared" si="8"/>
        <v>0.53888888888888897</v>
      </c>
      <c r="AF17" s="87">
        <f t="shared" si="9"/>
        <v>11</v>
      </c>
    </row>
    <row r="18" spans="1:32" ht="27" customHeight="1">
      <c r="A18" s="102">
        <v>12</v>
      </c>
      <c r="B18" s="11" t="s">
        <v>57</v>
      </c>
      <c r="C18" s="34" t="s">
        <v>114</v>
      </c>
      <c r="D18" s="52" t="s">
        <v>652</v>
      </c>
      <c r="E18" s="53" t="s">
        <v>653</v>
      </c>
      <c r="F18" s="30" t="s">
        <v>654</v>
      </c>
      <c r="G18" s="33">
        <v>1</v>
      </c>
      <c r="H18" s="35">
        <v>24</v>
      </c>
      <c r="I18" s="7">
        <v>2500</v>
      </c>
      <c r="J18" s="5">
        <v>3450</v>
      </c>
      <c r="K18" s="15">
        <f>L18</f>
        <v>3450</v>
      </c>
      <c r="L18" s="15">
        <f>2002+1448</f>
        <v>3450</v>
      </c>
      <c r="M18" s="15">
        <f t="shared" si="1"/>
        <v>3450</v>
      </c>
      <c r="N18" s="15">
        <v>0</v>
      </c>
      <c r="O18" s="58">
        <f t="shared" si="2"/>
        <v>0</v>
      </c>
      <c r="P18" s="39">
        <f t="shared" si="3"/>
        <v>18</v>
      </c>
      <c r="Q18" s="40">
        <f t="shared" si="4"/>
        <v>6</v>
      </c>
      <c r="R18" s="7"/>
      <c r="S18" s="6">
        <v>6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0.75</v>
      </c>
      <c r="AD18" s="10">
        <f t="shared" si="7"/>
        <v>0.75</v>
      </c>
      <c r="AE18" s="36">
        <f t="shared" si="8"/>
        <v>0.53888888888888897</v>
      </c>
      <c r="AF18" s="87">
        <f t="shared" si="9"/>
        <v>12</v>
      </c>
    </row>
    <row r="19" spans="1:32" ht="27" customHeight="1">
      <c r="A19" s="103">
        <v>13</v>
      </c>
      <c r="B19" s="11" t="s">
        <v>57</v>
      </c>
      <c r="C19" s="11" t="s">
        <v>114</v>
      </c>
      <c r="D19" s="52" t="s">
        <v>122</v>
      </c>
      <c r="E19" s="53" t="s">
        <v>576</v>
      </c>
      <c r="F19" s="30" t="s">
        <v>123</v>
      </c>
      <c r="G19" s="33">
        <v>1</v>
      </c>
      <c r="H19" s="35">
        <v>24</v>
      </c>
      <c r="I19" s="7">
        <v>70000</v>
      </c>
      <c r="J19" s="14">
        <v>4362</v>
      </c>
      <c r="K19" s="15">
        <f>L19</f>
        <v>4362</v>
      </c>
      <c r="L19" s="15">
        <f>2784+1578</f>
        <v>4362</v>
      </c>
      <c r="M19" s="15">
        <f t="shared" si="1"/>
        <v>4362</v>
      </c>
      <c r="N19" s="15">
        <v>0</v>
      </c>
      <c r="O19" s="58">
        <f t="shared" si="2"/>
        <v>0</v>
      </c>
      <c r="P19" s="39">
        <f t="shared" si="3"/>
        <v>22</v>
      </c>
      <c r="Q19" s="40">
        <f t="shared" si="4"/>
        <v>2</v>
      </c>
      <c r="R19" s="7"/>
      <c r="S19" s="6">
        <v>2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0.91666666666666663</v>
      </c>
      <c r="AD19" s="10">
        <f t="shared" si="7"/>
        <v>0.91666666666666663</v>
      </c>
      <c r="AE19" s="36">
        <f t="shared" si="8"/>
        <v>0.53888888888888897</v>
      </c>
      <c r="AF19" s="87">
        <f t="shared" si="9"/>
        <v>13</v>
      </c>
    </row>
    <row r="20" spans="1:32" ht="27" customHeight="1">
      <c r="A20" s="103">
        <v>14</v>
      </c>
      <c r="B20" s="11" t="s">
        <v>57</v>
      </c>
      <c r="C20" s="11" t="s">
        <v>114</v>
      </c>
      <c r="D20" s="52" t="s">
        <v>117</v>
      </c>
      <c r="E20" s="53" t="s">
        <v>118</v>
      </c>
      <c r="F20" s="30" t="s">
        <v>121</v>
      </c>
      <c r="G20" s="33">
        <v>1</v>
      </c>
      <c r="H20" s="35">
        <v>24</v>
      </c>
      <c r="I20" s="7">
        <v>11000</v>
      </c>
      <c r="J20" s="14">
        <v>4694</v>
      </c>
      <c r="K20" s="15">
        <f>L20+4119</f>
        <v>8813</v>
      </c>
      <c r="L20" s="15">
        <f>2653+2041</f>
        <v>4694</v>
      </c>
      <c r="M20" s="15">
        <f t="shared" si="1"/>
        <v>4694</v>
      </c>
      <c r="N20" s="15">
        <v>0</v>
      </c>
      <c r="O20" s="58">
        <f t="shared" si="2"/>
        <v>0</v>
      </c>
      <c r="P20" s="39">
        <f t="shared" si="3"/>
        <v>24</v>
      </c>
      <c r="Q20" s="40">
        <f t="shared" si="4"/>
        <v>0</v>
      </c>
      <c r="R20" s="7"/>
      <c r="S20" s="6"/>
      <c r="T20" s="16"/>
      <c r="U20" s="16"/>
      <c r="V20" s="17"/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1</v>
      </c>
      <c r="AD20" s="10">
        <f t="shared" si="7"/>
        <v>1</v>
      </c>
      <c r="AE20" s="36">
        <f t="shared" si="8"/>
        <v>0.53888888888888897</v>
      </c>
      <c r="AF20" s="87">
        <f t="shared" si="9"/>
        <v>14</v>
      </c>
    </row>
    <row r="21" spans="1:32" ht="27" customHeight="1" thickBot="1">
      <c r="A21" s="103">
        <v>15</v>
      </c>
      <c r="B21" s="11" t="s">
        <v>57</v>
      </c>
      <c r="C21" s="11" t="s">
        <v>115</v>
      </c>
      <c r="D21" s="52"/>
      <c r="E21" s="53" t="s">
        <v>157</v>
      </c>
      <c r="F21" s="12" t="s">
        <v>116</v>
      </c>
      <c r="G21" s="12">
        <v>4</v>
      </c>
      <c r="H21" s="35">
        <v>20</v>
      </c>
      <c r="I21" s="7">
        <v>300000</v>
      </c>
      <c r="J21" s="14">
        <v>40480</v>
      </c>
      <c r="K21" s="15">
        <f>L21+40708</f>
        <v>81188</v>
      </c>
      <c r="L21" s="15">
        <f>10120*4</f>
        <v>40480</v>
      </c>
      <c r="M21" s="15">
        <f t="shared" si="1"/>
        <v>40480</v>
      </c>
      <c r="N21" s="15">
        <v>0</v>
      </c>
      <c r="O21" s="58">
        <f t="shared" si="2"/>
        <v>0</v>
      </c>
      <c r="P21" s="39">
        <f t="shared" si="3"/>
        <v>14</v>
      </c>
      <c r="Q21" s="40">
        <f t="shared" si="4"/>
        <v>10</v>
      </c>
      <c r="R21" s="7"/>
      <c r="S21" s="6"/>
      <c r="T21" s="16"/>
      <c r="U21" s="16"/>
      <c r="V21" s="17">
        <v>10</v>
      </c>
      <c r="W21" s="5"/>
      <c r="X21" s="16"/>
      <c r="Y21" s="16"/>
      <c r="Z21" s="16"/>
      <c r="AA21" s="18"/>
      <c r="AB21" s="8">
        <f t="shared" si="5"/>
        <v>1</v>
      </c>
      <c r="AC21" s="9">
        <f t="shared" si="6"/>
        <v>0.58333333333333337</v>
      </c>
      <c r="AD21" s="10">
        <f t="shared" si="7"/>
        <v>0.58333333333333337</v>
      </c>
      <c r="AE21" s="36">
        <f t="shared" si="8"/>
        <v>0.53888888888888897</v>
      </c>
      <c r="AF21" s="87">
        <f t="shared" si="9"/>
        <v>15</v>
      </c>
    </row>
    <row r="22" spans="1:32" ht="31.5" customHeight="1" thickBot="1">
      <c r="A22" s="504" t="s">
        <v>34</v>
      </c>
      <c r="B22" s="505"/>
      <c r="C22" s="505"/>
      <c r="D22" s="505"/>
      <c r="E22" s="505"/>
      <c r="F22" s="505"/>
      <c r="G22" s="505"/>
      <c r="H22" s="506"/>
      <c r="I22" s="22">
        <f t="shared" ref="I22:N22" si="19">SUM(I6:I21)</f>
        <v>690000</v>
      </c>
      <c r="J22" s="19">
        <f t="shared" si="19"/>
        <v>88966</v>
      </c>
      <c r="K22" s="20">
        <f t="shared" si="19"/>
        <v>199210</v>
      </c>
      <c r="L22" s="21">
        <f t="shared" si="19"/>
        <v>83052</v>
      </c>
      <c r="M22" s="20">
        <f t="shared" si="19"/>
        <v>83052</v>
      </c>
      <c r="N22" s="21">
        <f t="shared" si="19"/>
        <v>0</v>
      </c>
      <c r="O22" s="41">
        <f t="shared" si="2"/>
        <v>0</v>
      </c>
      <c r="P22" s="42">
        <f t="shared" ref="P22:AA22" si="20">SUM(P6:P21)</f>
        <v>194</v>
      </c>
      <c r="Q22" s="43">
        <f t="shared" si="20"/>
        <v>190</v>
      </c>
      <c r="R22" s="23">
        <f t="shared" si="20"/>
        <v>24</v>
      </c>
      <c r="S22" s="24">
        <f t="shared" si="20"/>
        <v>82</v>
      </c>
      <c r="T22" s="24">
        <f t="shared" si="20"/>
        <v>0</v>
      </c>
      <c r="U22" s="24">
        <f t="shared" si="20"/>
        <v>0</v>
      </c>
      <c r="V22" s="25">
        <f t="shared" si="20"/>
        <v>34</v>
      </c>
      <c r="W22" s="26">
        <f t="shared" si="20"/>
        <v>50</v>
      </c>
      <c r="X22" s="27">
        <f t="shared" si="20"/>
        <v>0</v>
      </c>
      <c r="Y22" s="27">
        <f t="shared" si="20"/>
        <v>0</v>
      </c>
      <c r="Z22" s="27">
        <f t="shared" si="20"/>
        <v>0</v>
      </c>
      <c r="AA22" s="27">
        <f t="shared" si="20"/>
        <v>0</v>
      </c>
      <c r="AB22" s="28">
        <f>SUM(AB6:AB21)/15</f>
        <v>0.8</v>
      </c>
      <c r="AC22" s="4">
        <f>SUM(AC6:AC21)/15</f>
        <v>0.53888888888888897</v>
      </c>
      <c r="AD22" s="4">
        <f>SUM(AD6:AD21)/15</f>
        <v>0.53888888888888897</v>
      </c>
      <c r="AE22" s="29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1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</row>
    <row r="33" spans="1:32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88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F38" s="50"/>
    </row>
    <row r="39" spans="1:32" ht="27">
      <c r="A39" s="59"/>
      <c r="B39" s="59"/>
      <c r="C39" s="59"/>
      <c r="D39" s="59"/>
      <c r="E39" s="59"/>
      <c r="F39" s="37"/>
      <c r="G39" s="37"/>
      <c r="H39" s="38"/>
      <c r="I39" s="38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F39" s="50"/>
    </row>
    <row r="40" spans="1:32" ht="29.25" customHeight="1">
      <c r="A40" s="60"/>
      <c r="B40" s="60"/>
      <c r="C40" s="61"/>
      <c r="D40" s="61"/>
      <c r="E40" s="61"/>
      <c r="F40" s="60"/>
      <c r="G40" s="60"/>
      <c r="H40" s="60"/>
      <c r="I40" s="60"/>
      <c r="J40" s="60"/>
      <c r="K40" s="60"/>
      <c r="L40" s="60"/>
      <c r="M40" s="61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29.25" customHeight="1">
      <c r="A47" s="60"/>
      <c r="B47" s="60"/>
      <c r="C47" s="62"/>
      <c r="D47" s="61"/>
      <c r="E47" s="61"/>
      <c r="F47" s="60"/>
      <c r="G47" s="60"/>
      <c r="H47" s="60"/>
      <c r="I47" s="60"/>
      <c r="J47" s="60"/>
      <c r="K47" s="60"/>
      <c r="L47" s="60"/>
      <c r="M47" s="62"/>
      <c r="N47" s="60"/>
      <c r="O47" s="60"/>
      <c r="P47" s="63"/>
      <c r="Q47" s="63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0"/>
      <c r="AC47" s="60"/>
      <c r="AD47" s="60"/>
      <c r="AF47" s="50"/>
    </row>
    <row r="48" spans="1:32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36" thickBot="1">
      <c r="A49" s="507" t="s">
        <v>45</v>
      </c>
      <c r="B49" s="507"/>
      <c r="C49" s="507"/>
      <c r="D49" s="507"/>
      <c r="E49" s="507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F49" s="50"/>
    </row>
    <row r="50" spans="1:32" ht="26.25" thickBot="1">
      <c r="A50" s="508" t="s">
        <v>655</v>
      </c>
      <c r="B50" s="509"/>
      <c r="C50" s="509"/>
      <c r="D50" s="509"/>
      <c r="E50" s="509"/>
      <c r="F50" s="509"/>
      <c r="G50" s="509"/>
      <c r="H50" s="509"/>
      <c r="I50" s="509"/>
      <c r="J50" s="509"/>
      <c r="K50" s="509"/>
      <c r="L50" s="509"/>
      <c r="M50" s="510"/>
      <c r="N50" s="511" t="s">
        <v>667</v>
      </c>
      <c r="O50" s="512"/>
      <c r="P50" s="512"/>
      <c r="Q50" s="512"/>
      <c r="R50" s="512"/>
      <c r="S50" s="512"/>
      <c r="T50" s="512"/>
      <c r="U50" s="512"/>
      <c r="V50" s="512"/>
      <c r="W50" s="512"/>
      <c r="X50" s="512"/>
      <c r="Y50" s="512"/>
      <c r="Z50" s="512"/>
      <c r="AA50" s="512"/>
      <c r="AB50" s="512"/>
      <c r="AC50" s="512"/>
      <c r="AD50" s="513"/>
    </row>
    <row r="51" spans="1:32" ht="27" customHeight="1">
      <c r="A51" s="514" t="s">
        <v>2</v>
      </c>
      <c r="B51" s="515"/>
      <c r="C51" s="401" t="s">
        <v>46</v>
      </c>
      <c r="D51" s="401" t="s">
        <v>47</v>
      </c>
      <c r="E51" s="401" t="s">
        <v>108</v>
      </c>
      <c r="F51" s="515" t="s">
        <v>107</v>
      </c>
      <c r="G51" s="515"/>
      <c r="H51" s="515"/>
      <c r="I51" s="515"/>
      <c r="J51" s="515"/>
      <c r="K51" s="515"/>
      <c r="L51" s="515"/>
      <c r="M51" s="516"/>
      <c r="N51" s="67" t="s">
        <v>112</v>
      </c>
      <c r="O51" s="401" t="s">
        <v>46</v>
      </c>
      <c r="P51" s="517" t="s">
        <v>47</v>
      </c>
      <c r="Q51" s="518"/>
      <c r="R51" s="517" t="s">
        <v>38</v>
      </c>
      <c r="S51" s="519"/>
      <c r="T51" s="519"/>
      <c r="U51" s="518"/>
      <c r="V51" s="517" t="s">
        <v>48</v>
      </c>
      <c r="W51" s="519"/>
      <c r="X51" s="519"/>
      <c r="Y51" s="519"/>
      <c r="Z51" s="519"/>
      <c r="AA51" s="519"/>
      <c r="AB51" s="519"/>
      <c r="AC51" s="519"/>
      <c r="AD51" s="520"/>
    </row>
    <row r="52" spans="1:32" ht="27" customHeight="1">
      <c r="A52" s="485" t="s">
        <v>124</v>
      </c>
      <c r="B52" s="486"/>
      <c r="C52" s="403" t="s">
        <v>262</v>
      </c>
      <c r="D52" s="403" t="s">
        <v>656</v>
      </c>
      <c r="E52" s="403" t="s">
        <v>647</v>
      </c>
      <c r="F52" s="487" t="s">
        <v>120</v>
      </c>
      <c r="G52" s="488"/>
      <c r="H52" s="488"/>
      <c r="I52" s="488"/>
      <c r="J52" s="488"/>
      <c r="K52" s="488"/>
      <c r="L52" s="488"/>
      <c r="M52" s="489"/>
      <c r="N52" s="402" t="s">
        <v>114</v>
      </c>
      <c r="O52" s="407" t="s">
        <v>144</v>
      </c>
      <c r="P52" s="499" t="s">
        <v>401</v>
      </c>
      <c r="Q52" s="500"/>
      <c r="R52" s="499" t="s">
        <v>421</v>
      </c>
      <c r="S52" s="501"/>
      <c r="T52" s="501"/>
      <c r="U52" s="500"/>
      <c r="V52" s="487" t="s">
        <v>668</v>
      </c>
      <c r="W52" s="488"/>
      <c r="X52" s="488"/>
      <c r="Y52" s="488"/>
      <c r="Z52" s="488"/>
      <c r="AA52" s="488"/>
      <c r="AB52" s="488"/>
      <c r="AC52" s="488"/>
      <c r="AD52" s="489"/>
    </row>
    <row r="53" spans="1:32" ht="27" customHeight="1">
      <c r="A53" s="485" t="s">
        <v>114</v>
      </c>
      <c r="B53" s="486"/>
      <c r="C53" s="403" t="s">
        <v>144</v>
      </c>
      <c r="D53" s="403" t="s">
        <v>401</v>
      </c>
      <c r="E53" s="403" t="s">
        <v>421</v>
      </c>
      <c r="F53" s="487" t="s">
        <v>657</v>
      </c>
      <c r="G53" s="488"/>
      <c r="H53" s="488"/>
      <c r="I53" s="488"/>
      <c r="J53" s="488"/>
      <c r="K53" s="488"/>
      <c r="L53" s="488"/>
      <c r="M53" s="489"/>
      <c r="N53" s="402" t="s">
        <v>672</v>
      </c>
      <c r="O53" s="407" t="s">
        <v>673</v>
      </c>
      <c r="P53" s="499" t="s">
        <v>671</v>
      </c>
      <c r="Q53" s="500"/>
      <c r="R53" s="486" t="s">
        <v>669</v>
      </c>
      <c r="S53" s="486"/>
      <c r="T53" s="486"/>
      <c r="U53" s="486"/>
      <c r="V53" s="476" t="s">
        <v>670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403" t="s">
        <v>178</v>
      </c>
      <c r="D54" s="403" t="s">
        <v>125</v>
      </c>
      <c r="E54" s="403" t="s">
        <v>256</v>
      </c>
      <c r="F54" s="487" t="s">
        <v>658</v>
      </c>
      <c r="G54" s="488"/>
      <c r="H54" s="488"/>
      <c r="I54" s="488"/>
      <c r="J54" s="488"/>
      <c r="K54" s="488"/>
      <c r="L54" s="488"/>
      <c r="M54" s="489"/>
      <c r="N54" s="402"/>
      <c r="O54" s="407"/>
      <c r="P54" s="499"/>
      <c r="Q54" s="500"/>
      <c r="R54" s="499"/>
      <c r="S54" s="501"/>
      <c r="T54" s="501"/>
      <c r="U54" s="500"/>
      <c r="V54" s="476"/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124</v>
      </c>
      <c r="B55" s="486"/>
      <c r="C55" s="403" t="s">
        <v>202</v>
      </c>
      <c r="D55" s="403" t="s">
        <v>183</v>
      </c>
      <c r="E55" s="403" t="s">
        <v>408</v>
      </c>
      <c r="F55" s="487" t="s">
        <v>659</v>
      </c>
      <c r="G55" s="488"/>
      <c r="H55" s="488"/>
      <c r="I55" s="488"/>
      <c r="J55" s="488"/>
      <c r="K55" s="488"/>
      <c r="L55" s="488"/>
      <c r="M55" s="489"/>
      <c r="N55" s="402"/>
      <c r="O55" s="407"/>
      <c r="P55" s="499"/>
      <c r="Q55" s="500"/>
      <c r="R55" s="486"/>
      <c r="S55" s="486"/>
      <c r="T55" s="486"/>
      <c r="U55" s="486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403" t="s">
        <v>143</v>
      </c>
      <c r="D56" s="403" t="s">
        <v>122</v>
      </c>
      <c r="E56" s="403" t="s">
        <v>576</v>
      </c>
      <c r="F56" s="487" t="s">
        <v>204</v>
      </c>
      <c r="G56" s="488"/>
      <c r="H56" s="488"/>
      <c r="I56" s="488"/>
      <c r="J56" s="488"/>
      <c r="K56" s="488"/>
      <c r="L56" s="488"/>
      <c r="M56" s="489"/>
      <c r="N56" s="402"/>
      <c r="O56" s="407"/>
      <c r="P56" s="499"/>
      <c r="Q56" s="500"/>
      <c r="R56" s="499"/>
      <c r="S56" s="501"/>
      <c r="T56" s="501"/>
      <c r="U56" s="500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114</v>
      </c>
      <c r="B57" s="486"/>
      <c r="C57" s="403" t="s">
        <v>660</v>
      </c>
      <c r="D57" s="403" t="s">
        <v>661</v>
      </c>
      <c r="E57" s="403" t="s">
        <v>662</v>
      </c>
      <c r="F57" s="487" t="s">
        <v>663</v>
      </c>
      <c r="G57" s="488"/>
      <c r="H57" s="488"/>
      <c r="I57" s="488"/>
      <c r="J57" s="488"/>
      <c r="K57" s="488"/>
      <c r="L57" s="488"/>
      <c r="M57" s="489"/>
      <c r="N57" s="402"/>
      <c r="O57" s="407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 t="s">
        <v>114</v>
      </c>
      <c r="B58" s="486"/>
      <c r="C58" s="403" t="s">
        <v>664</v>
      </c>
      <c r="D58" s="403" t="s">
        <v>665</v>
      </c>
      <c r="E58" s="403" t="s">
        <v>666</v>
      </c>
      <c r="F58" s="487" t="s">
        <v>120</v>
      </c>
      <c r="G58" s="488"/>
      <c r="H58" s="488"/>
      <c r="I58" s="488"/>
      <c r="J58" s="488"/>
      <c r="K58" s="488"/>
      <c r="L58" s="488"/>
      <c r="M58" s="489"/>
      <c r="N58" s="402"/>
      <c r="O58" s="407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403"/>
      <c r="D59" s="403"/>
      <c r="E59" s="403"/>
      <c r="F59" s="487"/>
      <c r="G59" s="488"/>
      <c r="H59" s="488"/>
      <c r="I59" s="488"/>
      <c r="J59" s="488"/>
      <c r="K59" s="488"/>
      <c r="L59" s="488"/>
      <c r="M59" s="489"/>
      <c r="N59" s="402"/>
      <c r="O59" s="407"/>
      <c r="P59" s="499"/>
      <c r="Q59" s="500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</row>
    <row r="60" spans="1:32" ht="27" customHeight="1">
      <c r="A60" s="485"/>
      <c r="B60" s="486"/>
      <c r="C60" s="403"/>
      <c r="D60" s="403"/>
      <c r="E60" s="403"/>
      <c r="F60" s="487"/>
      <c r="G60" s="488"/>
      <c r="H60" s="488"/>
      <c r="I60" s="488"/>
      <c r="J60" s="488"/>
      <c r="K60" s="488"/>
      <c r="L60" s="488"/>
      <c r="M60" s="489"/>
      <c r="N60" s="402"/>
      <c r="O60" s="407"/>
      <c r="P60" s="486"/>
      <c r="Q60" s="486"/>
      <c r="R60" s="486"/>
      <c r="S60" s="486"/>
      <c r="T60" s="486"/>
      <c r="U60" s="486"/>
      <c r="V60" s="476"/>
      <c r="W60" s="476"/>
      <c r="X60" s="476"/>
      <c r="Y60" s="476"/>
      <c r="Z60" s="476"/>
      <c r="AA60" s="476"/>
      <c r="AB60" s="476"/>
      <c r="AC60" s="476"/>
      <c r="AD60" s="490"/>
      <c r="AF60" s="87">
        <f>8*3000</f>
        <v>24000</v>
      </c>
    </row>
    <row r="61" spans="1:32" ht="27" customHeight="1" thickBot="1">
      <c r="A61" s="491"/>
      <c r="B61" s="492"/>
      <c r="C61" s="404"/>
      <c r="D61" s="404"/>
      <c r="E61" s="404"/>
      <c r="F61" s="493"/>
      <c r="G61" s="494"/>
      <c r="H61" s="494"/>
      <c r="I61" s="494"/>
      <c r="J61" s="494"/>
      <c r="K61" s="494"/>
      <c r="L61" s="494"/>
      <c r="M61" s="495"/>
      <c r="N61" s="124"/>
      <c r="O61" s="114"/>
      <c r="P61" s="496"/>
      <c r="Q61" s="496"/>
      <c r="R61" s="496"/>
      <c r="S61" s="496"/>
      <c r="T61" s="496"/>
      <c r="U61" s="496"/>
      <c r="V61" s="497"/>
      <c r="W61" s="497"/>
      <c r="X61" s="497"/>
      <c r="Y61" s="497"/>
      <c r="Z61" s="497"/>
      <c r="AA61" s="497"/>
      <c r="AB61" s="497"/>
      <c r="AC61" s="497"/>
      <c r="AD61" s="498"/>
      <c r="AF61" s="87">
        <f>16*3000</f>
        <v>48000</v>
      </c>
    </row>
    <row r="62" spans="1:32" ht="27.75" thickBot="1">
      <c r="A62" s="483" t="s">
        <v>674</v>
      </c>
      <c r="B62" s="483"/>
      <c r="C62" s="483"/>
      <c r="D62" s="483"/>
      <c r="E62" s="483"/>
      <c r="F62" s="37"/>
      <c r="G62" s="37"/>
      <c r="H62" s="38"/>
      <c r="I62" s="38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F62" s="87">
        <v>24000</v>
      </c>
    </row>
    <row r="63" spans="1:32" ht="29.25" customHeight="1" thickBot="1">
      <c r="A63" s="484" t="s">
        <v>113</v>
      </c>
      <c r="B63" s="481"/>
      <c r="C63" s="405" t="s">
        <v>2</v>
      </c>
      <c r="D63" s="405" t="s">
        <v>37</v>
      </c>
      <c r="E63" s="405" t="s">
        <v>3</v>
      </c>
      <c r="F63" s="481" t="s">
        <v>110</v>
      </c>
      <c r="G63" s="481"/>
      <c r="H63" s="481"/>
      <c r="I63" s="481"/>
      <c r="J63" s="481"/>
      <c r="K63" s="481" t="s">
        <v>39</v>
      </c>
      <c r="L63" s="481"/>
      <c r="M63" s="405" t="s">
        <v>40</v>
      </c>
      <c r="N63" s="481" t="s">
        <v>41</v>
      </c>
      <c r="O63" s="481"/>
      <c r="P63" s="478" t="s">
        <v>42</v>
      </c>
      <c r="Q63" s="480"/>
      <c r="R63" s="478" t="s">
        <v>43</v>
      </c>
      <c r="S63" s="479"/>
      <c r="T63" s="479"/>
      <c r="U63" s="479"/>
      <c r="V63" s="479"/>
      <c r="W63" s="479"/>
      <c r="X63" s="479"/>
      <c r="Y63" s="479"/>
      <c r="Z63" s="479"/>
      <c r="AA63" s="480"/>
      <c r="AB63" s="481" t="s">
        <v>44</v>
      </c>
      <c r="AC63" s="481"/>
      <c r="AD63" s="482"/>
      <c r="AF63" s="87">
        <f>SUM(AF60:AF62)</f>
        <v>96000</v>
      </c>
    </row>
    <row r="64" spans="1:32" ht="25.5" customHeight="1">
      <c r="A64" s="472">
        <v>1</v>
      </c>
      <c r="B64" s="473"/>
      <c r="C64" s="117"/>
      <c r="D64" s="409"/>
      <c r="E64" s="406"/>
      <c r="F64" s="543"/>
      <c r="G64" s="544"/>
      <c r="H64" s="544"/>
      <c r="I64" s="544"/>
      <c r="J64" s="545"/>
      <c r="K64" s="546"/>
      <c r="L64" s="473"/>
      <c r="M64" s="51"/>
      <c r="N64" s="547"/>
      <c r="O64" s="548"/>
      <c r="P64" s="549"/>
      <c r="Q64" s="550"/>
      <c r="R64" s="487"/>
      <c r="S64" s="488"/>
      <c r="T64" s="488"/>
      <c r="U64" s="488"/>
      <c r="V64" s="488"/>
      <c r="W64" s="488"/>
      <c r="X64" s="488"/>
      <c r="Y64" s="488"/>
      <c r="Z64" s="488"/>
      <c r="AA64" s="551"/>
      <c r="AB64" s="546"/>
      <c r="AC64" s="552"/>
      <c r="AD64" s="553"/>
      <c r="AF64" s="50"/>
    </row>
    <row r="65" spans="1:32" ht="25.5" customHeight="1">
      <c r="A65" s="472">
        <v>2</v>
      </c>
      <c r="B65" s="473"/>
      <c r="C65" s="117"/>
      <c r="D65" s="409"/>
      <c r="E65" s="406"/>
      <c r="F65" s="474"/>
      <c r="G65" s="466"/>
      <c r="H65" s="466"/>
      <c r="I65" s="466"/>
      <c r="J65" s="466"/>
      <c r="K65" s="466"/>
      <c r="L65" s="466"/>
      <c r="M65" s="51"/>
      <c r="N65" s="477"/>
      <c r="O65" s="477"/>
      <c r="P65" s="475"/>
      <c r="Q65" s="475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3</v>
      </c>
      <c r="B66" s="473"/>
      <c r="C66" s="117"/>
      <c r="D66" s="409"/>
      <c r="E66" s="406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4</v>
      </c>
      <c r="B67" s="473"/>
      <c r="C67" s="117"/>
      <c r="D67" s="409"/>
      <c r="E67" s="406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5</v>
      </c>
      <c r="B68" s="473"/>
      <c r="C68" s="117"/>
      <c r="D68" s="409"/>
      <c r="E68" s="406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6</v>
      </c>
      <c r="B69" s="473"/>
      <c r="C69" s="117"/>
      <c r="D69" s="409"/>
      <c r="E69" s="406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7</v>
      </c>
      <c r="B70" s="473"/>
      <c r="C70" s="117"/>
      <c r="D70" s="409"/>
      <c r="E70" s="406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5.5" customHeight="1">
      <c r="A71" s="472">
        <v>8</v>
      </c>
      <c r="B71" s="473"/>
      <c r="C71" s="117"/>
      <c r="D71" s="409"/>
      <c r="E71" s="406"/>
      <c r="F71" s="474"/>
      <c r="G71" s="466"/>
      <c r="H71" s="466"/>
      <c r="I71" s="466"/>
      <c r="J71" s="466"/>
      <c r="K71" s="466"/>
      <c r="L71" s="466"/>
      <c r="M71" s="51"/>
      <c r="N71" s="477"/>
      <c r="O71" s="477"/>
      <c r="P71" s="475"/>
      <c r="Q71" s="475"/>
      <c r="R71" s="476"/>
      <c r="S71" s="476"/>
      <c r="T71" s="476"/>
      <c r="U71" s="476"/>
      <c r="V71" s="476"/>
      <c r="W71" s="476"/>
      <c r="X71" s="476"/>
      <c r="Y71" s="476"/>
      <c r="Z71" s="476"/>
      <c r="AA71" s="476"/>
      <c r="AB71" s="466"/>
      <c r="AC71" s="466"/>
      <c r="AD71" s="467"/>
      <c r="AF71" s="50"/>
    </row>
    <row r="72" spans="1:32" ht="26.25" customHeight="1" thickBot="1">
      <c r="A72" s="446" t="s">
        <v>675</v>
      </c>
      <c r="B72" s="446"/>
      <c r="C72" s="446"/>
      <c r="D72" s="446"/>
      <c r="E72" s="446"/>
      <c r="F72" s="37"/>
      <c r="G72" s="37"/>
      <c r="H72" s="38"/>
      <c r="I72" s="38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F72" s="50"/>
    </row>
    <row r="73" spans="1:32" ht="23.25" thickBot="1">
      <c r="A73" s="447" t="s">
        <v>113</v>
      </c>
      <c r="B73" s="448"/>
      <c r="C73" s="408" t="s">
        <v>2</v>
      </c>
      <c r="D73" s="408" t="s">
        <v>37</v>
      </c>
      <c r="E73" s="408" t="s">
        <v>3</v>
      </c>
      <c r="F73" s="448" t="s">
        <v>38</v>
      </c>
      <c r="G73" s="448"/>
      <c r="H73" s="448"/>
      <c r="I73" s="448"/>
      <c r="J73" s="448"/>
      <c r="K73" s="468" t="s">
        <v>58</v>
      </c>
      <c r="L73" s="469"/>
      <c r="M73" s="469"/>
      <c r="N73" s="469"/>
      <c r="O73" s="469"/>
      <c r="P73" s="469"/>
      <c r="Q73" s="469"/>
      <c r="R73" s="469"/>
      <c r="S73" s="470"/>
      <c r="T73" s="448" t="s">
        <v>49</v>
      </c>
      <c r="U73" s="448"/>
      <c r="V73" s="468" t="s">
        <v>50</v>
      </c>
      <c r="W73" s="470"/>
      <c r="X73" s="469" t="s">
        <v>51</v>
      </c>
      <c r="Y73" s="469"/>
      <c r="Z73" s="469"/>
      <c r="AA73" s="469"/>
      <c r="AB73" s="469"/>
      <c r="AC73" s="469"/>
      <c r="AD73" s="471"/>
      <c r="AF73" s="50"/>
    </row>
    <row r="74" spans="1:32" ht="33.75" customHeight="1">
      <c r="A74" s="440">
        <v>1</v>
      </c>
      <c r="B74" s="441"/>
      <c r="C74" s="410" t="s">
        <v>114</v>
      </c>
      <c r="D74" s="410"/>
      <c r="E74" s="65" t="s">
        <v>119</v>
      </c>
      <c r="F74" s="455" t="s">
        <v>118</v>
      </c>
      <c r="G74" s="456"/>
      <c r="H74" s="456"/>
      <c r="I74" s="456"/>
      <c r="J74" s="457"/>
      <c r="K74" s="458" t="s">
        <v>133</v>
      </c>
      <c r="L74" s="459"/>
      <c r="M74" s="459"/>
      <c r="N74" s="459"/>
      <c r="O74" s="459"/>
      <c r="P74" s="459"/>
      <c r="Q74" s="459"/>
      <c r="R74" s="459"/>
      <c r="S74" s="460"/>
      <c r="T74" s="461">
        <v>43675</v>
      </c>
      <c r="U74" s="462"/>
      <c r="V74" s="463"/>
      <c r="W74" s="463"/>
      <c r="X74" s="464"/>
      <c r="Y74" s="464"/>
      <c r="Z74" s="464"/>
      <c r="AA74" s="464"/>
      <c r="AB74" s="464"/>
      <c r="AC74" s="464"/>
      <c r="AD74" s="465"/>
      <c r="AF74" s="50"/>
    </row>
    <row r="75" spans="1:32" ht="30" customHeight="1">
      <c r="A75" s="433">
        <f>A74+1</f>
        <v>2</v>
      </c>
      <c r="B75" s="434"/>
      <c r="C75" s="409"/>
      <c r="D75" s="409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ref="A76:A82" si="21">A75+1</f>
        <v>3</v>
      </c>
      <c r="B76" s="434"/>
      <c r="C76" s="409"/>
      <c r="D76" s="409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21"/>
        <v>4</v>
      </c>
      <c r="B77" s="434"/>
      <c r="C77" s="409"/>
      <c r="D77" s="409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21"/>
        <v>5</v>
      </c>
      <c r="B78" s="434"/>
      <c r="C78" s="409"/>
      <c r="D78" s="409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21"/>
        <v>6</v>
      </c>
      <c r="B79" s="434"/>
      <c r="C79" s="409"/>
      <c r="D79" s="409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21"/>
        <v>7</v>
      </c>
      <c r="B80" s="434"/>
      <c r="C80" s="409"/>
      <c r="D80" s="409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21"/>
        <v>8</v>
      </c>
      <c r="B81" s="434"/>
      <c r="C81" s="409"/>
      <c r="D81" s="409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0" customHeight="1">
      <c r="A82" s="433">
        <f t="shared" si="21"/>
        <v>9</v>
      </c>
      <c r="B82" s="434"/>
      <c r="C82" s="409"/>
      <c r="D82" s="409"/>
      <c r="E82" s="32"/>
      <c r="F82" s="434"/>
      <c r="G82" s="434"/>
      <c r="H82" s="434"/>
      <c r="I82" s="434"/>
      <c r="J82" s="434"/>
      <c r="K82" s="449"/>
      <c r="L82" s="450"/>
      <c r="M82" s="450"/>
      <c r="N82" s="450"/>
      <c r="O82" s="450"/>
      <c r="P82" s="450"/>
      <c r="Q82" s="450"/>
      <c r="R82" s="450"/>
      <c r="S82" s="451"/>
      <c r="T82" s="452"/>
      <c r="U82" s="452"/>
      <c r="V82" s="452"/>
      <c r="W82" s="452"/>
      <c r="X82" s="453"/>
      <c r="Y82" s="453"/>
      <c r="Z82" s="453"/>
      <c r="AA82" s="453"/>
      <c r="AB82" s="453"/>
      <c r="AC82" s="453"/>
      <c r="AD82" s="454"/>
      <c r="AF82" s="50"/>
    </row>
    <row r="83" spans="1:32" ht="36" thickBot="1">
      <c r="A83" s="446" t="s">
        <v>676</v>
      </c>
      <c r="B83" s="446"/>
      <c r="C83" s="446"/>
      <c r="D83" s="446"/>
      <c r="E83" s="446"/>
      <c r="F83" s="37"/>
      <c r="G83" s="37"/>
      <c r="H83" s="38"/>
      <c r="I83" s="38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F83" s="50"/>
    </row>
    <row r="84" spans="1:32" ht="30.75" customHeight="1" thickBot="1">
      <c r="A84" s="447" t="s">
        <v>113</v>
      </c>
      <c r="B84" s="448"/>
      <c r="C84" s="438" t="s">
        <v>52</v>
      </c>
      <c r="D84" s="438"/>
      <c r="E84" s="438" t="s">
        <v>53</v>
      </c>
      <c r="F84" s="438"/>
      <c r="G84" s="438"/>
      <c r="H84" s="438"/>
      <c r="I84" s="438"/>
      <c r="J84" s="438"/>
      <c r="K84" s="438" t="s">
        <v>54</v>
      </c>
      <c r="L84" s="438"/>
      <c r="M84" s="438"/>
      <c r="N84" s="438"/>
      <c r="O84" s="438"/>
      <c r="P84" s="438"/>
      <c r="Q84" s="438"/>
      <c r="R84" s="438"/>
      <c r="S84" s="438"/>
      <c r="T84" s="438" t="s">
        <v>55</v>
      </c>
      <c r="U84" s="438"/>
      <c r="V84" s="438" t="s">
        <v>56</v>
      </c>
      <c r="W84" s="438"/>
      <c r="X84" s="438"/>
      <c r="Y84" s="438" t="s">
        <v>51</v>
      </c>
      <c r="Z84" s="438"/>
      <c r="AA84" s="438"/>
      <c r="AB84" s="438"/>
      <c r="AC84" s="438"/>
      <c r="AD84" s="439"/>
      <c r="AF84" s="50"/>
    </row>
    <row r="85" spans="1:32" ht="30.75" customHeight="1">
      <c r="A85" s="440">
        <v>1</v>
      </c>
      <c r="B85" s="441"/>
      <c r="C85" s="442"/>
      <c r="D85" s="442"/>
      <c r="E85" s="442"/>
      <c r="F85" s="442"/>
      <c r="G85" s="442"/>
      <c r="H85" s="442"/>
      <c r="I85" s="442"/>
      <c r="J85" s="442"/>
      <c r="K85" s="442"/>
      <c r="L85" s="442"/>
      <c r="M85" s="442"/>
      <c r="N85" s="442"/>
      <c r="O85" s="442"/>
      <c r="P85" s="442"/>
      <c r="Q85" s="442"/>
      <c r="R85" s="442"/>
      <c r="S85" s="442"/>
      <c r="T85" s="442"/>
      <c r="U85" s="442"/>
      <c r="V85" s="443"/>
      <c r="W85" s="443"/>
      <c r="X85" s="443"/>
      <c r="Y85" s="444"/>
      <c r="Z85" s="444"/>
      <c r="AA85" s="444"/>
      <c r="AB85" s="444"/>
      <c r="AC85" s="444"/>
      <c r="AD85" s="445"/>
      <c r="AF85" s="50"/>
    </row>
    <row r="86" spans="1:32" ht="30.75" customHeight="1">
      <c r="A86" s="433">
        <v>2</v>
      </c>
      <c r="B86" s="434"/>
      <c r="C86" s="435"/>
      <c r="D86" s="435"/>
      <c r="E86" s="435"/>
      <c r="F86" s="435"/>
      <c r="G86" s="435"/>
      <c r="H86" s="435"/>
      <c r="I86" s="435"/>
      <c r="J86" s="435"/>
      <c r="K86" s="435"/>
      <c r="L86" s="435"/>
      <c r="M86" s="435"/>
      <c r="N86" s="435"/>
      <c r="O86" s="435"/>
      <c r="P86" s="435"/>
      <c r="Q86" s="435"/>
      <c r="R86" s="435"/>
      <c r="S86" s="435"/>
      <c r="T86" s="436"/>
      <c r="U86" s="436"/>
      <c r="V86" s="437"/>
      <c r="W86" s="437"/>
      <c r="X86" s="437"/>
      <c r="Y86" s="426"/>
      <c r="Z86" s="426"/>
      <c r="AA86" s="426"/>
      <c r="AB86" s="426"/>
      <c r="AC86" s="426"/>
      <c r="AD86" s="427"/>
      <c r="AF86" s="50"/>
    </row>
    <row r="87" spans="1:32" ht="30.75" customHeight="1" thickBot="1">
      <c r="A87" s="428">
        <v>3</v>
      </c>
      <c r="B87" s="429"/>
      <c r="C87" s="430"/>
      <c r="D87" s="430"/>
      <c r="E87" s="430"/>
      <c r="F87" s="430"/>
      <c r="G87" s="430"/>
      <c r="H87" s="430"/>
      <c r="I87" s="430"/>
      <c r="J87" s="430"/>
      <c r="K87" s="430"/>
      <c r="L87" s="430"/>
      <c r="M87" s="430"/>
      <c r="N87" s="430"/>
      <c r="O87" s="430"/>
      <c r="P87" s="430"/>
      <c r="Q87" s="430"/>
      <c r="R87" s="430"/>
      <c r="S87" s="430"/>
      <c r="T87" s="430"/>
      <c r="U87" s="430"/>
      <c r="V87" s="430"/>
      <c r="W87" s="430"/>
      <c r="X87" s="430"/>
      <c r="Y87" s="431"/>
      <c r="Z87" s="431"/>
      <c r="AA87" s="431"/>
      <c r="AB87" s="431"/>
      <c r="AC87" s="431"/>
      <c r="AD87" s="432"/>
      <c r="AF87" s="50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7" max="29" man="1"/>
  </rowBrea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4843-24A4-4BD6-B567-418E61AA04CA}">
  <dimension ref="A1:AF86"/>
  <sheetViews>
    <sheetView tabSelected="1" zoomScale="72" zoomScaleNormal="72" zoomScaleSheetLayoutView="70" workbookViewId="0">
      <selection activeCell="F76" sqref="F76:J76"/>
    </sheetView>
  </sheetViews>
  <sheetFormatPr defaultRowHeight="14.25"/>
  <cols>
    <col min="1" max="1" width="4.5" style="50" bestFit="1" customWidth="1"/>
    <col min="2" max="2" width="6" style="50" customWidth="1"/>
    <col min="3" max="3" width="9.125" style="50" customWidth="1"/>
    <col min="4" max="4" width="13.625" style="50" bestFit="1" customWidth="1"/>
    <col min="5" max="5" width="22.5" style="50" customWidth="1"/>
    <col min="6" max="6" width="9.75" style="50" bestFit="1" customWidth="1"/>
    <col min="7" max="7" width="8.25" style="50" bestFit="1" customWidth="1"/>
    <col min="8" max="8" width="10.875" style="50" bestFit="1" customWidth="1"/>
    <col min="9" max="9" width="16.875" style="50" customWidth="1"/>
    <col min="10" max="10" width="15.625" style="50" bestFit="1" customWidth="1"/>
    <col min="11" max="11" width="21.625" style="50" bestFit="1" customWidth="1"/>
    <col min="12" max="12" width="15.625" style="50" bestFit="1" customWidth="1"/>
    <col min="13" max="13" width="16.5" style="50" bestFit="1" customWidth="1"/>
    <col min="14" max="14" width="8.375" style="50" customWidth="1"/>
    <col min="15" max="15" width="8.75" style="50" customWidth="1"/>
    <col min="16" max="17" width="8.875" style="50" customWidth="1"/>
    <col min="18" max="18" width="7.625" style="50" bestFit="1" customWidth="1"/>
    <col min="19" max="19" width="9.125" style="50" customWidth="1"/>
    <col min="20" max="20" width="6.625" style="50" bestFit="1" customWidth="1"/>
    <col min="21" max="21" width="6.875" style="50" bestFit="1" customWidth="1"/>
    <col min="22" max="23" width="9.125" style="50" bestFit="1" customWidth="1"/>
    <col min="24" max="24" width="7.25" style="50" bestFit="1" customWidth="1"/>
    <col min="25" max="26" width="6.25" style="50" bestFit="1" customWidth="1"/>
    <col min="27" max="27" width="6.625" style="50" bestFit="1" customWidth="1"/>
    <col min="28" max="30" width="8.375" style="50" bestFit="1" customWidth="1"/>
    <col min="31" max="31" width="6.25" style="50" bestFit="1" customWidth="1"/>
    <col min="32" max="32" width="9.125" style="87" bestFit="1" customWidth="1"/>
    <col min="33" max="33" width="17.625" style="50" customWidth="1"/>
    <col min="34" max="16384" width="9" style="50"/>
  </cols>
  <sheetData>
    <row r="1" spans="1:32" ht="44.25" customHeight="1">
      <c r="A1" s="531" t="s">
        <v>677</v>
      </c>
      <c r="B1" s="531"/>
      <c r="C1" s="531"/>
      <c r="D1" s="531"/>
      <c r="E1" s="531"/>
      <c r="F1" s="531"/>
      <c r="G1" s="531"/>
      <c r="H1" s="531"/>
      <c r="I1" s="531"/>
      <c r="J1" s="531"/>
      <c r="K1" s="531"/>
      <c r="L1" s="531"/>
      <c r="M1" s="531"/>
      <c r="N1" s="531"/>
      <c r="O1" s="531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</row>
    <row r="2" spans="1:32" ht="44.25" customHeight="1">
      <c r="A2" s="531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66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</row>
    <row r="3" spans="1:32" ht="16.5" customHeight="1" thickBot="1">
      <c r="A3" s="532"/>
      <c r="B3" s="532"/>
      <c r="C3" s="532"/>
      <c r="D3" s="532"/>
      <c r="E3" s="532"/>
      <c r="F3" s="532"/>
      <c r="G3" s="532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</row>
    <row r="4" spans="1:32" ht="36" customHeight="1" thickBot="1">
      <c r="A4" s="533" t="s">
        <v>0</v>
      </c>
      <c r="B4" s="535" t="s">
        <v>1</v>
      </c>
      <c r="C4" s="535" t="s">
        <v>2</v>
      </c>
      <c r="D4" s="538" t="s">
        <v>3</v>
      </c>
      <c r="E4" s="540" t="s">
        <v>4</v>
      </c>
      <c r="F4" s="538" t="s">
        <v>5</v>
      </c>
      <c r="G4" s="535" t="s">
        <v>6</v>
      </c>
      <c r="H4" s="541" t="s">
        <v>7</v>
      </c>
      <c r="I4" s="521" t="s">
        <v>8</v>
      </c>
      <c r="J4" s="522"/>
      <c r="K4" s="522"/>
      <c r="L4" s="522"/>
      <c r="M4" s="522"/>
      <c r="N4" s="522"/>
      <c r="O4" s="523"/>
      <c r="P4" s="524" t="s">
        <v>9</v>
      </c>
      <c r="Q4" s="525"/>
      <c r="R4" s="526" t="s">
        <v>10</v>
      </c>
      <c r="S4" s="526"/>
      <c r="T4" s="526"/>
      <c r="U4" s="526"/>
      <c r="V4" s="526"/>
      <c r="W4" s="527" t="s">
        <v>11</v>
      </c>
      <c r="X4" s="526"/>
      <c r="Y4" s="526"/>
      <c r="Z4" s="526"/>
      <c r="AA4" s="528"/>
      <c r="AB4" s="529" t="s">
        <v>12</v>
      </c>
      <c r="AC4" s="502" t="s">
        <v>13</v>
      </c>
      <c r="AD4" s="502" t="s">
        <v>14</v>
      </c>
      <c r="AE4" s="54"/>
    </row>
    <row r="5" spans="1:32" ht="51" customHeight="1" thickBot="1">
      <c r="A5" s="534"/>
      <c r="B5" s="536"/>
      <c r="C5" s="537"/>
      <c r="D5" s="539"/>
      <c r="E5" s="539"/>
      <c r="F5" s="539"/>
      <c r="G5" s="536"/>
      <c r="H5" s="542"/>
      <c r="I5" s="55" t="s">
        <v>15</v>
      </c>
      <c r="J5" s="56" t="s">
        <v>16</v>
      </c>
      <c r="K5" s="421" t="s">
        <v>17</v>
      </c>
      <c r="L5" s="421" t="s">
        <v>18</v>
      </c>
      <c r="M5" s="421" t="s">
        <v>19</v>
      </c>
      <c r="N5" s="421" t="s">
        <v>20</v>
      </c>
      <c r="O5" s="57" t="s">
        <v>21</v>
      </c>
      <c r="P5" s="44" t="s">
        <v>22</v>
      </c>
      <c r="Q5" s="45" t="s">
        <v>23</v>
      </c>
      <c r="R5" s="46" t="s">
        <v>24</v>
      </c>
      <c r="S5" s="48" t="s">
        <v>25</v>
      </c>
      <c r="T5" s="47" t="s">
        <v>26</v>
      </c>
      <c r="U5" s="48" t="s">
        <v>27</v>
      </c>
      <c r="V5" s="45" t="s">
        <v>28</v>
      </c>
      <c r="W5" s="46" t="s">
        <v>29</v>
      </c>
      <c r="X5" s="48" t="s">
        <v>30</v>
      </c>
      <c r="Y5" s="48" t="s">
        <v>31</v>
      </c>
      <c r="Z5" s="48" t="s">
        <v>32</v>
      </c>
      <c r="AA5" s="45" t="s">
        <v>33</v>
      </c>
      <c r="AB5" s="530"/>
      <c r="AC5" s="503"/>
      <c r="AD5" s="503"/>
      <c r="AE5" s="54"/>
    </row>
    <row r="6" spans="1:32" ht="27" customHeight="1">
      <c r="A6" s="101">
        <v>1</v>
      </c>
      <c r="B6" s="11"/>
      <c r="C6" s="34"/>
      <c r="D6" s="52"/>
      <c r="E6" s="53"/>
      <c r="F6" s="30"/>
      <c r="G6" s="12"/>
      <c r="H6" s="13"/>
      <c r="I6" s="31"/>
      <c r="J6" s="5">
        <v>0</v>
      </c>
      <c r="K6" s="15">
        <f t="shared" ref="K6" si="0">L6</f>
        <v>0</v>
      </c>
      <c r="L6" s="15"/>
      <c r="M6" s="15">
        <f t="shared" ref="M6:M20" si="1">L6-N6</f>
        <v>0</v>
      </c>
      <c r="N6" s="15">
        <v>0</v>
      </c>
      <c r="O6" s="58" t="str">
        <f t="shared" ref="O6:O21" si="2">IF(L6=0,"0",N6/L6)</f>
        <v>0</v>
      </c>
      <c r="P6" s="39" t="str">
        <f t="shared" ref="P6:P20" si="3">IF(L6=0,"0",(24-Q6))</f>
        <v>0</v>
      </c>
      <c r="Q6" s="40">
        <f t="shared" ref="Q6:Q20" si="4">SUM(R6:AA6)</f>
        <v>24</v>
      </c>
      <c r="R6" s="7">
        <v>24</v>
      </c>
      <c r="S6" s="6"/>
      <c r="T6" s="16"/>
      <c r="U6" s="16"/>
      <c r="V6" s="17"/>
      <c r="W6" s="5"/>
      <c r="X6" s="16"/>
      <c r="Y6" s="16"/>
      <c r="Z6" s="16"/>
      <c r="AA6" s="18"/>
      <c r="AB6" s="8" t="str">
        <f t="shared" ref="AB6:AB20" si="5">IF(J6=0,"0",(L6/J6))</f>
        <v>0</v>
      </c>
      <c r="AC6" s="9">
        <f t="shared" ref="AC6:AC20" si="6">IF(P6=0,"0",(P6/24))</f>
        <v>0</v>
      </c>
      <c r="AD6" s="10">
        <f t="shared" ref="AD6:AD20" si="7">AC6*AB6*(1-O6)</f>
        <v>0</v>
      </c>
      <c r="AE6" s="36">
        <f>$AD$21</f>
        <v>0.46944444444444444</v>
      </c>
      <c r="AF6" s="87">
        <f t="shared" ref="AF6:AF20" si="8">A6</f>
        <v>1</v>
      </c>
    </row>
    <row r="7" spans="1:32" ht="27" customHeight="1">
      <c r="A7" s="101">
        <v>2</v>
      </c>
      <c r="B7" s="11" t="s">
        <v>57</v>
      </c>
      <c r="C7" s="34" t="s">
        <v>130</v>
      </c>
      <c r="D7" s="52" t="s">
        <v>131</v>
      </c>
      <c r="E7" s="53" t="s">
        <v>129</v>
      </c>
      <c r="F7" s="30" t="s">
        <v>116</v>
      </c>
      <c r="G7" s="12">
        <v>1</v>
      </c>
      <c r="H7" s="13">
        <v>28</v>
      </c>
      <c r="I7" s="31">
        <v>21000</v>
      </c>
      <c r="J7" s="5">
        <v>2061</v>
      </c>
      <c r="K7" s="15">
        <f>L7+4193+5294+2061</f>
        <v>11548</v>
      </c>
      <c r="L7" s="15"/>
      <c r="M7" s="15">
        <f t="shared" si="1"/>
        <v>0</v>
      </c>
      <c r="N7" s="15">
        <v>0</v>
      </c>
      <c r="O7" s="58" t="str">
        <f t="shared" si="2"/>
        <v>0</v>
      </c>
      <c r="P7" s="39" t="str">
        <f t="shared" si="3"/>
        <v>0</v>
      </c>
      <c r="Q7" s="40">
        <f t="shared" si="4"/>
        <v>24</v>
      </c>
      <c r="R7" s="7"/>
      <c r="S7" s="6"/>
      <c r="T7" s="16"/>
      <c r="U7" s="16"/>
      <c r="V7" s="17">
        <v>24</v>
      </c>
      <c r="W7" s="5"/>
      <c r="X7" s="16"/>
      <c r="Y7" s="16"/>
      <c r="Z7" s="16"/>
      <c r="AA7" s="18"/>
      <c r="AB7" s="8">
        <f t="shared" si="5"/>
        <v>0</v>
      </c>
      <c r="AC7" s="9">
        <f t="shared" si="6"/>
        <v>0</v>
      </c>
      <c r="AD7" s="10">
        <f t="shared" si="7"/>
        <v>0</v>
      </c>
      <c r="AE7" s="36">
        <f>$AD$21</f>
        <v>0.46944444444444444</v>
      </c>
      <c r="AF7" s="87">
        <f t="shared" si="8"/>
        <v>2</v>
      </c>
    </row>
    <row r="8" spans="1:32" ht="27" customHeight="1">
      <c r="A8" s="102">
        <v>3</v>
      </c>
      <c r="B8" s="11" t="s">
        <v>57</v>
      </c>
      <c r="C8" s="11" t="s">
        <v>124</v>
      </c>
      <c r="D8" s="52" t="s">
        <v>138</v>
      </c>
      <c r="E8" s="53" t="s">
        <v>647</v>
      </c>
      <c r="F8" s="30" t="s">
        <v>126</v>
      </c>
      <c r="G8" s="33">
        <v>1</v>
      </c>
      <c r="H8" s="35">
        <v>24</v>
      </c>
      <c r="I8" s="7">
        <v>5000</v>
      </c>
      <c r="J8" s="14">
        <v>4294</v>
      </c>
      <c r="K8" s="15">
        <f>L8+4294</f>
        <v>4294</v>
      </c>
      <c r="L8" s="15"/>
      <c r="M8" s="15">
        <f t="shared" si="1"/>
        <v>0</v>
      </c>
      <c r="N8" s="15">
        <v>0</v>
      </c>
      <c r="O8" s="58" t="str">
        <f t="shared" si="2"/>
        <v>0</v>
      </c>
      <c r="P8" s="39" t="str">
        <f t="shared" si="3"/>
        <v>0</v>
      </c>
      <c r="Q8" s="40">
        <f t="shared" si="4"/>
        <v>24</v>
      </c>
      <c r="R8" s="7"/>
      <c r="S8" s="6"/>
      <c r="T8" s="16"/>
      <c r="U8" s="16"/>
      <c r="V8" s="17"/>
      <c r="W8" s="5">
        <v>24</v>
      </c>
      <c r="X8" s="16"/>
      <c r="Y8" s="16"/>
      <c r="Z8" s="16"/>
      <c r="AA8" s="18"/>
      <c r="AB8" s="8">
        <f t="shared" si="5"/>
        <v>0</v>
      </c>
      <c r="AC8" s="9">
        <f t="shared" si="6"/>
        <v>0</v>
      </c>
      <c r="AD8" s="10">
        <f t="shared" si="7"/>
        <v>0</v>
      </c>
      <c r="AE8" s="36">
        <f>$AD$21</f>
        <v>0.46944444444444444</v>
      </c>
      <c r="AF8" s="87">
        <f t="shared" si="8"/>
        <v>3</v>
      </c>
    </row>
    <row r="9" spans="1:32" ht="27" customHeight="1">
      <c r="A9" s="103">
        <v>4</v>
      </c>
      <c r="B9" s="11" t="s">
        <v>57</v>
      </c>
      <c r="C9" s="11" t="s">
        <v>114</v>
      </c>
      <c r="D9" s="52" t="s">
        <v>401</v>
      </c>
      <c r="E9" s="53" t="s">
        <v>421</v>
      </c>
      <c r="F9" s="30" t="s">
        <v>127</v>
      </c>
      <c r="G9" s="33">
        <v>1</v>
      </c>
      <c r="H9" s="35">
        <v>24</v>
      </c>
      <c r="I9" s="7">
        <v>70000</v>
      </c>
      <c r="J9" s="14">
        <v>2500</v>
      </c>
      <c r="K9" s="15">
        <f>L9+1036</f>
        <v>3536</v>
      </c>
      <c r="L9" s="15">
        <f>2500</f>
        <v>2500</v>
      </c>
      <c r="M9" s="15">
        <f t="shared" si="1"/>
        <v>2500</v>
      </c>
      <c r="N9" s="15">
        <v>0</v>
      </c>
      <c r="O9" s="58">
        <f t="shared" si="2"/>
        <v>0</v>
      </c>
      <c r="P9" s="39">
        <f t="shared" si="3"/>
        <v>14</v>
      </c>
      <c r="Q9" s="40">
        <f t="shared" si="4"/>
        <v>10</v>
      </c>
      <c r="R9" s="7"/>
      <c r="S9" s="6">
        <v>10</v>
      </c>
      <c r="T9" s="16"/>
      <c r="U9" s="16"/>
      <c r="V9" s="17"/>
      <c r="W9" s="5"/>
      <c r="X9" s="16"/>
      <c r="Y9" s="16"/>
      <c r="Z9" s="16"/>
      <c r="AA9" s="18"/>
      <c r="AB9" s="8">
        <f t="shared" si="5"/>
        <v>1</v>
      </c>
      <c r="AC9" s="9">
        <f t="shared" si="6"/>
        <v>0.58333333333333337</v>
      </c>
      <c r="AD9" s="10">
        <f t="shared" si="7"/>
        <v>0.58333333333333337</v>
      </c>
      <c r="AE9" s="36">
        <f>$AD$21</f>
        <v>0.46944444444444444</v>
      </c>
      <c r="AF9" s="87">
        <f t="shared" si="8"/>
        <v>4</v>
      </c>
    </row>
    <row r="10" spans="1:32" ht="27" customHeight="1">
      <c r="A10" s="103">
        <v>5</v>
      </c>
      <c r="B10" s="11" t="s">
        <v>57</v>
      </c>
      <c r="C10" s="34" t="s">
        <v>209</v>
      </c>
      <c r="D10" s="52" t="s">
        <v>226</v>
      </c>
      <c r="E10" s="53" t="s">
        <v>487</v>
      </c>
      <c r="F10" s="30" t="s">
        <v>235</v>
      </c>
      <c r="G10" s="33" t="s">
        <v>197</v>
      </c>
      <c r="H10" s="35">
        <v>24</v>
      </c>
      <c r="I10" s="7">
        <v>35000</v>
      </c>
      <c r="J10" s="5">
        <v>5143</v>
      </c>
      <c r="K10" s="15">
        <f>L10+3601+2209+6181+7284+1089+15594+5320+6949</f>
        <v>53370</v>
      </c>
      <c r="L10" s="15">
        <f>2864+2279</f>
        <v>5143</v>
      </c>
      <c r="M10" s="15">
        <f t="shared" si="1"/>
        <v>5143</v>
      </c>
      <c r="N10" s="15">
        <v>0</v>
      </c>
      <c r="O10" s="58">
        <f t="shared" si="2"/>
        <v>0</v>
      </c>
      <c r="P10" s="39">
        <f t="shared" si="3"/>
        <v>20</v>
      </c>
      <c r="Q10" s="40">
        <f t="shared" si="4"/>
        <v>4</v>
      </c>
      <c r="R10" s="7"/>
      <c r="S10" s="6">
        <v>4</v>
      </c>
      <c r="T10" s="16"/>
      <c r="U10" s="16"/>
      <c r="V10" s="17"/>
      <c r="W10" s="5"/>
      <c r="X10" s="16"/>
      <c r="Y10" s="16"/>
      <c r="Z10" s="16"/>
      <c r="AA10" s="18"/>
      <c r="AB10" s="8">
        <f t="shared" si="5"/>
        <v>1</v>
      </c>
      <c r="AC10" s="9">
        <f t="shared" si="6"/>
        <v>0.83333333333333337</v>
      </c>
      <c r="AD10" s="10">
        <f>AC10*AB10*(1-O10)</f>
        <v>0.83333333333333337</v>
      </c>
      <c r="AE10" s="36">
        <f>$AD$21</f>
        <v>0.46944444444444444</v>
      </c>
      <c r="AF10" s="87">
        <f t="shared" si="8"/>
        <v>5</v>
      </c>
    </row>
    <row r="11" spans="1:32" ht="27" customHeight="1">
      <c r="A11" s="103">
        <v>6</v>
      </c>
      <c r="B11" s="11" t="s">
        <v>57</v>
      </c>
      <c r="C11" s="34" t="s">
        <v>130</v>
      </c>
      <c r="D11" s="52" t="s">
        <v>671</v>
      </c>
      <c r="E11" s="53" t="s">
        <v>669</v>
      </c>
      <c r="F11" s="30" t="s">
        <v>274</v>
      </c>
      <c r="G11" s="33">
        <v>2</v>
      </c>
      <c r="H11" s="35">
        <v>24</v>
      </c>
      <c r="I11" s="7">
        <v>10000</v>
      </c>
      <c r="J11" s="5">
        <v>4992</v>
      </c>
      <c r="K11" s="15">
        <f>L11</f>
        <v>4992</v>
      </c>
      <c r="L11" s="15">
        <f>2496*2</f>
        <v>4992</v>
      </c>
      <c r="M11" s="15">
        <f t="shared" si="1"/>
        <v>4992</v>
      </c>
      <c r="N11" s="15">
        <v>0</v>
      </c>
      <c r="O11" s="58">
        <f t="shared" si="2"/>
        <v>0</v>
      </c>
      <c r="P11" s="39">
        <f t="shared" si="3"/>
        <v>14</v>
      </c>
      <c r="Q11" s="40">
        <f t="shared" si="4"/>
        <v>10</v>
      </c>
      <c r="R11" s="7"/>
      <c r="S11" s="6"/>
      <c r="T11" s="16"/>
      <c r="U11" s="16"/>
      <c r="V11" s="17"/>
      <c r="W11" s="5"/>
      <c r="X11" s="16"/>
      <c r="Y11" s="16"/>
      <c r="Z11" s="16"/>
      <c r="AA11" s="18">
        <v>10</v>
      </c>
      <c r="AB11" s="8">
        <f t="shared" si="5"/>
        <v>1</v>
      </c>
      <c r="AC11" s="9">
        <f t="shared" si="6"/>
        <v>0.58333333333333337</v>
      </c>
      <c r="AD11" s="10">
        <f>AC11*AB11*(1-O11)</f>
        <v>0.58333333333333337</v>
      </c>
      <c r="AE11" s="36">
        <f>$AD$21</f>
        <v>0.46944444444444444</v>
      </c>
      <c r="AF11" s="87">
        <f t="shared" si="8"/>
        <v>6</v>
      </c>
    </row>
    <row r="12" spans="1:32" ht="27" customHeight="1">
      <c r="A12" s="103">
        <v>7</v>
      </c>
      <c r="B12" s="11" t="s">
        <v>57</v>
      </c>
      <c r="C12" s="11" t="s">
        <v>114</v>
      </c>
      <c r="D12" s="52" t="s">
        <v>117</v>
      </c>
      <c r="E12" s="53" t="s">
        <v>419</v>
      </c>
      <c r="F12" s="30" t="s">
        <v>121</v>
      </c>
      <c r="G12" s="33">
        <v>1</v>
      </c>
      <c r="H12" s="35">
        <v>24</v>
      </c>
      <c r="I12" s="7">
        <v>70000</v>
      </c>
      <c r="J12" s="14">
        <v>2673</v>
      </c>
      <c r="K12" s="15">
        <f>L12+2036+3193</f>
        <v>7902</v>
      </c>
      <c r="L12" s="15">
        <f>1244+1429</f>
        <v>2673</v>
      </c>
      <c r="M12" s="15">
        <f t="shared" si="1"/>
        <v>2673</v>
      </c>
      <c r="N12" s="15">
        <v>0</v>
      </c>
      <c r="O12" s="58">
        <f t="shared" si="2"/>
        <v>0</v>
      </c>
      <c r="P12" s="39">
        <f t="shared" si="3"/>
        <v>17</v>
      </c>
      <c r="Q12" s="40">
        <f t="shared" si="4"/>
        <v>7</v>
      </c>
      <c r="R12" s="7">
        <v>4</v>
      </c>
      <c r="S12" s="6">
        <v>3</v>
      </c>
      <c r="T12" s="16"/>
      <c r="U12" s="16"/>
      <c r="V12" s="17"/>
      <c r="W12" s="5"/>
      <c r="X12" s="16"/>
      <c r="Y12" s="16"/>
      <c r="Z12" s="16"/>
      <c r="AA12" s="18"/>
      <c r="AB12" s="8">
        <f t="shared" si="5"/>
        <v>1</v>
      </c>
      <c r="AC12" s="9">
        <f t="shared" si="6"/>
        <v>0.70833333333333337</v>
      </c>
      <c r="AD12" s="10">
        <f t="shared" ref="AD12:AD13" si="9">AC12*AB12*(1-O12)</f>
        <v>0.70833333333333337</v>
      </c>
      <c r="AE12" s="36">
        <f>$AD$21</f>
        <v>0.46944444444444444</v>
      </c>
      <c r="AF12" s="87">
        <f t="shared" si="8"/>
        <v>7</v>
      </c>
    </row>
    <row r="13" spans="1:32" ht="27" customHeight="1">
      <c r="A13" s="103">
        <v>8</v>
      </c>
      <c r="B13" s="11" t="s">
        <v>57</v>
      </c>
      <c r="C13" s="11" t="s">
        <v>114</v>
      </c>
      <c r="D13" s="52" t="s">
        <v>125</v>
      </c>
      <c r="E13" s="53" t="s">
        <v>256</v>
      </c>
      <c r="F13" s="30" t="s">
        <v>126</v>
      </c>
      <c r="G13" s="33">
        <v>1</v>
      </c>
      <c r="H13" s="35">
        <v>24</v>
      </c>
      <c r="I13" s="7">
        <v>5000</v>
      </c>
      <c r="J13" s="14">
        <v>1890</v>
      </c>
      <c r="K13" s="15">
        <f>L13+2462</f>
        <v>4352</v>
      </c>
      <c r="L13" s="15">
        <v>1890</v>
      </c>
      <c r="M13" s="15">
        <f t="shared" si="1"/>
        <v>1890</v>
      </c>
      <c r="N13" s="15">
        <v>0</v>
      </c>
      <c r="O13" s="58">
        <f t="shared" si="2"/>
        <v>0</v>
      </c>
      <c r="P13" s="39">
        <f t="shared" si="3"/>
        <v>10</v>
      </c>
      <c r="Q13" s="40">
        <f t="shared" si="4"/>
        <v>14</v>
      </c>
      <c r="R13" s="7"/>
      <c r="S13" s="6"/>
      <c r="T13" s="16"/>
      <c r="U13" s="16"/>
      <c r="V13" s="17"/>
      <c r="W13" s="5">
        <v>14</v>
      </c>
      <c r="X13" s="16"/>
      <c r="Y13" s="16"/>
      <c r="Z13" s="16"/>
      <c r="AA13" s="18"/>
      <c r="AB13" s="8">
        <f t="shared" si="5"/>
        <v>1</v>
      </c>
      <c r="AC13" s="9">
        <f t="shared" si="6"/>
        <v>0.41666666666666669</v>
      </c>
      <c r="AD13" s="10">
        <f t="shared" si="9"/>
        <v>0.41666666666666669</v>
      </c>
      <c r="AE13" s="36">
        <f>$AD$21</f>
        <v>0.46944444444444444</v>
      </c>
      <c r="AF13" s="87">
        <f t="shared" si="8"/>
        <v>8</v>
      </c>
    </row>
    <row r="14" spans="1:32" ht="27" customHeight="1">
      <c r="A14" s="118">
        <v>9</v>
      </c>
      <c r="B14" s="11" t="s">
        <v>57</v>
      </c>
      <c r="C14" s="34" t="s">
        <v>124</v>
      </c>
      <c r="D14" s="52" t="s">
        <v>183</v>
      </c>
      <c r="E14" s="53" t="s">
        <v>408</v>
      </c>
      <c r="F14" s="30" t="s">
        <v>154</v>
      </c>
      <c r="G14" s="33">
        <v>1</v>
      </c>
      <c r="H14" s="35">
        <v>24</v>
      </c>
      <c r="I14" s="7">
        <v>10000</v>
      </c>
      <c r="J14" s="5">
        <v>3411</v>
      </c>
      <c r="K14" s="15">
        <f>L14+3232</f>
        <v>6643</v>
      </c>
      <c r="L14" s="15">
        <f>2112+1299</f>
        <v>3411</v>
      </c>
      <c r="M14" s="15">
        <f t="shared" si="1"/>
        <v>3411</v>
      </c>
      <c r="N14" s="15">
        <v>0</v>
      </c>
      <c r="O14" s="58">
        <f t="shared" si="2"/>
        <v>0</v>
      </c>
      <c r="P14" s="39">
        <f t="shared" si="3"/>
        <v>18</v>
      </c>
      <c r="Q14" s="40">
        <f t="shared" si="4"/>
        <v>6</v>
      </c>
      <c r="R14" s="7"/>
      <c r="S14" s="6">
        <v>6</v>
      </c>
      <c r="T14" s="16"/>
      <c r="U14" s="16"/>
      <c r="V14" s="17"/>
      <c r="W14" s="5"/>
      <c r="X14" s="16"/>
      <c r="Y14" s="16"/>
      <c r="Z14" s="16"/>
      <c r="AA14" s="18"/>
      <c r="AB14" s="8">
        <f t="shared" si="5"/>
        <v>1</v>
      </c>
      <c r="AC14" s="9">
        <f t="shared" si="6"/>
        <v>0.75</v>
      </c>
      <c r="AD14" s="10">
        <f t="shared" si="7"/>
        <v>0.75</v>
      </c>
      <c r="AE14" s="36">
        <f>$AD$21</f>
        <v>0.46944444444444444</v>
      </c>
      <c r="AF14" s="87">
        <f t="shared" si="8"/>
        <v>9</v>
      </c>
    </row>
    <row r="15" spans="1:32" ht="27" customHeight="1">
      <c r="A15" s="102">
        <v>10</v>
      </c>
      <c r="B15" s="11" t="s">
        <v>57</v>
      </c>
      <c r="C15" s="34" t="s">
        <v>124</v>
      </c>
      <c r="D15" s="52" t="s">
        <v>183</v>
      </c>
      <c r="E15" s="53" t="s">
        <v>607</v>
      </c>
      <c r="F15" s="12">
        <v>8301</v>
      </c>
      <c r="G15" s="12">
        <v>1</v>
      </c>
      <c r="H15" s="13">
        <v>24</v>
      </c>
      <c r="I15" s="31">
        <v>500</v>
      </c>
      <c r="J15" s="14">
        <v>2517</v>
      </c>
      <c r="K15" s="15">
        <f>L15+2517</f>
        <v>2517</v>
      </c>
      <c r="L15" s="15"/>
      <c r="M15" s="15">
        <f t="shared" si="1"/>
        <v>0</v>
      </c>
      <c r="N15" s="15">
        <v>0</v>
      </c>
      <c r="O15" s="58" t="str">
        <f t="shared" si="2"/>
        <v>0</v>
      </c>
      <c r="P15" s="39" t="str">
        <f t="shared" si="3"/>
        <v>0</v>
      </c>
      <c r="Q15" s="40">
        <f t="shared" si="4"/>
        <v>24</v>
      </c>
      <c r="R15" s="7"/>
      <c r="S15" s="6"/>
      <c r="T15" s="16"/>
      <c r="U15" s="16"/>
      <c r="V15" s="17"/>
      <c r="W15" s="5">
        <v>24</v>
      </c>
      <c r="X15" s="16"/>
      <c r="Y15" s="16"/>
      <c r="Z15" s="16"/>
      <c r="AA15" s="18"/>
      <c r="AB15" s="8">
        <f t="shared" si="5"/>
        <v>0</v>
      </c>
      <c r="AC15" s="9">
        <f t="shared" si="6"/>
        <v>0</v>
      </c>
      <c r="AD15" s="10">
        <f t="shared" si="7"/>
        <v>0</v>
      </c>
      <c r="AE15" s="36">
        <f>$AD$21</f>
        <v>0.46944444444444444</v>
      </c>
      <c r="AF15" s="87">
        <f t="shared" si="8"/>
        <v>10</v>
      </c>
    </row>
    <row r="16" spans="1:32" ht="30" customHeight="1">
      <c r="A16" s="102">
        <v>11</v>
      </c>
      <c r="B16" s="11" t="s">
        <v>57</v>
      </c>
      <c r="C16" s="34" t="s">
        <v>114</v>
      </c>
      <c r="D16" s="52" t="s">
        <v>125</v>
      </c>
      <c r="E16" s="53" t="s">
        <v>629</v>
      </c>
      <c r="F16" s="30" t="s">
        <v>127</v>
      </c>
      <c r="G16" s="12">
        <v>1</v>
      </c>
      <c r="H16" s="13">
        <v>28</v>
      </c>
      <c r="I16" s="7">
        <v>70000</v>
      </c>
      <c r="J16" s="14">
        <v>5157</v>
      </c>
      <c r="K16" s="15">
        <f>L16+2620+5280</f>
        <v>13057</v>
      </c>
      <c r="L16" s="15">
        <f>2809+2348</f>
        <v>5157</v>
      </c>
      <c r="M16" s="15">
        <f t="shared" si="1"/>
        <v>5157</v>
      </c>
      <c r="N16" s="15">
        <v>0</v>
      </c>
      <c r="O16" s="58">
        <f t="shared" si="2"/>
        <v>0</v>
      </c>
      <c r="P16" s="39">
        <f t="shared" si="3"/>
        <v>24</v>
      </c>
      <c r="Q16" s="40">
        <f t="shared" si="4"/>
        <v>0</v>
      </c>
      <c r="R16" s="7"/>
      <c r="S16" s="6"/>
      <c r="T16" s="16"/>
      <c r="U16" s="16"/>
      <c r="V16" s="17"/>
      <c r="W16" s="5"/>
      <c r="X16" s="16"/>
      <c r="Y16" s="16"/>
      <c r="Z16" s="16"/>
      <c r="AA16" s="18"/>
      <c r="AB16" s="8">
        <f t="shared" si="5"/>
        <v>1</v>
      </c>
      <c r="AC16" s="9">
        <f t="shared" si="6"/>
        <v>1</v>
      </c>
      <c r="AD16" s="10">
        <f t="shared" si="7"/>
        <v>1</v>
      </c>
      <c r="AE16" s="36">
        <f>$AD$21</f>
        <v>0.46944444444444444</v>
      </c>
      <c r="AF16" s="87">
        <f t="shared" si="8"/>
        <v>11</v>
      </c>
    </row>
    <row r="17" spans="1:32" ht="27" customHeight="1">
      <c r="A17" s="102">
        <v>12</v>
      </c>
      <c r="B17" s="11" t="s">
        <v>57</v>
      </c>
      <c r="C17" s="34" t="s">
        <v>114</v>
      </c>
      <c r="D17" s="52" t="s">
        <v>652</v>
      </c>
      <c r="E17" s="53" t="s">
        <v>653</v>
      </c>
      <c r="F17" s="30" t="s">
        <v>654</v>
      </c>
      <c r="G17" s="33">
        <v>1</v>
      </c>
      <c r="H17" s="35">
        <v>24</v>
      </c>
      <c r="I17" s="7">
        <v>2500</v>
      </c>
      <c r="J17" s="5">
        <v>3450</v>
      </c>
      <c r="K17" s="15">
        <f>L17+3450</f>
        <v>3450</v>
      </c>
      <c r="L17" s="15"/>
      <c r="M17" s="15">
        <f t="shared" si="1"/>
        <v>0</v>
      </c>
      <c r="N17" s="15">
        <v>0</v>
      </c>
      <c r="O17" s="58" t="str">
        <f t="shared" si="2"/>
        <v>0</v>
      </c>
      <c r="P17" s="39" t="str">
        <f t="shared" si="3"/>
        <v>0</v>
      </c>
      <c r="Q17" s="40">
        <f t="shared" si="4"/>
        <v>24</v>
      </c>
      <c r="R17" s="7"/>
      <c r="S17" s="6"/>
      <c r="T17" s="16"/>
      <c r="U17" s="16"/>
      <c r="V17" s="17"/>
      <c r="W17" s="5">
        <v>24</v>
      </c>
      <c r="X17" s="16"/>
      <c r="Y17" s="16"/>
      <c r="Z17" s="16"/>
      <c r="AA17" s="18"/>
      <c r="AB17" s="8">
        <f t="shared" si="5"/>
        <v>0</v>
      </c>
      <c r="AC17" s="9">
        <f t="shared" si="6"/>
        <v>0</v>
      </c>
      <c r="AD17" s="10">
        <f t="shared" si="7"/>
        <v>0</v>
      </c>
      <c r="AE17" s="36">
        <f>$AD$21</f>
        <v>0.46944444444444444</v>
      </c>
      <c r="AF17" s="87">
        <f t="shared" si="8"/>
        <v>12</v>
      </c>
    </row>
    <row r="18" spans="1:32" ht="27" customHeight="1">
      <c r="A18" s="103">
        <v>13</v>
      </c>
      <c r="B18" s="11" t="s">
        <v>57</v>
      </c>
      <c r="C18" s="11" t="s">
        <v>114</v>
      </c>
      <c r="D18" s="52" t="s">
        <v>122</v>
      </c>
      <c r="E18" s="53" t="s">
        <v>576</v>
      </c>
      <c r="F18" s="30" t="s">
        <v>123</v>
      </c>
      <c r="G18" s="33">
        <v>1</v>
      </c>
      <c r="H18" s="35">
        <v>24</v>
      </c>
      <c r="I18" s="7">
        <v>70000</v>
      </c>
      <c r="J18" s="14">
        <v>4399</v>
      </c>
      <c r="K18" s="15">
        <f>L18+4362</f>
        <v>8761</v>
      </c>
      <c r="L18" s="15">
        <f>2771+1628</f>
        <v>4399</v>
      </c>
      <c r="M18" s="15">
        <f t="shared" si="1"/>
        <v>4399</v>
      </c>
      <c r="N18" s="15">
        <v>0</v>
      </c>
      <c r="O18" s="58">
        <f t="shared" si="2"/>
        <v>0</v>
      </c>
      <c r="P18" s="39">
        <f t="shared" si="3"/>
        <v>22</v>
      </c>
      <c r="Q18" s="40">
        <f t="shared" si="4"/>
        <v>2</v>
      </c>
      <c r="R18" s="7"/>
      <c r="S18" s="6">
        <v>2</v>
      </c>
      <c r="T18" s="16"/>
      <c r="U18" s="16"/>
      <c r="V18" s="17"/>
      <c r="W18" s="5"/>
      <c r="X18" s="16"/>
      <c r="Y18" s="16"/>
      <c r="Z18" s="16"/>
      <c r="AA18" s="18"/>
      <c r="AB18" s="8">
        <f t="shared" si="5"/>
        <v>1</v>
      </c>
      <c r="AC18" s="9">
        <f t="shared" si="6"/>
        <v>0.91666666666666663</v>
      </c>
      <c r="AD18" s="10">
        <f t="shared" si="7"/>
        <v>0.91666666666666663</v>
      </c>
      <c r="AE18" s="36">
        <f>$AD$21</f>
        <v>0.46944444444444444</v>
      </c>
      <c r="AF18" s="87">
        <f t="shared" si="8"/>
        <v>13</v>
      </c>
    </row>
    <row r="19" spans="1:32" ht="27" customHeight="1">
      <c r="A19" s="103">
        <v>14</v>
      </c>
      <c r="B19" s="11" t="s">
        <v>57</v>
      </c>
      <c r="C19" s="11" t="s">
        <v>114</v>
      </c>
      <c r="D19" s="52" t="s">
        <v>117</v>
      </c>
      <c r="E19" s="53" t="s">
        <v>118</v>
      </c>
      <c r="F19" s="30" t="s">
        <v>121</v>
      </c>
      <c r="G19" s="33">
        <v>1</v>
      </c>
      <c r="H19" s="35">
        <v>24</v>
      </c>
      <c r="I19" s="7">
        <v>11000</v>
      </c>
      <c r="J19" s="14">
        <v>3030</v>
      </c>
      <c r="K19" s="15">
        <f>L19+4119+4694</f>
        <v>11843</v>
      </c>
      <c r="L19" s="15">
        <f>1939+1091</f>
        <v>3030</v>
      </c>
      <c r="M19" s="15">
        <f t="shared" si="1"/>
        <v>3030</v>
      </c>
      <c r="N19" s="15">
        <v>0</v>
      </c>
      <c r="O19" s="58">
        <f t="shared" si="2"/>
        <v>0</v>
      </c>
      <c r="P19" s="39">
        <f t="shared" si="3"/>
        <v>16</v>
      </c>
      <c r="Q19" s="40">
        <f t="shared" si="4"/>
        <v>8</v>
      </c>
      <c r="R19" s="7"/>
      <c r="S19" s="6">
        <v>8</v>
      </c>
      <c r="T19" s="16"/>
      <c r="U19" s="16"/>
      <c r="V19" s="17"/>
      <c r="W19" s="5"/>
      <c r="X19" s="16"/>
      <c r="Y19" s="16"/>
      <c r="Z19" s="16"/>
      <c r="AA19" s="18"/>
      <c r="AB19" s="8">
        <f t="shared" si="5"/>
        <v>1</v>
      </c>
      <c r="AC19" s="9">
        <f t="shared" si="6"/>
        <v>0.66666666666666663</v>
      </c>
      <c r="AD19" s="10">
        <f t="shared" si="7"/>
        <v>0.66666666666666663</v>
      </c>
      <c r="AE19" s="36">
        <f>$AD$21</f>
        <v>0.46944444444444444</v>
      </c>
      <c r="AF19" s="87">
        <f t="shared" si="8"/>
        <v>14</v>
      </c>
    </row>
    <row r="20" spans="1:32" ht="27" customHeight="1" thickBot="1">
      <c r="A20" s="103">
        <v>15</v>
      </c>
      <c r="B20" s="11" t="s">
        <v>57</v>
      </c>
      <c r="C20" s="11" t="s">
        <v>115</v>
      </c>
      <c r="D20" s="52"/>
      <c r="E20" s="53" t="s">
        <v>157</v>
      </c>
      <c r="F20" s="12" t="s">
        <v>116</v>
      </c>
      <c r="G20" s="12">
        <v>4</v>
      </c>
      <c r="H20" s="35">
        <v>20</v>
      </c>
      <c r="I20" s="7">
        <v>300000</v>
      </c>
      <c r="J20" s="14">
        <v>40040</v>
      </c>
      <c r="K20" s="15">
        <f>L20+40708+40480</f>
        <v>121228</v>
      </c>
      <c r="L20" s="15">
        <f>10010*4</f>
        <v>40040</v>
      </c>
      <c r="M20" s="15">
        <f t="shared" si="1"/>
        <v>40040</v>
      </c>
      <c r="N20" s="15">
        <v>0</v>
      </c>
      <c r="O20" s="58">
        <f t="shared" si="2"/>
        <v>0</v>
      </c>
      <c r="P20" s="39">
        <f t="shared" si="3"/>
        <v>14</v>
      </c>
      <c r="Q20" s="40">
        <f t="shared" si="4"/>
        <v>10</v>
      </c>
      <c r="R20" s="7"/>
      <c r="S20" s="6"/>
      <c r="T20" s="16"/>
      <c r="U20" s="16"/>
      <c r="V20" s="17">
        <v>10</v>
      </c>
      <c r="W20" s="5"/>
      <c r="X20" s="16"/>
      <c r="Y20" s="16"/>
      <c r="Z20" s="16"/>
      <c r="AA20" s="18"/>
      <c r="AB20" s="8">
        <f t="shared" si="5"/>
        <v>1</v>
      </c>
      <c r="AC20" s="9">
        <f t="shared" si="6"/>
        <v>0.58333333333333337</v>
      </c>
      <c r="AD20" s="10">
        <f t="shared" si="7"/>
        <v>0.58333333333333337</v>
      </c>
      <c r="AE20" s="36">
        <f>$AD$21</f>
        <v>0.46944444444444444</v>
      </c>
      <c r="AF20" s="87">
        <f t="shared" si="8"/>
        <v>15</v>
      </c>
    </row>
    <row r="21" spans="1:32" ht="31.5" customHeight="1" thickBot="1">
      <c r="A21" s="504" t="s">
        <v>34</v>
      </c>
      <c r="B21" s="505"/>
      <c r="C21" s="505"/>
      <c r="D21" s="505"/>
      <c r="E21" s="505"/>
      <c r="F21" s="505"/>
      <c r="G21" s="505"/>
      <c r="H21" s="506"/>
      <c r="I21" s="22">
        <f>SUM(I6:I20)</f>
        <v>680000</v>
      </c>
      <c r="J21" s="19">
        <f>SUM(J6:J20)</f>
        <v>85557</v>
      </c>
      <c r="K21" s="20">
        <f>SUM(K6:K20)</f>
        <v>257493</v>
      </c>
      <c r="L21" s="21">
        <f>SUM(L6:L20)</f>
        <v>73235</v>
      </c>
      <c r="M21" s="20">
        <f>SUM(M6:M20)</f>
        <v>73235</v>
      </c>
      <c r="N21" s="21">
        <f>SUM(N6:N20)</f>
        <v>0</v>
      </c>
      <c r="O21" s="41">
        <f t="shared" si="2"/>
        <v>0</v>
      </c>
      <c r="P21" s="42">
        <f>SUM(P6:P20)</f>
        <v>169</v>
      </c>
      <c r="Q21" s="43">
        <f>SUM(Q6:Q20)</f>
        <v>191</v>
      </c>
      <c r="R21" s="23">
        <f>SUM(R6:R20)</f>
        <v>28</v>
      </c>
      <c r="S21" s="24">
        <f>SUM(S6:S20)</f>
        <v>33</v>
      </c>
      <c r="T21" s="24">
        <f>SUM(T6:T20)</f>
        <v>0</v>
      </c>
      <c r="U21" s="24">
        <f>SUM(U6:U20)</f>
        <v>0</v>
      </c>
      <c r="V21" s="25">
        <f>SUM(V6:V20)</f>
        <v>34</v>
      </c>
      <c r="W21" s="26">
        <f>SUM(W6:W20)</f>
        <v>86</v>
      </c>
      <c r="X21" s="27">
        <f>SUM(X6:X20)</f>
        <v>0</v>
      </c>
      <c r="Y21" s="27">
        <f>SUM(Y6:Y20)</f>
        <v>0</v>
      </c>
      <c r="Z21" s="27">
        <f>SUM(Z6:Z20)</f>
        <v>0</v>
      </c>
      <c r="AA21" s="27">
        <f>SUM(AA6:AA20)</f>
        <v>10</v>
      </c>
      <c r="AB21" s="28">
        <f>SUM(AB6:AB20)/15</f>
        <v>0.66666666666666663</v>
      </c>
      <c r="AC21" s="4">
        <f>SUM(AC6:AC20)/15</f>
        <v>0.46944444444444444</v>
      </c>
      <c r="AD21" s="4">
        <f>SUM(AD6:AD20)/15</f>
        <v>0.46944444444444444</v>
      </c>
      <c r="AE21" s="29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1"/>
      <c r="V24" s="49"/>
      <c r="W24" s="49"/>
      <c r="X24" s="49"/>
      <c r="Y24" s="49"/>
      <c r="Z24" s="49"/>
      <c r="AA24" s="49"/>
      <c r="AB24" s="49"/>
      <c r="AC24" s="49"/>
      <c r="AD24" s="49"/>
      <c r="AE24" s="49"/>
    </row>
    <row r="25" spans="1:32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</row>
    <row r="26" spans="1:32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</row>
    <row r="27" spans="1:32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</row>
    <row r="28" spans="1:32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</row>
    <row r="29" spans="1:32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</row>
    <row r="30" spans="1:32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</row>
    <row r="31" spans="1:32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</row>
    <row r="32" spans="1: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F32" s="88"/>
    </row>
    <row r="33" spans="1:32" ht="14.25" customHeight="1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F33" s="50"/>
    </row>
    <row r="34" spans="1:32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F34" s="50"/>
    </row>
    <row r="35" spans="1:32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F35" s="50"/>
    </row>
    <row r="36" spans="1:32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F36" s="50"/>
    </row>
    <row r="37" spans="1:32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F37" s="50"/>
    </row>
    <row r="38" spans="1:32" ht="27">
      <c r="A38" s="59"/>
      <c r="B38" s="59"/>
      <c r="C38" s="59"/>
      <c r="D38" s="59"/>
      <c r="E38" s="59"/>
      <c r="F38" s="37"/>
      <c r="G38" s="37"/>
      <c r="H38" s="38"/>
      <c r="I38" s="38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F38" s="50"/>
    </row>
    <row r="39" spans="1:32" ht="29.25" customHeight="1">
      <c r="A39" s="60"/>
      <c r="B39" s="60"/>
      <c r="C39" s="61"/>
      <c r="D39" s="61"/>
      <c r="E39" s="61"/>
      <c r="F39" s="60"/>
      <c r="G39" s="60"/>
      <c r="H39" s="60"/>
      <c r="I39" s="60"/>
      <c r="J39" s="60"/>
      <c r="K39" s="60"/>
      <c r="L39" s="60"/>
      <c r="M39" s="61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F39" s="50"/>
    </row>
    <row r="40" spans="1:32" ht="29.25" customHeight="1">
      <c r="A40" s="60"/>
      <c r="B40" s="60"/>
      <c r="C40" s="62"/>
      <c r="D40" s="61"/>
      <c r="E40" s="61"/>
      <c r="F40" s="60"/>
      <c r="G40" s="60"/>
      <c r="H40" s="60"/>
      <c r="I40" s="60"/>
      <c r="J40" s="60"/>
      <c r="K40" s="60"/>
      <c r="L40" s="60"/>
      <c r="M40" s="62"/>
      <c r="N40" s="60"/>
      <c r="O40" s="60"/>
      <c r="P40" s="63"/>
      <c r="Q40" s="63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0"/>
      <c r="AC40" s="60"/>
      <c r="AD40" s="60"/>
      <c r="AF40" s="50"/>
    </row>
    <row r="41" spans="1:32" ht="29.25" customHeight="1">
      <c r="A41" s="60"/>
      <c r="B41" s="60"/>
      <c r="C41" s="62"/>
      <c r="D41" s="61"/>
      <c r="E41" s="61"/>
      <c r="F41" s="60"/>
      <c r="G41" s="60"/>
      <c r="H41" s="60"/>
      <c r="I41" s="60"/>
      <c r="J41" s="60"/>
      <c r="K41" s="60"/>
      <c r="L41" s="60"/>
      <c r="M41" s="62"/>
      <c r="N41" s="60"/>
      <c r="O41" s="60"/>
      <c r="P41" s="63"/>
      <c r="Q41" s="63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0"/>
      <c r="AC41" s="60"/>
      <c r="AD41" s="60"/>
      <c r="AF41" s="50"/>
    </row>
    <row r="42" spans="1:32" ht="29.25" customHeight="1">
      <c r="A42" s="60"/>
      <c r="B42" s="60"/>
      <c r="C42" s="62"/>
      <c r="D42" s="61"/>
      <c r="E42" s="61"/>
      <c r="F42" s="60"/>
      <c r="G42" s="60"/>
      <c r="H42" s="60"/>
      <c r="I42" s="60"/>
      <c r="J42" s="60"/>
      <c r="K42" s="60"/>
      <c r="L42" s="60"/>
      <c r="M42" s="62"/>
      <c r="N42" s="60"/>
      <c r="O42" s="60"/>
      <c r="P42" s="63"/>
      <c r="Q42" s="63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0"/>
      <c r="AC42" s="60"/>
      <c r="AD42" s="60"/>
      <c r="AF42" s="50"/>
    </row>
    <row r="43" spans="1:32" ht="29.25" customHeight="1">
      <c r="A43" s="60"/>
      <c r="B43" s="60"/>
      <c r="C43" s="62"/>
      <c r="D43" s="61"/>
      <c r="E43" s="61"/>
      <c r="F43" s="60"/>
      <c r="G43" s="60"/>
      <c r="H43" s="60"/>
      <c r="I43" s="60"/>
      <c r="J43" s="60"/>
      <c r="K43" s="60"/>
      <c r="L43" s="60"/>
      <c r="M43" s="62"/>
      <c r="N43" s="60"/>
      <c r="O43" s="60"/>
      <c r="P43" s="63"/>
      <c r="Q43" s="63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0"/>
      <c r="AC43" s="60"/>
      <c r="AD43" s="60"/>
      <c r="AF43" s="50"/>
    </row>
    <row r="44" spans="1:32" ht="29.25" customHeight="1">
      <c r="A44" s="60"/>
      <c r="B44" s="60"/>
      <c r="C44" s="62"/>
      <c r="D44" s="61"/>
      <c r="E44" s="61"/>
      <c r="F44" s="60"/>
      <c r="G44" s="60"/>
      <c r="H44" s="60"/>
      <c r="I44" s="60"/>
      <c r="J44" s="60"/>
      <c r="K44" s="60"/>
      <c r="L44" s="60"/>
      <c r="M44" s="62"/>
      <c r="N44" s="60"/>
      <c r="O44" s="60"/>
      <c r="P44" s="63"/>
      <c r="Q44" s="63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0"/>
      <c r="AC44" s="60"/>
      <c r="AD44" s="60"/>
      <c r="AF44" s="50"/>
    </row>
    <row r="45" spans="1:32" ht="29.25" customHeight="1">
      <c r="A45" s="60"/>
      <c r="B45" s="60"/>
      <c r="C45" s="62"/>
      <c r="D45" s="61"/>
      <c r="E45" s="61"/>
      <c r="F45" s="60"/>
      <c r="G45" s="60"/>
      <c r="H45" s="60"/>
      <c r="I45" s="60"/>
      <c r="J45" s="60"/>
      <c r="K45" s="60"/>
      <c r="L45" s="60"/>
      <c r="M45" s="62"/>
      <c r="N45" s="60"/>
      <c r="O45" s="60"/>
      <c r="P45" s="63"/>
      <c r="Q45" s="63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0"/>
      <c r="AC45" s="60"/>
      <c r="AD45" s="60"/>
      <c r="AF45" s="50"/>
    </row>
    <row r="46" spans="1:32" ht="29.25" customHeight="1">
      <c r="A46" s="60"/>
      <c r="B46" s="60"/>
      <c r="C46" s="62"/>
      <c r="D46" s="61"/>
      <c r="E46" s="61"/>
      <c r="F46" s="60"/>
      <c r="G46" s="60"/>
      <c r="H46" s="60"/>
      <c r="I46" s="60"/>
      <c r="J46" s="60"/>
      <c r="K46" s="60"/>
      <c r="L46" s="60"/>
      <c r="M46" s="62"/>
      <c r="N46" s="60"/>
      <c r="O46" s="60"/>
      <c r="P46" s="63"/>
      <c r="Q46" s="63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0"/>
      <c r="AC46" s="60"/>
      <c r="AD46" s="60"/>
      <c r="AF46" s="50"/>
    </row>
    <row r="47" spans="1:32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F47" s="50"/>
    </row>
    <row r="48" spans="1:32" ht="36" thickBot="1">
      <c r="A48" s="507" t="s">
        <v>45</v>
      </c>
      <c r="B48" s="507"/>
      <c r="C48" s="507"/>
      <c r="D48" s="507"/>
      <c r="E48" s="507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F48" s="50"/>
    </row>
    <row r="49" spans="1:32" ht="26.25" thickBot="1">
      <c r="A49" s="508" t="s">
        <v>678</v>
      </c>
      <c r="B49" s="509"/>
      <c r="C49" s="509"/>
      <c r="D49" s="509"/>
      <c r="E49" s="509"/>
      <c r="F49" s="509"/>
      <c r="G49" s="509"/>
      <c r="H49" s="509"/>
      <c r="I49" s="509"/>
      <c r="J49" s="509"/>
      <c r="K49" s="509"/>
      <c r="L49" s="509"/>
      <c r="M49" s="510"/>
      <c r="N49" s="511" t="s">
        <v>683</v>
      </c>
      <c r="O49" s="512"/>
      <c r="P49" s="512"/>
      <c r="Q49" s="512"/>
      <c r="R49" s="512"/>
      <c r="S49" s="512"/>
      <c r="T49" s="512"/>
      <c r="U49" s="512"/>
      <c r="V49" s="512"/>
      <c r="W49" s="512"/>
      <c r="X49" s="512"/>
      <c r="Y49" s="512"/>
      <c r="Z49" s="512"/>
      <c r="AA49" s="512"/>
      <c r="AB49" s="512"/>
      <c r="AC49" s="512"/>
      <c r="AD49" s="513"/>
    </row>
    <row r="50" spans="1:32" ht="27" customHeight="1">
      <c r="A50" s="514" t="s">
        <v>2</v>
      </c>
      <c r="B50" s="515"/>
      <c r="C50" s="420" t="s">
        <v>46</v>
      </c>
      <c r="D50" s="420" t="s">
        <v>47</v>
      </c>
      <c r="E50" s="420" t="s">
        <v>108</v>
      </c>
      <c r="F50" s="515" t="s">
        <v>107</v>
      </c>
      <c r="G50" s="515"/>
      <c r="H50" s="515"/>
      <c r="I50" s="515"/>
      <c r="J50" s="515"/>
      <c r="K50" s="515"/>
      <c r="L50" s="515"/>
      <c r="M50" s="516"/>
      <c r="N50" s="67" t="s">
        <v>112</v>
      </c>
      <c r="O50" s="420" t="s">
        <v>46</v>
      </c>
      <c r="P50" s="517" t="s">
        <v>47</v>
      </c>
      <c r="Q50" s="518"/>
      <c r="R50" s="517" t="s">
        <v>38</v>
      </c>
      <c r="S50" s="519"/>
      <c r="T50" s="519"/>
      <c r="U50" s="518"/>
      <c r="V50" s="517" t="s">
        <v>48</v>
      </c>
      <c r="W50" s="519"/>
      <c r="X50" s="519"/>
      <c r="Y50" s="519"/>
      <c r="Z50" s="519"/>
      <c r="AA50" s="519"/>
      <c r="AB50" s="519"/>
      <c r="AC50" s="519"/>
      <c r="AD50" s="520"/>
    </row>
    <row r="51" spans="1:32" ht="27" customHeight="1">
      <c r="A51" s="485" t="s">
        <v>114</v>
      </c>
      <c r="B51" s="486"/>
      <c r="C51" s="422" t="s">
        <v>144</v>
      </c>
      <c r="D51" s="422" t="s">
        <v>401</v>
      </c>
      <c r="E51" s="422" t="s">
        <v>421</v>
      </c>
      <c r="F51" s="487" t="s">
        <v>668</v>
      </c>
      <c r="G51" s="488"/>
      <c r="H51" s="488"/>
      <c r="I51" s="488"/>
      <c r="J51" s="488"/>
      <c r="K51" s="488"/>
      <c r="L51" s="488"/>
      <c r="M51" s="489"/>
      <c r="N51" s="417" t="s">
        <v>114</v>
      </c>
      <c r="O51" s="415" t="s">
        <v>144</v>
      </c>
      <c r="P51" s="499" t="s">
        <v>117</v>
      </c>
      <c r="Q51" s="500"/>
      <c r="R51" s="499" t="s">
        <v>419</v>
      </c>
      <c r="S51" s="501"/>
      <c r="T51" s="501"/>
      <c r="U51" s="500"/>
      <c r="V51" s="487" t="s">
        <v>668</v>
      </c>
      <c r="W51" s="488"/>
      <c r="X51" s="488"/>
      <c r="Y51" s="488"/>
      <c r="Z51" s="488"/>
      <c r="AA51" s="488"/>
      <c r="AB51" s="488"/>
      <c r="AC51" s="488"/>
      <c r="AD51" s="489"/>
    </row>
    <row r="52" spans="1:32" ht="27" customHeight="1">
      <c r="A52" s="485" t="s">
        <v>130</v>
      </c>
      <c r="B52" s="486"/>
      <c r="C52" s="418" t="s">
        <v>149</v>
      </c>
      <c r="D52" s="418" t="s">
        <v>671</v>
      </c>
      <c r="E52" s="418" t="s">
        <v>669</v>
      </c>
      <c r="F52" s="487" t="s">
        <v>120</v>
      </c>
      <c r="G52" s="488"/>
      <c r="H52" s="488"/>
      <c r="I52" s="488"/>
      <c r="J52" s="488"/>
      <c r="K52" s="488"/>
      <c r="L52" s="488"/>
      <c r="M52" s="489"/>
      <c r="N52" s="417" t="s">
        <v>686</v>
      </c>
      <c r="O52" s="415" t="s">
        <v>687</v>
      </c>
      <c r="P52" s="499" t="s">
        <v>117</v>
      </c>
      <c r="Q52" s="500"/>
      <c r="R52" s="486" t="s">
        <v>684</v>
      </c>
      <c r="S52" s="486"/>
      <c r="T52" s="486"/>
      <c r="U52" s="486"/>
      <c r="V52" s="476" t="s">
        <v>685</v>
      </c>
      <c r="W52" s="476"/>
      <c r="X52" s="476"/>
      <c r="Y52" s="476"/>
      <c r="Z52" s="476"/>
      <c r="AA52" s="476"/>
      <c r="AB52" s="476"/>
      <c r="AC52" s="476"/>
      <c r="AD52" s="490"/>
    </row>
    <row r="53" spans="1:32" ht="27" customHeight="1">
      <c r="A53" s="485" t="s">
        <v>124</v>
      </c>
      <c r="B53" s="486"/>
      <c r="C53" s="422" t="s">
        <v>202</v>
      </c>
      <c r="D53" s="422" t="s">
        <v>183</v>
      </c>
      <c r="E53" s="422" t="s">
        <v>408</v>
      </c>
      <c r="F53" s="487" t="s">
        <v>679</v>
      </c>
      <c r="G53" s="488"/>
      <c r="H53" s="488"/>
      <c r="I53" s="488"/>
      <c r="J53" s="488"/>
      <c r="K53" s="488"/>
      <c r="L53" s="488"/>
      <c r="M53" s="489"/>
      <c r="N53" s="417" t="s">
        <v>688</v>
      </c>
      <c r="O53" s="415" t="s">
        <v>689</v>
      </c>
      <c r="P53" s="499" t="s">
        <v>690</v>
      </c>
      <c r="Q53" s="500"/>
      <c r="R53" s="499" t="s">
        <v>691</v>
      </c>
      <c r="S53" s="501"/>
      <c r="T53" s="501"/>
      <c r="U53" s="500"/>
      <c r="V53" s="476" t="s">
        <v>693</v>
      </c>
      <c r="W53" s="476"/>
      <c r="X53" s="476"/>
      <c r="Y53" s="476"/>
      <c r="Z53" s="476"/>
      <c r="AA53" s="476"/>
      <c r="AB53" s="476"/>
      <c r="AC53" s="476"/>
      <c r="AD53" s="490"/>
    </row>
    <row r="54" spans="1:32" ht="27" customHeight="1">
      <c r="A54" s="485" t="s">
        <v>114</v>
      </c>
      <c r="B54" s="486"/>
      <c r="C54" s="422" t="s">
        <v>143</v>
      </c>
      <c r="D54" s="422" t="s">
        <v>122</v>
      </c>
      <c r="E54" s="422" t="s">
        <v>576</v>
      </c>
      <c r="F54" s="487" t="s">
        <v>680</v>
      </c>
      <c r="G54" s="488"/>
      <c r="H54" s="488"/>
      <c r="I54" s="488"/>
      <c r="J54" s="488"/>
      <c r="K54" s="488"/>
      <c r="L54" s="488"/>
      <c r="M54" s="489"/>
      <c r="N54" s="417" t="s">
        <v>686</v>
      </c>
      <c r="O54" s="415" t="s">
        <v>695</v>
      </c>
      <c r="P54" s="499" t="s">
        <v>117</v>
      </c>
      <c r="Q54" s="500"/>
      <c r="R54" s="486" t="s">
        <v>694</v>
      </c>
      <c r="S54" s="486"/>
      <c r="T54" s="486"/>
      <c r="U54" s="486"/>
      <c r="V54" s="476" t="s">
        <v>685</v>
      </c>
      <c r="W54" s="476"/>
      <c r="X54" s="476"/>
      <c r="Y54" s="476"/>
      <c r="Z54" s="476"/>
      <c r="AA54" s="476"/>
      <c r="AB54" s="476"/>
      <c r="AC54" s="476"/>
      <c r="AD54" s="490"/>
    </row>
    <row r="55" spans="1:32" ht="27" customHeight="1">
      <c r="A55" s="485" t="s">
        <v>114</v>
      </c>
      <c r="B55" s="486"/>
      <c r="C55" s="418" t="s">
        <v>211</v>
      </c>
      <c r="D55" s="418" t="s">
        <v>117</v>
      </c>
      <c r="E55" s="418" t="s">
        <v>118</v>
      </c>
      <c r="F55" s="487" t="s">
        <v>681</v>
      </c>
      <c r="G55" s="488"/>
      <c r="H55" s="488"/>
      <c r="I55" s="488"/>
      <c r="J55" s="488"/>
      <c r="K55" s="488"/>
      <c r="L55" s="488"/>
      <c r="M55" s="489"/>
      <c r="N55" s="417"/>
      <c r="O55" s="415"/>
      <c r="P55" s="499"/>
      <c r="Q55" s="500"/>
      <c r="R55" s="499"/>
      <c r="S55" s="501"/>
      <c r="T55" s="501"/>
      <c r="U55" s="500"/>
      <c r="V55" s="476"/>
      <c r="W55" s="476"/>
      <c r="X55" s="476"/>
      <c r="Y55" s="476"/>
      <c r="Z55" s="476"/>
      <c r="AA55" s="476"/>
      <c r="AB55" s="476"/>
      <c r="AC55" s="476"/>
      <c r="AD55" s="490"/>
    </row>
    <row r="56" spans="1:32" ht="27" customHeight="1">
      <c r="A56" s="485" t="s">
        <v>114</v>
      </c>
      <c r="B56" s="486"/>
      <c r="C56" s="418" t="s">
        <v>660</v>
      </c>
      <c r="D56" s="418" t="s">
        <v>661</v>
      </c>
      <c r="E56" s="418" t="s">
        <v>662</v>
      </c>
      <c r="F56" s="487" t="s">
        <v>682</v>
      </c>
      <c r="G56" s="488"/>
      <c r="H56" s="488"/>
      <c r="I56" s="488"/>
      <c r="J56" s="488"/>
      <c r="K56" s="488"/>
      <c r="L56" s="488"/>
      <c r="M56" s="489"/>
      <c r="N56" s="417"/>
      <c r="O56" s="415"/>
      <c r="P56" s="499"/>
      <c r="Q56" s="500"/>
      <c r="R56" s="486"/>
      <c r="S56" s="486"/>
      <c r="T56" s="486"/>
      <c r="U56" s="486"/>
      <c r="V56" s="476"/>
      <c r="W56" s="476"/>
      <c r="X56" s="476"/>
      <c r="Y56" s="476"/>
      <c r="Z56" s="476"/>
      <c r="AA56" s="476"/>
      <c r="AB56" s="476"/>
      <c r="AC56" s="476"/>
      <c r="AD56" s="490"/>
    </row>
    <row r="57" spans="1:32" ht="27" customHeight="1">
      <c r="A57" s="485" t="s">
        <v>688</v>
      </c>
      <c r="B57" s="486"/>
      <c r="C57" s="418" t="s">
        <v>689</v>
      </c>
      <c r="D57" s="418" t="s">
        <v>690</v>
      </c>
      <c r="E57" s="418" t="s">
        <v>691</v>
      </c>
      <c r="F57" s="487" t="s">
        <v>692</v>
      </c>
      <c r="G57" s="488"/>
      <c r="H57" s="488"/>
      <c r="I57" s="488"/>
      <c r="J57" s="488"/>
      <c r="K57" s="488"/>
      <c r="L57" s="488"/>
      <c r="M57" s="489"/>
      <c r="N57" s="417"/>
      <c r="O57" s="415"/>
      <c r="P57" s="499"/>
      <c r="Q57" s="500"/>
      <c r="R57" s="486"/>
      <c r="S57" s="486"/>
      <c r="T57" s="486"/>
      <c r="U57" s="486"/>
      <c r="V57" s="476"/>
      <c r="W57" s="476"/>
      <c r="X57" s="476"/>
      <c r="Y57" s="476"/>
      <c r="Z57" s="476"/>
      <c r="AA57" s="476"/>
      <c r="AB57" s="476"/>
      <c r="AC57" s="476"/>
      <c r="AD57" s="490"/>
    </row>
    <row r="58" spans="1:32" ht="27" customHeight="1">
      <c r="A58" s="485"/>
      <c r="B58" s="486"/>
      <c r="C58" s="418"/>
      <c r="D58" s="418"/>
      <c r="E58" s="418"/>
      <c r="F58" s="487"/>
      <c r="G58" s="488"/>
      <c r="H58" s="488"/>
      <c r="I58" s="488"/>
      <c r="J58" s="488"/>
      <c r="K58" s="488"/>
      <c r="L58" s="488"/>
      <c r="M58" s="489"/>
      <c r="N58" s="417"/>
      <c r="O58" s="415"/>
      <c r="P58" s="499"/>
      <c r="Q58" s="500"/>
      <c r="R58" s="486"/>
      <c r="S58" s="486"/>
      <c r="T58" s="486"/>
      <c r="U58" s="486"/>
      <c r="V58" s="476"/>
      <c r="W58" s="476"/>
      <c r="X58" s="476"/>
      <c r="Y58" s="476"/>
      <c r="Z58" s="476"/>
      <c r="AA58" s="476"/>
      <c r="AB58" s="476"/>
      <c r="AC58" s="476"/>
      <c r="AD58" s="490"/>
    </row>
    <row r="59" spans="1:32" ht="27" customHeight="1">
      <c r="A59" s="485"/>
      <c r="B59" s="486"/>
      <c r="C59" s="418"/>
      <c r="D59" s="418"/>
      <c r="E59" s="418"/>
      <c r="F59" s="487"/>
      <c r="G59" s="488"/>
      <c r="H59" s="488"/>
      <c r="I59" s="488"/>
      <c r="J59" s="488"/>
      <c r="K59" s="488"/>
      <c r="L59" s="488"/>
      <c r="M59" s="489"/>
      <c r="N59" s="417"/>
      <c r="O59" s="415"/>
      <c r="P59" s="486"/>
      <c r="Q59" s="486"/>
      <c r="R59" s="486"/>
      <c r="S59" s="486"/>
      <c r="T59" s="486"/>
      <c r="U59" s="486"/>
      <c r="V59" s="476"/>
      <c r="W59" s="476"/>
      <c r="X59" s="476"/>
      <c r="Y59" s="476"/>
      <c r="Z59" s="476"/>
      <c r="AA59" s="476"/>
      <c r="AB59" s="476"/>
      <c r="AC59" s="476"/>
      <c r="AD59" s="490"/>
      <c r="AF59" s="87">
        <f>8*3000</f>
        <v>24000</v>
      </c>
    </row>
    <row r="60" spans="1:32" ht="27" customHeight="1" thickBot="1">
      <c r="A60" s="491"/>
      <c r="B60" s="492"/>
      <c r="C60" s="419"/>
      <c r="D60" s="419"/>
      <c r="E60" s="419"/>
      <c r="F60" s="493"/>
      <c r="G60" s="494"/>
      <c r="H60" s="494"/>
      <c r="I60" s="494"/>
      <c r="J60" s="494"/>
      <c r="K60" s="494"/>
      <c r="L60" s="494"/>
      <c r="M60" s="495"/>
      <c r="N60" s="124"/>
      <c r="O60" s="114"/>
      <c r="P60" s="496"/>
      <c r="Q60" s="496"/>
      <c r="R60" s="496"/>
      <c r="S60" s="496"/>
      <c r="T60" s="496"/>
      <c r="U60" s="496"/>
      <c r="V60" s="497"/>
      <c r="W60" s="497"/>
      <c r="X60" s="497"/>
      <c r="Y60" s="497"/>
      <c r="Z60" s="497"/>
      <c r="AA60" s="497"/>
      <c r="AB60" s="497"/>
      <c r="AC60" s="497"/>
      <c r="AD60" s="498"/>
      <c r="AF60" s="87">
        <f>16*3000</f>
        <v>48000</v>
      </c>
    </row>
    <row r="61" spans="1:32" ht="27.75" thickBot="1">
      <c r="A61" s="483" t="s">
        <v>696</v>
      </c>
      <c r="B61" s="483"/>
      <c r="C61" s="483"/>
      <c r="D61" s="483"/>
      <c r="E61" s="483"/>
      <c r="F61" s="37"/>
      <c r="G61" s="37"/>
      <c r="H61" s="38"/>
      <c r="I61" s="38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F61" s="87">
        <v>24000</v>
      </c>
    </row>
    <row r="62" spans="1:32" ht="29.25" customHeight="1" thickBot="1">
      <c r="A62" s="484" t="s">
        <v>113</v>
      </c>
      <c r="B62" s="481"/>
      <c r="C62" s="416" t="s">
        <v>2</v>
      </c>
      <c r="D62" s="416" t="s">
        <v>37</v>
      </c>
      <c r="E62" s="416" t="s">
        <v>3</v>
      </c>
      <c r="F62" s="481" t="s">
        <v>110</v>
      </c>
      <c r="G62" s="481"/>
      <c r="H62" s="481"/>
      <c r="I62" s="481"/>
      <c r="J62" s="481"/>
      <c r="K62" s="481" t="s">
        <v>39</v>
      </c>
      <c r="L62" s="481"/>
      <c r="M62" s="416" t="s">
        <v>40</v>
      </c>
      <c r="N62" s="481" t="s">
        <v>41</v>
      </c>
      <c r="O62" s="481"/>
      <c r="P62" s="478" t="s">
        <v>42</v>
      </c>
      <c r="Q62" s="480"/>
      <c r="R62" s="478" t="s">
        <v>43</v>
      </c>
      <c r="S62" s="479"/>
      <c r="T62" s="479"/>
      <c r="U62" s="479"/>
      <c r="V62" s="479"/>
      <c r="W62" s="479"/>
      <c r="X62" s="479"/>
      <c r="Y62" s="479"/>
      <c r="Z62" s="479"/>
      <c r="AA62" s="480"/>
      <c r="AB62" s="481" t="s">
        <v>44</v>
      </c>
      <c r="AC62" s="481"/>
      <c r="AD62" s="482"/>
      <c r="AF62" s="87">
        <f>SUM(AF59:AF61)</f>
        <v>96000</v>
      </c>
    </row>
    <row r="63" spans="1:32" ht="25.5" customHeight="1">
      <c r="A63" s="472">
        <v>1</v>
      </c>
      <c r="B63" s="473"/>
      <c r="C63" s="117" t="s">
        <v>686</v>
      </c>
      <c r="D63" s="411"/>
      <c r="E63" s="414" t="s">
        <v>697</v>
      </c>
      <c r="F63" s="543" t="s">
        <v>698</v>
      </c>
      <c r="G63" s="544"/>
      <c r="H63" s="544"/>
      <c r="I63" s="544"/>
      <c r="J63" s="545"/>
      <c r="K63" s="546" t="s">
        <v>699</v>
      </c>
      <c r="L63" s="473"/>
      <c r="M63" s="51" t="s">
        <v>700</v>
      </c>
      <c r="N63" s="547" t="s">
        <v>701</v>
      </c>
      <c r="O63" s="548"/>
      <c r="P63" s="549">
        <v>50</v>
      </c>
      <c r="Q63" s="550"/>
      <c r="R63" s="487"/>
      <c r="S63" s="488"/>
      <c r="T63" s="488"/>
      <c r="U63" s="488"/>
      <c r="V63" s="488"/>
      <c r="W63" s="488"/>
      <c r="X63" s="488"/>
      <c r="Y63" s="488"/>
      <c r="Z63" s="488"/>
      <c r="AA63" s="551"/>
      <c r="AB63" s="546"/>
      <c r="AC63" s="552"/>
      <c r="AD63" s="553"/>
      <c r="AF63" s="50"/>
    </row>
    <row r="64" spans="1:32" ht="25.5" customHeight="1">
      <c r="A64" s="472">
        <v>2</v>
      </c>
      <c r="B64" s="473"/>
      <c r="C64" s="117" t="s">
        <v>686</v>
      </c>
      <c r="D64" s="411"/>
      <c r="E64" s="414" t="s">
        <v>702</v>
      </c>
      <c r="F64" s="543" t="s">
        <v>703</v>
      </c>
      <c r="G64" s="544"/>
      <c r="H64" s="544"/>
      <c r="I64" s="544"/>
      <c r="J64" s="545"/>
      <c r="K64" s="546" t="s">
        <v>704</v>
      </c>
      <c r="L64" s="473"/>
      <c r="M64" s="51" t="s">
        <v>700</v>
      </c>
      <c r="N64" s="547" t="s">
        <v>705</v>
      </c>
      <c r="O64" s="548"/>
      <c r="P64" s="549">
        <v>50</v>
      </c>
      <c r="Q64" s="550"/>
      <c r="R64" s="476"/>
      <c r="S64" s="476"/>
      <c r="T64" s="476"/>
      <c r="U64" s="476"/>
      <c r="V64" s="476"/>
      <c r="W64" s="476"/>
      <c r="X64" s="476"/>
      <c r="Y64" s="476"/>
      <c r="Z64" s="476"/>
      <c r="AA64" s="476"/>
      <c r="AB64" s="466"/>
      <c r="AC64" s="466"/>
      <c r="AD64" s="467"/>
      <c r="AF64" s="50"/>
    </row>
    <row r="65" spans="1:32" ht="25.5" customHeight="1">
      <c r="A65" s="472">
        <v>3</v>
      </c>
      <c r="B65" s="473"/>
      <c r="C65" s="117" t="s">
        <v>686</v>
      </c>
      <c r="D65" s="424"/>
      <c r="E65" s="423" t="s">
        <v>706</v>
      </c>
      <c r="F65" s="543" t="s">
        <v>707</v>
      </c>
      <c r="G65" s="544"/>
      <c r="H65" s="544"/>
      <c r="I65" s="544"/>
      <c r="J65" s="545"/>
      <c r="K65" s="546" t="s">
        <v>704</v>
      </c>
      <c r="L65" s="473"/>
      <c r="M65" s="51" t="s">
        <v>700</v>
      </c>
      <c r="N65" s="547" t="s">
        <v>705</v>
      </c>
      <c r="O65" s="548"/>
      <c r="P65" s="549">
        <v>50</v>
      </c>
      <c r="Q65" s="550"/>
      <c r="R65" s="476"/>
      <c r="S65" s="476"/>
      <c r="T65" s="476"/>
      <c r="U65" s="476"/>
      <c r="V65" s="476"/>
      <c r="W65" s="476"/>
      <c r="X65" s="476"/>
      <c r="Y65" s="476"/>
      <c r="Z65" s="476"/>
      <c r="AA65" s="476"/>
      <c r="AB65" s="466"/>
      <c r="AC65" s="466"/>
      <c r="AD65" s="467"/>
      <c r="AF65" s="50"/>
    </row>
    <row r="66" spans="1:32" ht="25.5" customHeight="1">
      <c r="A66" s="472">
        <v>4</v>
      </c>
      <c r="B66" s="473"/>
      <c r="C66" s="117"/>
      <c r="D66" s="411"/>
      <c r="E66" s="414"/>
      <c r="F66" s="474"/>
      <c r="G66" s="466"/>
      <c r="H66" s="466"/>
      <c r="I66" s="466"/>
      <c r="J66" s="466"/>
      <c r="K66" s="466"/>
      <c r="L66" s="466"/>
      <c r="M66" s="51"/>
      <c r="N66" s="477"/>
      <c r="O66" s="477"/>
      <c r="P66" s="475"/>
      <c r="Q66" s="475"/>
      <c r="R66" s="476"/>
      <c r="S66" s="476"/>
      <c r="T66" s="476"/>
      <c r="U66" s="476"/>
      <c r="V66" s="476"/>
      <c r="W66" s="476"/>
      <c r="X66" s="476"/>
      <c r="Y66" s="476"/>
      <c r="Z66" s="476"/>
      <c r="AA66" s="476"/>
      <c r="AB66" s="466"/>
      <c r="AC66" s="466"/>
      <c r="AD66" s="467"/>
      <c r="AF66" s="50"/>
    </row>
    <row r="67" spans="1:32" ht="25.5" customHeight="1">
      <c r="A67" s="472">
        <v>5</v>
      </c>
      <c r="B67" s="473"/>
      <c r="C67" s="117"/>
      <c r="D67" s="411"/>
      <c r="E67" s="414"/>
      <c r="F67" s="474"/>
      <c r="G67" s="466"/>
      <c r="H67" s="466"/>
      <c r="I67" s="466"/>
      <c r="J67" s="466"/>
      <c r="K67" s="466"/>
      <c r="L67" s="466"/>
      <c r="M67" s="51"/>
      <c r="N67" s="477"/>
      <c r="O67" s="477"/>
      <c r="P67" s="475"/>
      <c r="Q67" s="475"/>
      <c r="R67" s="476"/>
      <c r="S67" s="476"/>
      <c r="T67" s="476"/>
      <c r="U67" s="476"/>
      <c r="V67" s="476"/>
      <c r="W67" s="476"/>
      <c r="X67" s="476"/>
      <c r="Y67" s="476"/>
      <c r="Z67" s="476"/>
      <c r="AA67" s="476"/>
      <c r="AB67" s="466"/>
      <c r="AC67" s="466"/>
      <c r="AD67" s="467"/>
      <c r="AF67" s="50"/>
    </row>
    <row r="68" spans="1:32" ht="25.5" customHeight="1">
      <c r="A68" s="472">
        <v>6</v>
      </c>
      <c r="B68" s="473"/>
      <c r="C68" s="117"/>
      <c r="D68" s="411"/>
      <c r="E68" s="414"/>
      <c r="F68" s="474"/>
      <c r="G68" s="466"/>
      <c r="H68" s="466"/>
      <c r="I68" s="466"/>
      <c r="J68" s="466"/>
      <c r="K68" s="466"/>
      <c r="L68" s="466"/>
      <c r="M68" s="51"/>
      <c r="N68" s="477"/>
      <c r="O68" s="477"/>
      <c r="P68" s="475"/>
      <c r="Q68" s="475"/>
      <c r="R68" s="476"/>
      <c r="S68" s="476"/>
      <c r="T68" s="476"/>
      <c r="U68" s="476"/>
      <c r="V68" s="476"/>
      <c r="W68" s="476"/>
      <c r="X68" s="476"/>
      <c r="Y68" s="476"/>
      <c r="Z68" s="476"/>
      <c r="AA68" s="476"/>
      <c r="AB68" s="466"/>
      <c r="AC68" s="466"/>
      <c r="AD68" s="467"/>
      <c r="AF68" s="50"/>
    </row>
    <row r="69" spans="1:32" ht="25.5" customHeight="1">
      <c r="A69" s="472">
        <v>7</v>
      </c>
      <c r="B69" s="473"/>
      <c r="C69" s="117"/>
      <c r="D69" s="411"/>
      <c r="E69" s="414"/>
      <c r="F69" s="474"/>
      <c r="G69" s="466"/>
      <c r="H69" s="466"/>
      <c r="I69" s="466"/>
      <c r="J69" s="466"/>
      <c r="K69" s="466"/>
      <c r="L69" s="466"/>
      <c r="M69" s="51"/>
      <c r="N69" s="477"/>
      <c r="O69" s="477"/>
      <c r="P69" s="475"/>
      <c r="Q69" s="475"/>
      <c r="R69" s="476"/>
      <c r="S69" s="476"/>
      <c r="T69" s="476"/>
      <c r="U69" s="476"/>
      <c r="V69" s="476"/>
      <c r="W69" s="476"/>
      <c r="X69" s="476"/>
      <c r="Y69" s="476"/>
      <c r="Z69" s="476"/>
      <c r="AA69" s="476"/>
      <c r="AB69" s="466"/>
      <c r="AC69" s="466"/>
      <c r="AD69" s="467"/>
      <c r="AF69" s="50"/>
    </row>
    <row r="70" spans="1:32" ht="25.5" customHeight="1">
      <c r="A70" s="472">
        <v>8</v>
      </c>
      <c r="B70" s="473"/>
      <c r="C70" s="117"/>
      <c r="D70" s="411"/>
      <c r="E70" s="414"/>
      <c r="F70" s="474"/>
      <c r="G70" s="466"/>
      <c r="H70" s="466"/>
      <c r="I70" s="466"/>
      <c r="J70" s="466"/>
      <c r="K70" s="466"/>
      <c r="L70" s="466"/>
      <c r="M70" s="51"/>
      <c r="N70" s="477"/>
      <c r="O70" s="477"/>
      <c r="P70" s="475"/>
      <c r="Q70" s="475"/>
      <c r="R70" s="476"/>
      <c r="S70" s="476"/>
      <c r="T70" s="476"/>
      <c r="U70" s="476"/>
      <c r="V70" s="476"/>
      <c r="W70" s="476"/>
      <c r="X70" s="476"/>
      <c r="Y70" s="476"/>
      <c r="Z70" s="476"/>
      <c r="AA70" s="476"/>
      <c r="AB70" s="466"/>
      <c r="AC70" s="466"/>
      <c r="AD70" s="467"/>
      <c r="AF70" s="50"/>
    </row>
    <row r="71" spans="1:32" ht="26.25" customHeight="1" thickBot="1">
      <c r="A71" s="446" t="s">
        <v>708</v>
      </c>
      <c r="B71" s="446"/>
      <c r="C71" s="446"/>
      <c r="D71" s="446"/>
      <c r="E71" s="446"/>
      <c r="F71" s="37"/>
      <c r="G71" s="37"/>
      <c r="H71" s="38"/>
      <c r="I71" s="38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F71" s="50"/>
    </row>
    <row r="72" spans="1:32" ht="23.25" thickBot="1">
      <c r="A72" s="447" t="s">
        <v>113</v>
      </c>
      <c r="B72" s="448"/>
      <c r="C72" s="413" t="s">
        <v>2</v>
      </c>
      <c r="D72" s="413" t="s">
        <v>37</v>
      </c>
      <c r="E72" s="413" t="s">
        <v>3</v>
      </c>
      <c r="F72" s="448" t="s">
        <v>38</v>
      </c>
      <c r="G72" s="448"/>
      <c r="H72" s="448"/>
      <c r="I72" s="448"/>
      <c r="J72" s="448"/>
      <c r="K72" s="468" t="s">
        <v>58</v>
      </c>
      <c r="L72" s="469"/>
      <c r="M72" s="469"/>
      <c r="N72" s="469"/>
      <c r="O72" s="469"/>
      <c r="P72" s="469"/>
      <c r="Q72" s="469"/>
      <c r="R72" s="469"/>
      <c r="S72" s="470"/>
      <c r="T72" s="448" t="s">
        <v>49</v>
      </c>
      <c r="U72" s="448"/>
      <c r="V72" s="468" t="s">
        <v>50</v>
      </c>
      <c r="W72" s="470"/>
      <c r="X72" s="469" t="s">
        <v>51</v>
      </c>
      <c r="Y72" s="469"/>
      <c r="Z72" s="469"/>
      <c r="AA72" s="469"/>
      <c r="AB72" s="469"/>
      <c r="AC72" s="469"/>
      <c r="AD72" s="471"/>
      <c r="AF72" s="50"/>
    </row>
    <row r="73" spans="1:32" ht="33.75" customHeight="1">
      <c r="A73" s="440">
        <v>1</v>
      </c>
      <c r="B73" s="441"/>
      <c r="C73" s="412" t="s">
        <v>114</v>
      </c>
      <c r="D73" s="412"/>
      <c r="E73" s="65" t="s">
        <v>119</v>
      </c>
      <c r="F73" s="455" t="s">
        <v>118</v>
      </c>
      <c r="G73" s="456"/>
      <c r="H73" s="456"/>
      <c r="I73" s="456"/>
      <c r="J73" s="457"/>
      <c r="K73" s="458" t="s">
        <v>133</v>
      </c>
      <c r="L73" s="459"/>
      <c r="M73" s="459"/>
      <c r="N73" s="459"/>
      <c r="O73" s="459"/>
      <c r="P73" s="459"/>
      <c r="Q73" s="459"/>
      <c r="R73" s="459"/>
      <c r="S73" s="460"/>
      <c r="T73" s="461">
        <v>43675</v>
      </c>
      <c r="U73" s="462"/>
      <c r="V73" s="463"/>
      <c r="W73" s="463"/>
      <c r="X73" s="464"/>
      <c r="Y73" s="464"/>
      <c r="Z73" s="464"/>
      <c r="AA73" s="464"/>
      <c r="AB73" s="464"/>
      <c r="AC73" s="464"/>
      <c r="AD73" s="465"/>
      <c r="AF73" s="50"/>
    </row>
    <row r="74" spans="1:32" ht="30" customHeight="1">
      <c r="A74" s="433">
        <f>A73+1</f>
        <v>2</v>
      </c>
      <c r="B74" s="434"/>
      <c r="C74" s="411"/>
      <c r="D74" s="411"/>
      <c r="E74" s="32"/>
      <c r="F74" s="434"/>
      <c r="G74" s="434"/>
      <c r="H74" s="434"/>
      <c r="I74" s="434"/>
      <c r="J74" s="434"/>
      <c r="K74" s="449"/>
      <c r="L74" s="450"/>
      <c r="M74" s="450"/>
      <c r="N74" s="450"/>
      <c r="O74" s="450"/>
      <c r="P74" s="450"/>
      <c r="Q74" s="450"/>
      <c r="R74" s="450"/>
      <c r="S74" s="451"/>
      <c r="T74" s="452"/>
      <c r="U74" s="452"/>
      <c r="V74" s="452"/>
      <c r="W74" s="452"/>
      <c r="X74" s="453"/>
      <c r="Y74" s="453"/>
      <c r="Z74" s="453"/>
      <c r="AA74" s="453"/>
      <c r="AB74" s="453"/>
      <c r="AC74" s="453"/>
      <c r="AD74" s="454"/>
      <c r="AF74" s="50"/>
    </row>
    <row r="75" spans="1:32" ht="30" customHeight="1">
      <c r="A75" s="433">
        <f t="shared" ref="A75:A81" si="10">A74+1</f>
        <v>3</v>
      </c>
      <c r="B75" s="434"/>
      <c r="C75" s="411"/>
      <c r="D75" s="411"/>
      <c r="E75" s="32"/>
      <c r="F75" s="434"/>
      <c r="G75" s="434"/>
      <c r="H75" s="434"/>
      <c r="I75" s="434"/>
      <c r="J75" s="434"/>
      <c r="K75" s="449"/>
      <c r="L75" s="450"/>
      <c r="M75" s="450"/>
      <c r="N75" s="450"/>
      <c r="O75" s="450"/>
      <c r="P75" s="450"/>
      <c r="Q75" s="450"/>
      <c r="R75" s="450"/>
      <c r="S75" s="451"/>
      <c r="T75" s="452"/>
      <c r="U75" s="452"/>
      <c r="V75" s="452"/>
      <c r="W75" s="452"/>
      <c r="X75" s="453"/>
      <c r="Y75" s="453"/>
      <c r="Z75" s="453"/>
      <c r="AA75" s="453"/>
      <c r="AB75" s="453"/>
      <c r="AC75" s="453"/>
      <c r="AD75" s="454"/>
      <c r="AF75" s="50"/>
    </row>
    <row r="76" spans="1:32" ht="30" customHeight="1">
      <c r="A76" s="433">
        <f t="shared" si="10"/>
        <v>4</v>
      </c>
      <c r="B76" s="434"/>
      <c r="C76" s="411"/>
      <c r="D76" s="411"/>
      <c r="E76" s="32"/>
      <c r="F76" s="434"/>
      <c r="G76" s="434"/>
      <c r="H76" s="434"/>
      <c r="I76" s="434"/>
      <c r="J76" s="434"/>
      <c r="K76" s="449"/>
      <c r="L76" s="450"/>
      <c r="M76" s="450"/>
      <c r="N76" s="450"/>
      <c r="O76" s="450"/>
      <c r="P76" s="450"/>
      <c r="Q76" s="450"/>
      <c r="R76" s="450"/>
      <c r="S76" s="451"/>
      <c r="T76" s="452"/>
      <c r="U76" s="452"/>
      <c r="V76" s="452"/>
      <c r="W76" s="452"/>
      <c r="X76" s="453"/>
      <c r="Y76" s="453"/>
      <c r="Z76" s="453"/>
      <c r="AA76" s="453"/>
      <c r="AB76" s="453"/>
      <c r="AC76" s="453"/>
      <c r="AD76" s="454"/>
      <c r="AF76" s="50"/>
    </row>
    <row r="77" spans="1:32" ht="30" customHeight="1">
      <c r="A77" s="433">
        <f t="shared" si="10"/>
        <v>5</v>
      </c>
      <c r="B77" s="434"/>
      <c r="C77" s="411"/>
      <c r="D77" s="411"/>
      <c r="E77" s="32"/>
      <c r="F77" s="434"/>
      <c r="G77" s="434"/>
      <c r="H77" s="434"/>
      <c r="I77" s="434"/>
      <c r="J77" s="434"/>
      <c r="K77" s="449"/>
      <c r="L77" s="450"/>
      <c r="M77" s="450"/>
      <c r="N77" s="450"/>
      <c r="O77" s="450"/>
      <c r="P77" s="450"/>
      <c r="Q77" s="450"/>
      <c r="R77" s="450"/>
      <c r="S77" s="451"/>
      <c r="T77" s="452"/>
      <c r="U77" s="452"/>
      <c r="V77" s="452"/>
      <c r="W77" s="452"/>
      <c r="X77" s="453"/>
      <c r="Y77" s="453"/>
      <c r="Z77" s="453"/>
      <c r="AA77" s="453"/>
      <c r="AB77" s="453"/>
      <c r="AC77" s="453"/>
      <c r="AD77" s="454"/>
      <c r="AF77" s="50"/>
    </row>
    <row r="78" spans="1:32" ht="30" customHeight="1">
      <c r="A78" s="433">
        <f t="shared" si="10"/>
        <v>6</v>
      </c>
      <c r="B78" s="434"/>
      <c r="C78" s="411"/>
      <c r="D78" s="411"/>
      <c r="E78" s="32"/>
      <c r="F78" s="434"/>
      <c r="G78" s="434"/>
      <c r="H78" s="434"/>
      <c r="I78" s="434"/>
      <c r="J78" s="434"/>
      <c r="K78" s="449"/>
      <c r="L78" s="450"/>
      <c r="M78" s="450"/>
      <c r="N78" s="450"/>
      <c r="O78" s="450"/>
      <c r="P78" s="450"/>
      <c r="Q78" s="450"/>
      <c r="R78" s="450"/>
      <c r="S78" s="451"/>
      <c r="T78" s="452"/>
      <c r="U78" s="452"/>
      <c r="V78" s="452"/>
      <c r="W78" s="452"/>
      <c r="X78" s="453"/>
      <c r="Y78" s="453"/>
      <c r="Z78" s="453"/>
      <c r="AA78" s="453"/>
      <c r="AB78" s="453"/>
      <c r="AC78" s="453"/>
      <c r="AD78" s="454"/>
      <c r="AF78" s="50"/>
    </row>
    <row r="79" spans="1:32" ht="30" customHeight="1">
      <c r="A79" s="433">
        <f t="shared" si="10"/>
        <v>7</v>
      </c>
      <c r="B79" s="434"/>
      <c r="C79" s="411"/>
      <c r="D79" s="411"/>
      <c r="E79" s="32"/>
      <c r="F79" s="434"/>
      <c r="G79" s="434"/>
      <c r="H79" s="434"/>
      <c r="I79" s="434"/>
      <c r="J79" s="434"/>
      <c r="K79" s="449"/>
      <c r="L79" s="450"/>
      <c r="M79" s="450"/>
      <c r="N79" s="450"/>
      <c r="O79" s="450"/>
      <c r="P79" s="450"/>
      <c r="Q79" s="450"/>
      <c r="R79" s="450"/>
      <c r="S79" s="451"/>
      <c r="T79" s="452"/>
      <c r="U79" s="452"/>
      <c r="V79" s="452"/>
      <c r="W79" s="452"/>
      <c r="X79" s="453"/>
      <c r="Y79" s="453"/>
      <c r="Z79" s="453"/>
      <c r="AA79" s="453"/>
      <c r="AB79" s="453"/>
      <c r="AC79" s="453"/>
      <c r="AD79" s="454"/>
      <c r="AF79" s="50"/>
    </row>
    <row r="80" spans="1:32" ht="30" customHeight="1">
      <c r="A80" s="433">
        <f t="shared" si="10"/>
        <v>8</v>
      </c>
      <c r="B80" s="434"/>
      <c r="C80" s="411"/>
      <c r="D80" s="411"/>
      <c r="E80" s="32"/>
      <c r="F80" s="434"/>
      <c r="G80" s="434"/>
      <c r="H80" s="434"/>
      <c r="I80" s="434"/>
      <c r="J80" s="434"/>
      <c r="K80" s="449"/>
      <c r="L80" s="450"/>
      <c r="M80" s="450"/>
      <c r="N80" s="450"/>
      <c r="O80" s="450"/>
      <c r="P80" s="450"/>
      <c r="Q80" s="450"/>
      <c r="R80" s="450"/>
      <c r="S80" s="451"/>
      <c r="T80" s="452"/>
      <c r="U80" s="452"/>
      <c r="V80" s="452"/>
      <c r="W80" s="452"/>
      <c r="X80" s="453"/>
      <c r="Y80" s="453"/>
      <c r="Z80" s="453"/>
      <c r="AA80" s="453"/>
      <c r="AB80" s="453"/>
      <c r="AC80" s="453"/>
      <c r="AD80" s="454"/>
      <c r="AF80" s="50"/>
    </row>
    <row r="81" spans="1:32" ht="30" customHeight="1">
      <c r="A81" s="433">
        <f t="shared" si="10"/>
        <v>9</v>
      </c>
      <c r="B81" s="434"/>
      <c r="C81" s="411"/>
      <c r="D81" s="411"/>
      <c r="E81" s="32"/>
      <c r="F81" s="434"/>
      <c r="G81" s="434"/>
      <c r="H81" s="434"/>
      <c r="I81" s="434"/>
      <c r="J81" s="434"/>
      <c r="K81" s="449"/>
      <c r="L81" s="450"/>
      <c r="M81" s="450"/>
      <c r="N81" s="450"/>
      <c r="O81" s="450"/>
      <c r="P81" s="450"/>
      <c r="Q81" s="450"/>
      <c r="R81" s="450"/>
      <c r="S81" s="451"/>
      <c r="T81" s="452"/>
      <c r="U81" s="452"/>
      <c r="V81" s="452"/>
      <c r="W81" s="452"/>
      <c r="X81" s="453"/>
      <c r="Y81" s="453"/>
      <c r="Z81" s="453"/>
      <c r="AA81" s="453"/>
      <c r="AB81" s="453"/>
      <c r="AC81" s="453"/>
      <c r="AD81" s="454"/>
      <c r="AF81" s="50"/>
    </row>
    <row r="82" spans="1:32" ht="36" thickBot="1">
      <c r="A82" s="446" t="s">
        <v>709</v>
      </c>
      <c r="B82" s="446"/>
      <c r="C82" s="446"/>
      <c r="D82" s="446"/>
      <c r="E82" s="446"/>
      <c r="F82" s="37"/>
      <c r="G82" s="37"/>
      <c r="H82" s="38"/>
      <c r="I82" s="38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F82" s="50"/>
    </row>
    <row r="83" spans="1:32" ht="30.75" customHeight="1" thickBot="1">
      <c r="A83" s="447" t="s">
        <v>113</v>
      </c>
      <c r="B83" s="448"/>
      <c r="C83" s="438" t="s">
        <v>52</v>
      </c>
      <c r="D83" s="438"/>
      <c r="E83" s="438" t="s">
        <v>53</v>
      </c>
      <c r="F83" s="438"/>
      <c r="G83" s="438"/>
      <c r="H83" s="438"/>
      <c r="I83" s="438"/>
      <c r="J83" s="438"/>
      <c r="K83" s="438" t="s">
        <v>54</v>
      </c>
      <c r="L83" s="438"/>
      <c r="M83" s="438"/>
      <c r="N83" s="438"/>
      <c r="O83" s="438"/>
      <c r="P83" s="438"/>
      <c r="Q83" s="438"/>
      <c r="R83" s="438"/>
      <c r="S83" s="438"/>
      <c r="T83" s="438" t="s">
        <v>55</v>
      </c>
      <c r="U83" s="438"/>
      <c r="V83" s="438" t="s">
        <v>56</v>
      </c>
      <c r="W83" s="438"/>
      <c r="X83" s="438"/>
      <c r="Y83" s="438" t="s">
        <v>51</v>
      </c>
      <c r="Z83" s="438"/>
      <c r="AA83" s="438"/>
      <c r="AB83" s="438"/>
      <c r="AC83" s="438"/>
      <c r="AD83" s="439"/>
      <c r="AF83" s="50"/>
    </row>
    <row r="84" spans="1:32" ht="30.75" customHeight="1">
      <c r="A84" s="440">
        <v>1</v>
      </c>
      <c r="B84" s="441"/>
      <c r="C84" s="442"/>
      <c r="D84" s="442"/>
      <c r="E84" s="442"/>
      <c r="F84" s="442"/>
      <c r="G84" s="442"/>
      <c r="H84" s="442"/>
      <c r="I84" s="442"/>
      <c r="J84" s="442"/>
      <c r="K84" s="442"/>
      <c r="L84" s="442"/>
      <c r="M84" s="442"/>
      <c r="N84" s="442"/>
      <c r="O84" s="442"/>
      <c r="P84" s="442"/>
      <c r="Q84" s="442"/>
      <c r="R84" s="442"/>
      <c r="S84" s="442"/>
      <c r="T84" s="442"/>
      <c r="U84" s="442"/>
      <c r="V84" s="443"/>
      <c r="W84" s="443"/>
      <c r="X84" s="443"/>
      <c r="Y84" s="444"/>
      <c r="Z84" s="444"/>
      <c r="AA84" s="444"/>
      <c r="AB84" s="444"/>
      <c r="AC84" s="444"/>
      <c r="AD84" s="445"/>
      <c r="AF84" s="50"/>
    </row>
    <row r="85" spans="1:32" ht="30.75" customHeight="1">
      <c r="A85" s="433">
        <v>2</v>
      </c>
      <c r="B85" s="434"/>
      <c r="C85" s="435"/>
      <c r="D85" s="435"/>
      <c r="E85" s="435"/>
      <c r="F85" s="435"/>
      <c r="G85" s="435"/>
      <c r="H85" s="435"/>
      <c r="I85" s="435"/>
      <c r="J85" s="435"/>
      <c r="K85" s="435"/>
      <c r="L85" s="435"/>
      <c r="M85" s="435"/>
      <c r="N85" s="435"/>
      <c r="O85" s="435"/>
      <c r="P85" s="435"/>
      <c r="Q85" s="435"/>
      <c r="R85" s="435"/>
      <c r="S85" s="435"/>
      <c r="T85" s="436"/>
      <c r="U85" s="436"/>
      <c r="V85" s="437"/>
      <c r="W85" s="437"/>
      <c r="X85" s="437"/>
      <c r="Y85" s="426"/>
      <c r="Z85" s="426"/>
      <c r="AA85" s="426"/>
      <c r="AB85" s="426"/>
      <c r="AC85" s="426"/>
      <c r="AD85" s="427"/>
      <c r="AF85" s="50"/>
    </row>
    <row r="86" spans="1:32" ht="30.75" customHeight="1" thickBot="1">
      <c r="A86" s="428">
        <v>3</v>
      </c>
      <c r="B86" s="429"/>
      <c r="C86" s="430"/>
      <c r="D86" s="430"/>
      <c r="E86" s="430"/>
      <c r="F86" s="430"/>
      <c r="G86" s="430"/>
      <c r="H86" s="430"/>
      <c r="I86" s="430"/>
      <c r="J86" s="430"/>
      <c r="K86" s="430"/>
      <c r="L86" s="430"/>
      <c r="M86" s="430"/>
      <c r="N86" s="430"/>
      <c r="O86" s="430"/>
      <c r="P86" s="430"/>
      <c r="Q86" s="430"/>
      <c r="R86" s="430"/>
      <c r="S86" s="430"/>
      <c r="T86" s="430"/>
      <c r="U86" s="430"/>
      <c r="V86" s="430"/>
      <c r="W86" s="430"/>
      <c r="X86" s="430"/>
      <c r="Y86" s="431"/>
      <c r="Z86" s="431"/>
      <c r="AA86" s="431"/>
      <c r="AB86" s="431"/>
      <c r="AC86" s="431"/>
      <c r="AD86" s="432"/>
      <c r="AF86" s="50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0" fitToHeight="2" orientation="landscape" horizontalDpi="4294967293" verticalDpi="4294967293" r:id="rId1"/>
  <rowBreaks count="1" manualBreakCount="1">
    <brk id="46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31</vt:i4>
      </vt:variant>
      <vt:variant>
        <vt:lpstr>이름 지정된 범위</vt:lpstr>
      </vt:variant>
      <vt:variant>
        <vt:i4>60</vt:i4>
      </vt:variant>
    </vt:vector>
  </HeadingPairs>
  <TitlesOfParts>
    <vt:vector size="91" baseType="lpstr">
      <vt:lpstr>총괄</vt:lpstr>
      <vt:lpstr>01</vt:lpstr>
      <vt:lpstr>02</vt:lpstr>
      <vt:lpstr>03</vt:lpstr>
      <vt:lpstr>04</vt:lpstr>
      <vt:lpstr>05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'05'!Print_Area</vt:lpstr>
      <vt:lpstr>'07'!Print_Area</vt:lpstr>
      <vt:lpstr>'08'!Print_Area</vt:lpstr>
      <vt:lpstr>'09'!Print_Area</vt:lpstr>
      <vt:lpstr>'10'!Print_Area</vt:lpstr>
      <vt:lpstr>'11'!Print_Area</vt:lpstr>
      <vt:lpstr>'12'!Print_Area</vt:lpstr>
      <vt:lpstr>'13'!Print_Area</vt:lpstr>
      <vt:lpstr>'14'!Print_Area</vt:lpstr>
      <vt:lpstr>'15'!Print_Area</vt:lpstr>
      <vt:lpstr>'16'!Print_Area</vt:lpstr>
      <vt:lpstr>'17'!Print_Area</vt:lpstr>
      <vt:lpstr>'18'!Print_Area</vt:lpstr>
      <vt:lpstr>'19'!Print_Area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'26'!Print_Area</vt:lpstr>
      <vt:lpstr>'27'!Print_Area</vt:lpstr>
      <vt:lpstr>'28'!Print_Area</vt:lpstr>
      <vt:lpstr>'29'!Print_Area</vt:lpstr>
      <vt:lpstr>'30'!Print_Area</vt:lpstr>
      <vt:lpstr>'31'!Print_Area</vt:lpstr>
      <vt:lpstr>'01'!ㅁ1</vt:lpstr>
      <vt:lpstr>'02'!ㅁ1</vt:lpstr>
      <vt:lpstr>'03'!ㅁ1</vt:lpstr>
      <vt:lpstr>'04'!ㅁ1</vt:lpstr>
      <vt:lpstr>'05'!ㅁ1</vt:lpstr>
      <vt:lpstr>'07'!ㅁ1</vt:lpstr>
      <vt:lpstr>'08'!ㅁ1</vt:lpstr>
      <vt:lpstr>'09'!ㅁ1</vt:lpstr>
      <vt:lpstr>'10'!ㅁ1</vt:lpstr>
      <vt:lpstr>'11'!ㅁ1</vt:lpstr>
      <vt:lpstr>'12'!ㅁ1</vt:lpstr>
      <vt:lpstr>'13'!ㅁ1</vt:lpstr>
      <vt:lpstr>'14'!ㅁ1</vt:lpstr>
      <vt:lpstr>'15'!ㅁ1</vt:lpstr>
      <vt:lpstr>'16'!ㅁ1</vt:lpstr>
      <vt:lpstr>'17'!ㅁ1</vt:lpstr>
      <vt:lpstr>'18'!ㅁ1</vt:lpstr>
      <vt:lpstr>'19'!ㅁ1</vt:lpstr>
      <vt:lpstr>'20'!ㅁ1</vt:lpstr>
      <vt:lpstr>'21'!ㅁ1</vt:lpstr>
      <vt:lpstr>'22'!ㅁ1</vt:lpstr>
      <vt:lpstr>'23'!ㅁ1</vt:lpstr>
      <vt:lpstr>'24'!ㅁ1</vt:lpstr>
      <vt:lpstr>'25'!ㅁ1</vt:lpstr>
      <vt:lpstr>'26'!ㅁ1</vt:lpstr>
      <vt:lpstr>'27'!ㅁ1</vt:lpstr>
      <vt:lpstr>'28'!ㅁ1</vt:lpstr>
      <vt:lpstr>'29'!ㅁ1</vt:lpstr>
      <vt:lpstr>'30'!ㅁ1</vt:lpstr>
      <vt:lpstr>'31'!ㅁ1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2019-10-24T15:57:38Z</cp:lastPrinted>
  <dcterms:created xsi:type="dcterms:W3CDTF">2014-05-16T00:06:55Z</dcterms:created>
  <dcterms:modified xsi:type="dcterms:W3CDTF">2019-11-01T14:59:30Z</dcterms:modified>
</cp:coreProperties>
</file>