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41.xml" ContentType="application/vnd.openxmlformats-officedocument.drawingml.chartshapes+xml"/>
  <Override PartName="/xl/drawings/drawing42.xml" ContentType="application/vnd.openxmlformats-officedocument.drawing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drawings/drawing43.xml" ContentType="application/vnd.openxmlformats-officedocument.drawingml.chartshapes+xml"/>
  <Override PartName="/xl/drawings/drawing44.xml" ContentType="application/vnd.openxmlformats-officedocument.drawing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drawings/drawing45.xml" ContentType="application/vnd.openxmlformats-officedocument.drawingml.chartshapes+xml"/>
  <Override PartName="/xl/drawings/drawing46.xml" ContentType="application/vnd.openxmlformats-officedocument.drawing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drawings/drawing47.xml" ContentType="application/vnd.openxmlformats-officedocument.drawingml.chartshapes+xml"/>
  <Override PartName="/xl/drawings/drawing48.xml" ContentType="application/vnd.openxmlformats-officedocument.drawing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drawings/drawing49.xml" ContentType="application/vnd.openxmlformats-officedocument.drawingml.chartshapes+xml"/>
  <Override PartName="/xl/drawings/drawing50.xml" ContentType="application/vnd.openxmlformats-officedocument.drawing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drawings/drawing51.xml" ContentType="application/vnd.openxmlformats-officedocument.drawingml.chartshapes+xml"/>
  <Override PartName="/xl/drawings/drawing52.xml" ContentType="application/vnd.openxmlformats-officedocument.drawing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drawings/drawing53.xml" ContentType="application/vnd.openxmlformats-officedocument.drawingml.chartshapes+xml"/>
  <Override PartName="/xl/drawings/drawing54.xml" ContentType="application/vnd.openxmlformats-officedocument.drawing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drawings/drawing55.xml" ContentType="application/vnd.openxmlformats-officedocument.drawingml.chartshapes+xml"/>
  <Override PartName="/xl/drawings/drawing56.xml" ContentType="application/vnd.openxmlformats-officedocument.drawing+xml"/>
  <Override PartName="/xl/charts/chart138.xml" ContentType="application/vnd.openxmlformats-officedocument.drawingml.chart+xml"/>
  <Override PartName="/xl/charts/chart139.xml" ContentType="application/vnd.openxmlformats-officedocument.drawingml.chart+xml"/>
  <Override PartName="/xl/charts/chart140.xml" ContentType="application/vnd.openxmlformats-officedocument.drawingml.chart+xml"/>
  <Override PartName="/xl/charts/chart141.xml" ContentType="application/vnd.openxmlformats-officedocument.drawingml.chart+xml"/>
  <Override PartName="/xl/charts/chart142.xml" ContentType="application/vnd.openxmlformats-officedocument.drawingml.chart+xml"/>
  <Override PartName="/xl/drawings/drawing57.xml" ContentType="application/vnd.openxmlformats-officedocument.drawingml.chartshapes+xml"/>
  <Override PartName="/xl/drawings/drawing58.xml" ContentType="application/vnd.openxmlformats-officedocument.drawing+xml"/>
  <Override PartName="/xl/charts/chart143.xml" ContentType="application/vnd.openxmlformats-officedocument.drawingml.chart+xml"/>
  <Override PartName="/xl/charts/chart144.xml" ContentType="application/vnd.openxmlformats-officedocument.drawingml.chart+xml"/>
  <Override PartName="/xl/charts/chart145.xml" ContentType="application/vnd.openxmlformats-officedocument.drawingml.chart+xml"/>
  <Override PartName="/xl/charts/chart146.xml" ContentType="application/vnd.openxmlformats-officedocument.drawingml.chart+xml"/>
  <Override PartName="/xl/charts/chart147.xml" ContentType="application/vnd.openxmlformats-officedocument.drawingml.chart+xml"/>
  <Override PartName="/xl/drawings/drawing5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19년도\일일업무\생산일보\"/>
    </mc:Choice>
  </mc:AlternateContent>
  <xr:revisionPtr revIDLastSave="0" documentId="13_ncr:1_{A1991040-F44B-4004-AA78-35A7F1A0968E}" xr6:coauthVersionLast="45" xr6:coauthVersionMax="45" xr10:uidLastSave="{00000000-0000-0000-0000-000000000000}"/>
  <bookViews>
    <workbookView xWindow="-120" yWindow="-120" windowWidth="29040" windowHeight="15840" firstSheet="6" activeTab="29" xr2:uid="{00000000-000D-0000-FFFF-FFFF00000000}"/>
  </bookViews>
  <sheets>
    <sheet name="총괄" sheetId="16" r:id="rId1"/>
    <sheet name="01" sheetId="1574" r:id="rId2"/>
    <sheet name="02" sheetId="1575" r:id="rId3"/>
    <sheet name="03" sheetId="1576" r:id="rId4"/>
    <sheet name="04" sheetId="1577" r:id="rId5"/>
    <sheet name="05" sheetId="1578" r:id="rId6"/>
    <sheet name="06" sheetId="1579" r:id="rId7"/>
    <sheet name="07" sheetId="1580" r:id="rId8"/>
    <sheet name="08" sheetId="1581" r:id="rId9"/>
    <sheet name="09" sheetId="1582" r:id="rId10"/>
    <sheet name="10" sheetId="1583" r:id="rId11"/>
    <sheet name="11" sheetId="1584" r:id="rId12"/>
    <sheet name="12" sheetId="1585" r:id="rId13"/>
    <sheet name="13" sheetId="1586" r:id="rId14"/>
    <sheet name="14" sheetId="1587" r:id="rId15"/>
    <sheet name="15" sheetId="1588" r:id="rId16"/>
    <sheet name="16" sheetId="1589" r:id="rId17"/>
    <sheet name="17" sheetId="1590" r:id="rId18"/>
    <sheet name="18" sheetId="1591" r:id="rId19"/>
    <sheet name="19" sheetId="1592" r:id="rId20"/>
    <sheet name="20" sheetId="1593" r:id="rId21"/>
    <sheet name="21" sheetId="1594" r:id="rId22"/>
    <sheet name="22" sheetId="1595" r:id="rId23"/>
    <sheet name="23" sheetId="1596" r:id="rId24"/>
    <sheet name="25" sheetId="1597" r:id="rId25"/>
    <sheet name="26" sheetId="1598" r:id="rId26"/>
    <sheet name="27" sheetId="1599" r:id="rId27"/>
    <sheet name="28" sheetId="1600" r:id="rId28"/>
    <sheet name="29" sheetId="1601" r:id="rId29"/>
    <sheet name="30" sheetId="1602" r:id="rId30"/>
  </sheets>
  <definedNames>
    <definedName name="_xlnm.Print_Area" localSheetId="1">'01'!$A$1:$AD$86</definedName>
    <definedName name="_xlnm.Print_Area" localSheetId="2">'02'!$A$1:$AD$86</definedName>
    <definedName name="_xlnm.Print_Area" localSheetId="3">'03'!$A$1:$AD$86</definedName>
    <definedName name="_xlnm.Print_Area" localSheetId="4">'04'!$A$1:$AD$86</definedName>
    <definedName name="_xlnm.Print_Area" localSheetId="5">'05'!$A$1:$AD$86</definedName>
    <definedName name="_xlnm.Print_Area" localSheetId="6">'06'!$A$1:$AD$87</definedName>
    <definedName name="_xlnm.Print_Area" localSheetId="7">'07'!$A$1:$AD$88</definedName>
    <definedName name="_xlnm.Print_Area" localSheetId="8">'08'!$A$1:$AD$87</definedName>
    <definedName name="_xlnm.Print_Area" localSheetId="9">'09'!$A$1:$AD$87</definedName>
    <definedName name="_xlnm.Print_Area" localSheetId="10">'10'!$A$1:$AD$86</definedName>
    <definedName name="_xlnm.Print_Area" localSheetId="11">'11'!$A$1:$AD$87</definedName>
    <definedName name="_xlnm.Print_Area" localSheetId="12">'12'!$A$1:$AD$87</definedName>
    <definedName name="_xlnm.Print_Area" localSheetId="13">'13'!$A$1:$AD$88</definedName>
    <definedName name="_xlnm.Print_Area" localSheetId="14">'14'!$A$1:$AD$87</definedName>
    <definedName name="_xlnm.Print_Area" localSheetId="15">'15'!$A$1:$AD$87</definedName>
    <definedName name="_xlnm.Print_Area" localSheetId="16">'16'!$A$1:$AD$86</definedName>
    <definedName name="_xlnm.Print_Area" localSheetId="17">'17'!$A$1:$AD$86</definedName>
    <definedName name="_xlnm.Print_Area" localSheetId="18">'18'!$A$1:$AD$86</definedName>
    <definedName name="_xlnm.Print_Area" localSheetId="19">'19'!$A$1:$AD$86</definedName>
    <definedName name="_xlnm.Print_Area" localSheetId="20">'20'!$A$1:$AD$87</definedName>
    <definedName name="_xlnm.Print_Area" localSheetId="21">'21'!$A$1:$AD$86</definedName>
    <definedName name="_xlnm.Print_Area" localSheetId="22">'22'!$A$1:$AD$88</definedName>
    <definedName name="_xlnm.Print_Area" localSheetId="23">'23'!$A$1:$AD$86</definedName>
    <definedName name="_xlnm.Print_Area" localSheetId="24">'25'!$A$1:$AD$86</definedName>
    <definedName name="_xlnm.Print_Area" localSheetId="25">'26'!$A$1:$AD$87</definedName>
    <definedName name="_xlnm.Print_Area" localSheetId="26">'27'!$A$1:$AD$86</definedName>
    <definedName name="_xlnm.Print_Area" localSheetId="27">'28'!$A$1:$AD$86</definedName>
    <definedName name="_xlnm.Print_Area" localSheetId="28">'29'!$A$1:$AD$86</definedName>
    <definedName name="_xlnm.Print_Area" localSheetId="29">'30'!$A$1:$AD$86</definedName>
    <definedName name="ㅁ1" localSheetId="1">'01'!$M$1048521:$M$1048576</definedName>
    <definedName name="ㅁ1" localSheetId="2">'02'!$M$1048521:$M$1048576</definedName>
    <definedName name="ㅁ1" localSheetId="3">'03'!$M$1048521:$M$1048576</definedName>
    <definedName name="ㅁ1" localSheetId="4">'04'!$M$1048521:$M$1048576</definedName>
    <definedName name="ㅁ1" localSheetId="5">'05'!$M$1048521:$M$1048576</definedName>
    <definedName name="ㅁ1" localSheetId="6">'06'!$M$1048522:$M$1048576</definedName>
    <definedName name="ㅁ1" localSheetId="7">'07'!$M$1048523:$M$1048576</definedName>
    <definedName name="ㅁ1" localSheetId="8">'08'!$M$1048522:$M$1048576</definedName>
    <definedName name="ㅁ1" localSheetId="9">'09'!$M$1048522:$M$1048576</definedName>
    <definedName name="ㅁ1" localSheetId="10">'10'!$M$1048521:$M$1048576</definedName>
    <definedName name="ㅁ1" localSheetId="11">'11'!$M$1048522:$M$1048576</definedName>
    <definedName name="ㅁ1" localSheetId="12">'12'!$M$1048522:$M$1048576</definedName>
    <definedName name="ㅁ1" localSheetId="13">'13'!$M$1048523:$M$1048576</definedName>
    <definedName name="ㅁ1" localSheetId="14">'14'!$M$1048522:$M$1048576</definedName>
    <definedName name="ㅁ1" localSheetId="15">'15'!$M$1048522:$M$1048576</definedName>
    <definedName name="ㅁ1" localSheetId="16">'16'!$M$1048521:$M$1048576</definedName>
    <definedName name="ㅁ1" localSheetId="17">'17'!$M$1048521:$M$1048576</definedName>
    <definedName name="ㅁ1" localSheetId="18">'18'!$M$1048521:$M$1048576</definedName>
    <definedName name="ㅁ1" localSheetId="19">'19'!$M$1048521:$M$1048576</definedName>
    <definedName name="ㅁ1" localSheetId="20">'20'!$M$1048522:$M$1048576</definedName>
    <definedName name="ㅁ1" localSheetId="21">'21'!$M$1048521:$M$1048576</definedName>
    <definedName name="ㅁ1" localSheetId="22">'22'!$M$1048523:$M$1048576</definedName>
    <definedName name="ㅁ1" localSheetId="23">'23'!$M$1048521:$M$1048576</definedName>
    <definedName name="ㅁ1" localSheetId="24">'25'!$M$1048521:$M$1048576</definedName>
    <definedName name="ㅁ1" localSheetId="25">'26'!$M$1048522:$M$1048576</definedName>
    <definedName name="ㅁ1" localSheetId="26">'27'!$M$1048521:$M$1048576</definedName>
    <definedName name="ㅁ1" localSheetId="27">'28'!$M$1048521:$M$1048576</definedName>
    <definedName name="ㅁ1" localSheetId="28">'29'!$M$1048521:$M$1048576</definedName>
    <definedName name="ㅁ1" localSheetId="29">'30'!$M$1048521:$M$1048576</definedName>
    <definedName name="ㅁ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E18" i="16" l="1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20" i="1602"/>
  <c r="K20" i="1602" s="1"/>
  <c r="L19" i="1602"/>
  <c r="L18" i="1602"/>
  <c r="P18" i="1602" s="1"/>
  <c r="AC18" i="1602" s="1"/>
  <c r="L17" i="1602"/>
  <c r="O17" i="1602" s="1"/>
  <c r="L16" i="1602"/>
  <c r="AB16" i="1602" s="1"/>
  <c r="L10" i="1602"/>
  <c r="K10" i="1602" s="1"/>
  <c r="L9" i="1602"/>
  <c r="L8" i="1602"/>
  <c r="K8" i="1602"/>
  <c r="K19" i="1602"/>
  <c r="K18" i="1602"/>
  <c r="K17" i="1602"/>
  <c r="K16" i="1602"/>
  <c r="K13" i="1602"/>
  <c r="K12" i="1602"/>
  <c r="K11" i="1602"/>
  <c r="K9" i="1602"/>
  <c r="A74" i="1602"/>
  <c r="A75" i="1602" s="1"/>
  <c r="A76" i="1602" s="1"/>
  <c r="A77" i="1602" s="1"/>
  <c r="A78" i="1602" s="1"/>
  <c r="A79" i="1602" s="1"/>
  <c r="A80" i="1602" s="1"/>
  <c r="A81" i="1602" s="1"/>
  <c r="AF60" i="1602"/>
  <c r="AF62" i="1602" s="1"/>
  <c r="AF59" i="1602"/>
  <c r="AA21" i="1602"/>
  <c r="Z21" i="1602"/>
  <c r="Y21" i="1602"/>
  <c r="X21" i="1602"/>
  <c r="W21" i="1602"/>
  <c r="V21" i="1602"/>
  <c r="U21" i="1602"/>
  <c r="T21" i="1602"/>
  <c r="S21" i="1602"/>
  <c r="R21" i="1602"/>
  <c r="N21" i="1602"/>
  <c r="J21" i="1602"/>
  <c r="I21" i="1602"/>
  <c r="AF20" i="1602"/>
  <c r="AB20" i="1602"/>
  <c r="Q20" i="1602"/>
  <c r="P20" i="1602"/>
  <c r="AC20" i="1602" s="1"/>
  <c r="O20" i="1602"/>
  <c r="M20" i="1602"/>
  <c r="AF19" i="1602"/>
  <c r="AB19" i="1602"/>
  <c r="Q19" i="1602"/>
  <c r="M19" i="1602"/>
  <c r="AF18" i="1602"/>
  <c r="AB18" i="1602"/>
  <c r="Q18" i="1602"/>
  <c r="O18" i="1602"/>
  <c r="M18" i="1602"/>
  <c r="AF17" i="1602"/>
  <c r="Q17" i="1602"/>
  <c r="AB17" i="1602"/>
  <c r="AF16" i="1602"/>
  <c r="Q16" i="1602"/>
  <c r="M16" i="1602"/>
  <c r="O16" i="1602"/>
  <c r="AF15" i="1602"/>
  <c r="AB15" i="1602"/>
  <c r="Q15" i="1602"/>
  <c r="P15" i="1602"/>
  <c r="AC15" i="1602" s="1"/>
  <c r="O15" i="1602"/>
  <c r="M15" i="1602"/>
  <c r="K15" i="1602"/>
  <c r="AF14" i="1602"/>
  <c r="AC14" i="1602"/>
  <c r="AD14" i="1602" s="1"/>
  <c r="AB14" i="1602"/>
  <c r="Q14" i="1602"/>
  <c r="P14" i="1602"/>
  <c r="O14" i="1602"/>
  <c r="M14" i="1602"/>
  <c r="K14" i="1602"/>
  <c r="AF13" i="1602"/>
  <c r="AB13" i="1602"/>
  <c r="Q13" i="1602"/>
  <c r="P13" i="1602" s="1"/>
  <c r="AC13" i="1602" s="1"/>
  <c r="O13" i="1602"/>
  <c r="M13" i="1602"/>
  <c r="AF12" i="1602"/>
  <c r="Q12" i="1602"/>
  <c r="O12" i="1602"/>
  <c r="AB12" i="1602"/>
  <c r="AF11" i="1602"/>
  <c r="AB11" i="1602"/>
  <c r="Q11" i="1602"/>
  <c r="P11" i="1602"/>
  <c r="AC11" i="1602" s="1"/>
  <c r="M11" i="1602"/>
  <c r="O11" i="1602"/>
  <c r="AF10" i="1602"/>
  <c r="Q10" i="1602"/>
  <c r="AF9" i="1602"/>
  <c r="AB9" i="1602"/>
  <c r="Q9" i="1602"/>
  <c r="P9" i="1602" s="1"/>
  <c r="AC9" i="1602" s="1"/>
  <c r="O9" i="1602"/>
  <c r="M9" i="1602"/>
  <c r="AF8" i="1602"/>
  <c r="Q8" i="1602"/>
  <c r="AF7" i="1602"/>
  <c r="AB7" i="1602"/>
  <c r="Q7" i="1602"/>
  <c r="P7" i="1602"/>
  <c r="AC7" i="1602" s="1"/>
  <c r="AD7" i="1602" s="1"/>
  <c r="O7" i="1602"/>
  <c r="M7" i="1602"/>
  <c r="K7" i="1602"/>
  <c r="AF6" i="1602"/>
  <c r="AB6" i="1602"/>
  <c r="Q6" i="1602"/>
  <c r="P6" i="1602"/>
  <c r="AC6" i="1602" s="1"/>
  <c r="O6" i="1602"/>
  <c r="M6" i="1602"/>
  <c r="K6" i="1602"/>
  <c r="AD20" i="1602" l="1"/>
  <c r="P19" i="1602"/>
  <c r="AC19" i="1602" s="1"/>
  <c r="O19" i="1602"/>
  <c r="P16" i="1602"/>
  <c r="AC16" i="1602" s="1"/>
  <c r="AD16" i="1602" s="1"/>
  <c r="P10" i="1602"/>
  <c r="AC10" i="1602" s="1"/>
  <c r="Q21" i="1602"/>
  <c r="AD9" i="1602"/>
  <c r="AB8" i="1602"/>
  <c r="O8" i="1602"/>
  <c r="AD15" i="1602"/>
  <c r="AD18" i="1602"/>
  <c r="AD13" i="1602"/>
  <c r="AD6" i="1602"/>
  <c r="AD11" i="1602"/>
  <c r="P8" i="1602"/>
  <c r="AC8" i="1602" s="1"/>
  <c r="M10" i="1602"/>
  <c r="AB10" i="1602"/>
  <c r="P12" i="1602"/>
  <c r="AC12" i="1602" s="1"/>
  <c r="AD12" i="1602" s="1"/>
  <c r="K21" i="1602"/>
  <c r="P17" i="1602"/>
  <c r="AC17" i="1602" s="1"/>
  <c r="AD17" i="1602" s="1"/>
  <c r="O10" i="1602"/>
  <c r="L21" i="1602"/>
  <c r="O21" i="1602" s="1"/>
  <c r="M8" i="1602"/>
  <c r="M12" i="1602"/>
  <c r="M17" i="1602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K19" i="1601"/>
  <c r="L18" i="1601"/>
  <c r="L17" i="1601"/>
  <c r="L16" i="1601"/>
  <c r="K13" i="1601"/>
  <c r="L12" i="1601"/>
  <c r="AD19" i="1602" l="1"/>
  <c r="AD8" i="1602"/>
  <c r="AD10" i="1602"/>
  <c r="AD21" i="1602" s="1"/>
  <c r="M21" i="1602"/>
  <c r="AB21" i="1602"/>
  <c r="P21" i="1602"/>
  <c r="AC21" i="1602"/>
  <c r="L11" i="1601"/>
  <c r="L10" i="1601"/>
  <c r="L9" i="1601"/>
  <c r="AB9" i="1601" s="1"/>
  <c r="L8" i="1601"/>
  <c r="O8" i="1601" s="1"/>
  <c r="K20" i="1601"/>
  <c r="K18" i="1601"/>
  <c r="K17" i="1601"/>
  <c r="K16" i="1601"/>
  <c r="K15" i="1601"/>
  <c r="K12" i="1601"/>
  <c r="K11" i="1601"/>
  <c r="K10" i="1601"/>
  <c r="K8" i="1601"/>
  <c r="A74" i="1601"/>
  <c r="A75" i="1601" s="1"/>
  <c r="A76" i="1601" s="1"/>
  <c r="A77" i="1601" s="1"/>
  <c r="A78" i="1601" s="1"/>
  <c r="A79" i="1601" s="1"/>
  <c r="A80" i="1601" s="1"/>
  <c r="A81" i="1601" s="1"/>
  <c r="AF60" i="1601"/>
  <c r="AF59" i="1601"/>
  <c r="AF62" i="1601" s="1"/>
  <c r="AA21" i="1601"/>
  <c r="Z21" i="1601"/>
  <c r="Y21" i="1601"/>
  <c r="X21" i="1601"/>
  <c r="W21" i="1601"/>
  <c r="V21" i="1601"/>
  <c r="U21" i="1601"/>
  <c r="T21" i="1601"/>
  <c r="S21" i="1601"/>
  <c r="R21" i="1601"/>
  <c r="N21" i="1601"/>
  <c r="J21" i="1601"/>
  <c r="I21" i="1601"/>
  <c r="AF20" i="1601"/>
  <c r="Q20" i="1601"/>
  <c r="P20" i="1601"/>
  <c r="AC20" i="1601" s="1"/>
  <c r="O20" i="1601"/>
  <c r="AF19" i="1601"/>
  <c r="Q19" i="1601"/>
  <c r="P19" i="1601" s="1"/>
  <c r="AC19" i="1601" s="1"/>
  <c r="O19" i="1601"/>
  <c r="AB19" i="1601"/>
  <c r="AF18" i="1601"/>
  <c r="AB18" i="1601"/>
  <c r="Q18" i="1601"/>
  <c r="P18" i="1601" s="1"/>
  <c r="AC18" i="1601" s="1"/>
  <c r="O18" i="1601"/>
  <c r="M18" i="1601"/>
  <c r="AF17" i="1601"/>
  <c r="AB17" i="1601"/>
  <c r="Q17" i="1601"/>
  <c r="P17" i="1601" s="1"/>
  <c r="AC17" i="1601" s="1"/>
  <c r="O17" i="1601"/>
  <c r="M17" i="1601"/>
  <c r="AF16" i="1601"/>
  <c r="Q16" i="1601"/>
  <c r="P16" i="1601" s="1"/>
  <c r="AC16" i="1601" s="1"/>
  <c r="O16" i="1601"/>
  <c r="AB16" i="1601"/>
  <c r="AF15" i="1601"/>
  <c r="AB15" i="1601"/>
  <c r="Q15" i="1601"/>
  <c r="P15" i="1601"/>
  <c r="AC15" i="1601" s="1"/>
  <c r="AD15" i="1601" s="1"/>
  <c r="O15" i="1601"/>
  <c r="M15" i="1601"/>
  <c r="AF14" i="1601"/>
  <c r="AB14" i="1601"/>
  <c r="Q14" i="1601"/>
  <c r="P14" i="1601"/>
  <c r="AC14" i="1601" s="1"/>
  <c r="AD14" i="1601" s="1"/>
  <c r="O14" i="1601"/>
  <c r="M14" i="1601"/>
  <c r="K14" i="1601"/>
  <c r="AF13" i="1601"/>
  <c r="Q13" i="1601"/>
  <c r="P13" i="1601" s="1"/>
  <c r="AC13" i="1601" s="1"/>
  <c r="O13" i="1601"/>
  <c r="AB13" i="1601"/>
  <c r="AF12" i="1601"/>
  <c r="AB12" i="1601"/>
  <c r="Q12" i="1601"/>
  <c r="P12" i="1601" s="1"/>
  <c r="AC12" i="1601" s="1"/>
  <c r="O12" i="1601"/>
  <c r="M12" i="1601"/>
  <c r="AF11" i="1601"/>
  <c r="Q11" i="1601"/>
  <c r="P11" i="1601" s="1"/>
  <c r="AC11" i="1601" s="1"/>
  <c r="AF10" i="1601"/>
  <c r="Q10" i="1601"/>
  <c r="P10" i="1601" s="1"/>
  <c r="AC10" i="1601" s="1"/>
  <c r="O10" i="1601"/>
  <c r="AF9" i="1601"/>
  <c r="Q9" i="1601"/>
  <c r="AF8" i="1601"/>
  <c r="AB8" i="1601"/>
  <c r="Q8" i="1601"/>
  <c r="P8" i="1601"/>
  <c r="AC8" i="1601" s="1"/>
  <c r="M8" i="1601"/>
  <c r="AF7" i="1601"/>
  <c r="AC7" i="1601"/>
  <c r="AD7" i="1601" s="1"/>
  <c r="AB7" i="1601"/>
  <c r="Q7" i="1601"/>
  <c r="P7" i="1601"/>
  <c r="O7" i="1601"/>
  <c r="M7" i="1601"/>
  <c r="K7" i="1601"/>
  <c r="AF6" i="1601"/>
  <c r="AC6" i="1601"/>
  <c r="AB6" i="1601"/>
  <c r="Q6" i="1601"/>
  <c r="P6" i="1601"/>
  <c r="O6" i="1601"/>
  <c r="M6" i="1601"/>
  <c r="K6" i="1601"/>
  <c r="AE19" i="1602" l="1"/>
  <c r="AE16" i="1602"/>
  <c r="AE11" i="1602"/>
  <c r="AE7" i="1602"/>
  <c r="AE14" i="1602"/>
  <c r="AE12" i="1602"/>
  <c r="AE17" i="1602"/>
  <c r="AE8" i="1602"/>
  <c r="AE13" i="1602"/>
  <c r="AE20" i="1602"/>
  <c r="AE18" i="1602"/>
  <c r="AE9" i="1602"/>
  <c r="AE6" i="1602"/>
  <c r="AE15" i="1602"/>
  <c r="AE10" i="1602"/>
  <c r="AD18" i="1601"/>
  <c r="AD12" i="1601"/>
  <c r="Q21" i="1601"/>
  <c r="L21" i="1601"/>
  <c r="O21" i="1601" s="1"/>
  <c r="P9" i="1601"/>
  <c r="AC9" i="1601" s="1"/>
  <c r="AD9" i="1601" s="1"/>
  <c r="O9" i="1601"/>
  <c r="K9" i="1601"/>
  <c r="AD8" i="1601"/>
  <c r="AD17" i="1601"/>
  <c r="AD13" i="1601"/>
  <c r="AD19" i="1601"/>
  <c r="K21" i="1601"/>
  <c r="AD16" i="1601"/>
  <c r="AD6" i="1601"/>
  <c r="AB11" i="1601"/>
  <c r="M10" i="1601"/>
  <c r="O11" i="1601"/>
  <c r="M20" i="1601"/>
  <c r="AB20" i="1601"/>
  <c r="AD20" i="1601" s="1"/>
  <c r="M11" i="1601"/>
  <c r="AB10" i="1601"/>
  <c r="M9" i="1601"/>
  <c r="M13" i="1601"/>
  <c r="M16" i="1601"/>
  <c r="M19" i="1601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20" i="1600"/>
  <c r="L19" i="1600"/>
  <c r="P19" i="1600" s="1"/>
  <c r="AC19" i="1600" s="1"/>
  <c r="K17" i="1600"/>
  <c r="L18" i="1600"/>
  <c r="K18" i="1600" s="1"/>
  <c r="L16" i="1600"/>
  <c r="P16" i="1600" s="1"/>
  <c r="AC16" i="1600" s="1"/>
  <c r="L15" i="1600"/>
  <c r="K15" i="1600" s="1"/>
  <c r="L13" i="1600"/>
  <c r="P13" i="1600" s="1"/>
  <c r="AC13" i="1600" s="1"/>
  <c r="L12" i="1600"/>
  <c r="K12" i="1600" s="1"/>
  <c r="L11" i="1600"/>
  <c r="L10" i="1600"/>
  <c r="AB10" i="1600" s="1"/>
  <c r="L9" i="1600"/>
  <c r="O9" i="1600" s="1"/>
  <c r="L8" i="1600"/>
  <c r="K20" i="1600"/>
  <c r="K19" i="1600"/>
  <c r="K11" i="1600"/>
  <c r="K9" i="1600"/>
  <c r="K8" i="1600"/>
  <c r="A75" i="1600"/>
  <c r="A76" i="1600" s="1"/>
  <c r="A77" i="1600" s="1"/>
  <c r="A78" i="1600" s="1"/>
  <c r="A79" i="1600" s="1"/>
  <c r="A80" i="1600" s="1"/>
  <c r="A81" i="1600" s="1"/>
  <c r="A74" i="1600"/>
  <c r="AF60" i="1600"/>
  <c r="AF59" i="1600"/>
  <c r="AF62" i="1600" s="1"/>
  <c r="AA21" i="1600"/>
  <c r="Z21" i="1600"/>
  <c r="Y21" i="1600"/>
  <c r="X21" i="1600"/>
  <c r="W21" i="1600"/>
  <c r="V21" i="1600"/>
  <c r="U21" i="1600"/>
  <c r="T21" i="1600"/>
  <c r="S21" i="1600"/>
  <c r="R21" i="1600"/>
  <c r="N21" i="1600"/>
  <c r="J21" i="1600"/>
  <c r="I21" i="1600"/>
  <c r="AF20" i="1600"/>
  <c r="Q20" i="1600"/>
  <c r="O20" i="1600"/>
  <c r="AF19" i="1600"/>
  <c r="Q19" i="1600"/>
  <c r="AF18" i="1600"/>
  <c r="Q18" i="1600"/>
  <c r="P18" i="1600"/>
  <c r="AC18" i="1600" s="1"/>
  <c r="O18" i="1600"/>
  <c r="AF17" i="1600"/>
  <c r="AB17" i="1600"/>
  <c r="Q17" i="1600"/>
  <c r="P17" i="1600" s="1"/>
  <c r="AC17" i="1600" s="1"/>
  <c r="O17" i="1600"/>
  <c r="M17" i="1600"/>
  <c r="AF16" i="1600"/>
  <c r="Q16" i="1600"/>
  <c r="AB16" i="1600"/>
  <c r="AF15" i="1600"/>
  <c r="Q15" i="1600"/>
  <c r="P15" i="1600"/>
  <c r="AC15" i="1600" s="1"/>
  <c r="AB15" i="1600"/>
  <c r="AF14" i="1600"/>
  <c r="AB14" i="1600"/>
  <c r="Q14" i="1600"/>
  <c r="P14" i="1600"/>
  <c r="AC14" i="1600" s="1"/>
  <c r="AD14" i="1600" s="1"/>
  <c r="O14" i="1600"/>
  <c r="M14" i="1600"/>
  <c r="K14" i="1600"/>
  <c r="AF13" i="1600"/>
  <c r="Q13" i="1600"/>
  <c r="AF12" i="1600"/>
  <c r="Q12" i="1600"/>
  <c r="P12" i="1600"/>
  <c r="AC12" i="1600" s="1"/>
  <c r="AB12" i="1600"/>
  <c r="AF11" i="1600"/>
  <c r="AB11" i="1600"/>
  <c r="Q11" i="1600"/>
  <c r="P11" i="1600" s="1"/>
  <c r="AC11" i="1600" s="1"/>
  <c r="O11" i="1600"/>
  <c r="M11" i="1600"/>
  <c r="AF10" i="1600"/>
  <c r="Q10" i="1600"/>
  <c r="P10" i="1600" s="1"/>
  <c r="AC10" i="1600" s="1"/>
  <c r="O10" i="1600"/>
  <c r="K10" i="1600"/>
  <c r="AF9" i="1600"/>
  <c r="Q9" i="1600"/>
  <c r="P9" i="1600" s="1"/>
  <c r="AC9" i="1600" s="1"/>
  <c r="AF8" i="1600"/>
  <c r="AB8" i="1600"/>
  <c r="Q8" i="1600"/>
  <c r="P8" i="1600" s="1"/>
  <c r="AC8" i="1600" s="1"/>
  <c r="AD8" i="1600" s="1"/>
  <c r="O8" i="1600"/>
  <c r="M8" i="1600"/>
  <c r="AF7" i="1600"/>
  <c r="AC7" i="1600"/>
  <c r="AD7" i="1600" s="1"/>
  <c r="AB7" i="1600"/>
  <c r="Q7" i="1600"/>
  <c r="P7" i="1600"/>
  <c r="O7" i="1600"/>
  <c r="M7" i="1600"/>
  <c r="K7" i="1600"/>
  <c r="AF6" i="1600"/>
  <c r="AC6" i="1600"/>
  <c r="AB6" i="1600"/>
  <c r="Q6" i="1600"/>
  <c r="P6" i="1600"/>
  <c r="O6" i="1600"/>
  <c r="M6" i="1600"/>
  <c r="K6" i="1600"/>
  <c r="AB21" i="1601" l="1"/>
  <c r="AD11" i="1601"/>
  <c r="P21" i="1601"/>
  <c r="AC21" i="1601"/>
  <c r="M21" i="1601"/>
  <c r="AD10" i="1601"/>
  <c r="AD21" i="1601" s="1"/>
  <c r="AB19" i="1600"/>
  <c r="AD17" i="1600"/>
  <c r="AB18" i="1600"/>
  <c r="K16" i="1600"/>
  <c r="O15" i="1600"/>
  <c r="AB13" i="1600"/>
  <c r="K13" i="1600"/>
  <c r="O12" i="1600"/>
  <c r="AD11" i="1600"/>
  <c r="AD10" i="1600"/>
  <c r="L21" i="1600"/>
  <c r="O21" i="1600" s="1"/>
  <c r="M10" i="1600"/>
  <c r="Q21" i="1600"/>
  <c r="AD12" i="1600"/>
  <c r="AD15" i="1600"/>
  <c r="AD18" i="1600"/>
  <c r="M9" i="1600"/>
  <c r="AB9" i="1600"/>
  <c r="AD9" i="1600" s="1"/>
  <c r="M12" i="1600"/>
  <c r="O13" i="1600"/>
  <c r="M15" i="1600"/>
  <c r="O16" i="1600"/>
  <c r="AD16" i="1600" s="1"/>
  <c r="M18" i="1600"/>
  <c r="O19" i="1600"/>
  <c r="P20" i="1600"/>
  <c r="AC20" i="1600" s="1"/>
  <c r="AD6" i="1600"/>
  <c r="M20" i="1600"/>
  <c r="AB20" i="1600"/>
  <c r="M13" i="1600"/>
  <c r="M16" i="1600"/>
  <c r="M19" i="1600"/>
  <c r="L20" i="1599"/>
  <c r="O20" i="1599" s="1"/>
  <c r="L19" i="1599"/>
  <c r="AB19" i="1599" s="1"/>
  <c r="L18" i="1599"/>
  <c r="K18" i="1599" s="1"/>
  <c r="L16" i="1599"/>
  <c r="K16" i="1599" s="1"/>
  <c r="L15" i="1599"/>
  <c r="K15" i="1599" s="1"/>
  <c r="L13" i="1599"/>
  <c r="K13" i="1599" s="1"/>
  <c r="L12" i="1599"/>
  <c r="L11" i="1599"/>
  <c r="K11" i="1599" s="1"/>
  <c r="K10" i="1599"/>
  <c r="L9" i="1599"/>
  <c r="L8" i="1599"/>
  <c r="K8" i="1599" s="1"/>
  <c r="K12" i="1599"/>
  <c r="K9" i="1599"/>
  <c r="A74" i="1599"/>
  <c r="A75" i="1599" s="1"/>
  <c r="A76" i="1599" s="1"/>
  <c r="A77" i="1599" s="1"/>
  <c r="A78" i="1599" s="1"/>
  <c r="A79" i="1599" s="1"/>
  <c r="A80" i="1599" s="1"/>
  <c r="A81" i="1599" s="1"/>
  <c r="AF60" i="1599"/>
  <c r="AF59" i="1599"/>
  <c r="AA21" i="1599"/>
  <c r="Z21" i="1599"/>
  <c r="Y21" i="1599"/>
  <c r="X21" i="1599"/>
  <c r="W21" i="1599"/>
  <c r="V21" i="1599"/>
  <c r="U21" i="1599"/>
  <c r="T21" i="1599"/>
  <c r="S21" i="1599"/>
  <c r="R21" i="1599"/>
  <c r="N21" i="1599"/>
  <c r="J21" i="1599"/>
  <c r="I21" i="1599"/>
  <c r="AF20" i="1599"/>
  <c r="Q20" i="1599"/>
  <c r="P20" i="1599"/>
  <c r="AC20" i="1599" s="1"/>
  <c r="AF19" i="1599"/>
  <c r="Q19" i="1599"/>
  <c r="AF18" i="1599"/>
  <c r="Q18" i="1599"/>
  <c r="M18" i="1599"/>
  <c r="AF17" i="1599"/>
  <c r="AB17" i="1599"/>
  <c r="Q17" i="1599"/>
  <c r="P17" i="1599"/>
  <c r="AC17" i="1599" s="1"/>
  <c r="AD17" i="1599" s="1"/>
  <c r="O17" i="1599"/>
  <c r="M17" i="1599"/>
  <c r="K17" i="1599"/>
  <c r="AF16" i="1599"/>
  <c r="Q16" i="1599"/>
  <c r="AF15" i="1599"/>
  <c r="Q15" i="1599"/>
  <c r="AB15" i="1599"/>
  <c r="AF14" i="1599"/>
  <c r="AB14" i="1599"/>
  <c r="Q14" i="1599"/>
  <c r="P14" i="1599"/>
  <c r="AC14" i="1599" s="1"/>
  <c r="O14" i="1599"/>
  <c r="M14" i="1599"/>
  <c r="K14" i="1599"/>
  <c r="AF13" i="1599"/>
  <c r="Q13" i="1599"/>
  <c r="O13" i="1599"/>
  <c r="AF12" i="1599"/>
  <c r="Q12" i="1599"/>
  <c r="P12" i="1599" s="1"/>
  <c r="AC12" i="1599" s="1"/>
  <c r="O12" i="1599"/>
  <c r="AB12" i="1599"/>
  <c r="AF11" i="1599"/>
  <c r="Q11" i="1599"/>
  <c r="P11" i="1599"/>
  <c r="AC11" i="1599" s="1"/>
  <c r="O11" i="1599"/>
  <c r="AF10" i="1599"/>
  <c r="Q10" i="1599"/>
  <c r="M10" i="1599"/>
  <c r="AF9" i="1599"/>
  <c r="Q9" i="1599"/>
  <c r="AF8" i="1599"/>
  <c r="Q8" i="1599"/>
  <c r="P8" i="1599" s="1"/>
  <c r="AC8" i="1599" s="1"/>
  <c r="O8" i="1599"/>
  <c r="AB8" i="1599"/>
  <c r="AF7" i="1599"/>
  <c r="AB7" i="1599"/>
  <c r="Q7" i="1599"/>
  <c r="P7" i="1599"/>
  <c r="AC7" i="1599" s="1"/>
  <c r="AD7" i="1599" s="1"/>
  <c r="O7" i="1599"/>
  <c r="M7" i="1599"/>
  <c r="K7" i="1599"/>
  <c r="AF6" i="1599"/>
  <c r="AB6" i="1599"/>
  <c r="Q6" i="1599"/>
  <c r="P6" i="1599"/>
  <c r="AC6" i="1599" s="1"/>
  <c r="O6" i="1599"/>
  <c r="M6" i="1599"/>
  <c r="K6" i="1599"/>
  <c r="AE18" i="1601" l="1"/>
  <c r="AE15" i="1601"/>
  <c r="AE12" i="1601"/>
  <c r="AE8" i="1601"/>
  <c r="AE6" i="1601"/>
  <c r="AE20" i="1601"/>
  <c r="AE10" i="1601"/>
  <c r="AE7" i="1601"/>
  <c r="AE19" i="1601"/>
  <c r="AE16" i="1601"/>
  <c r="AE13" i="1601"/>
  <c r="AE9" i="1601"/>
  <c r="AE17" i="1601"/>
  <c r="AE14" i="1601"/>
  <c r="AE11" i="1601"/>
  <c r="AD19" i="1600"/>
  <c r="K21" i="1600"/>
  <c r="AD13" i="1600"/>
  <c r="M21" i="1600"/>
  <c r="AD20" i="1600"/>
  <c r="AB21" i="1600"/>
  <c r="P21" i="1600"/>
  <c r="AC21" i="1600"/>
  <c r="M20" i="1599"/>
  <c r="AB20" i="1599"/>
  <c r="AD20" i="1599" s="1"/>
  <c r="K20" i="1599"/>
  <c r="K19" i="1599"/>
  <c r="AB18" i="1599"/>
  <c r="O18" i="1599"/>
  <c r="P18" i="1599"/>
  <c r="AC18" i="1599" s="1"/>
  <c r="AD18" i="1599" s="1"/>
  <c r="O16" i="1599"/>
  <c r="P16" i="1599"/>
  <c r="AC16" i="1599" s="1"/>
  <c r="O15" i="1599"/>
  <c r="P15" i="1599"/>
  <c r="AC15" i="1599" s="1"/>
  <c r="P13" i="1599"/>
  <c r="AC13" i="1599" s="1"/>
  <c r="L21" i="1599"/>
  <c r="O21" i="1599" s="1"/>
  <c r="M11" i="1599"/>
  <c r="AB11" i="1599"/>
  <c r="AD11" i="1599" s="1"/>
  <c r="P9" i="1599"/>
  <c r="AC9" i="1599" s="1"/>
  <c r="AD14" i="1599"/>
  <c r="AF62" i="1599"/>
  <c r="Q21" i="1599"/>
  <c r="AD8" i="1599"/>
  <c r="AD12" i="1599"/>
  <c r="AD15" i="1599"/>
  <c r="AD6" i="1599"/>
  <c r="AB10" i="1599"/>
  <c r="M9" i="1599"/>
  <c r="AB9" i="1599"/>
  <c r="O10" i="1599"/>
  <c r="M13" i="1599"/>
  <c r="AB13" i="1599"/>
  <c r="M16" i="1599"/>
  <c r="AB16" i="1599"/>
  <c r="AD16" i="1599" s="1"/>
  <c r="O19" i="1599"/>
  <c r="M8" i="1599"/>
  <c r="O9" i="1599"/>
  <c r="K21" i="1599"/>
  <c r="P10" i="1599"/>
  <c r="AC10" i="1599" s="1"/>
  <c r="M12" i="1599"/>
  <c r="M15" i="1599"/>
  <c r="P19" i="1599"/>
  <c r="AC19" i="1599" s="1"/>
  <c r="M19" i="1599"/>
  <c r="AD21" i="1600" l="1"/>
  <c r="AE12" i="1600" s="1"/>
  <c r="AE18" i="1600"/>
  <c r="AE15" i="1600"/>
  <c r="AE16" i="1600"/>
  <c r="AE10" i="1600"/>
  <c r="AE19" i="1600"/>
  <c r="AE20" i="1600"/>
  <c r="AE14" i="1600"/>
  <c r="AE11" i="1600"/>
  <c r="AB21" i="1599"/>
  <c r="AC21" i="1599"/>
  <c r="M21" i="1599"/>
  <c r="AD19" i="1599"/>
  <c r="AD9" i="1599"/>
  <c r="P21" i="1599"/>
  <c r="AD13" i="1599"/>
  <c r="AD10" i="1599"/>
  <c r="AE8" i="1600" l="1"/>
  <c r="AE13" i="1600"/>
  <c r="AE6" i="1600"/>
  <c r="AE9" i="1600"/>
  <c r="AE17" i="1600"/>
  <c r="AE7" i="1600"/>
  <c r="AD21" i="1599"/>
  <c r="AE18" i="1599" s="1"/>
  <c r="AE17" i="1599" l="1"/>
  <c r="AE10" i="1599"/>
  <c r="AE20" i="1599"/>
  <c r="AE12" i="1599"/>
  <c r="AE8" i="1599"/>
  <c r="AE16" i="1599"/>
  <c r="AE9" i="1599"/>
  <c r="AE15" i="1599"/>
  <c r="AE7" i="1599"/>
  <c r="AE6" i="1599"/>
  <c r="AE14" i="1599"/>
  <c r="AE13" i="1599"/>
  <c r="AE11" i="1599"/>
  <c r="AE19" i="1599"/>
  <c r="AE12" i="1598" l="1"/>
  <c r="AE13" i="1598"/>
  <c r="AE14" i="1598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21" i="1598"/>
  <c r="K21" i="1598" s="1"/>
  <c r="L20" i="1598"/>
  <c r="AB20" i="1598" s="1"/>
  <c r="L17" i="1598"/>
  <c r="L16" i="1598"/>
  <c r="K16" i="1598" s="1"/>
  <c r="L14" i="1598"/>
  <c r="K14" i="1598" s="1"/>
  <c r="L13" i="1598"/>
  <c r="K13" i="1598" s="1"/>
  <c r="AF13" i="1598"/>
  <c r="Q13" i="1598"/>
  <c r="P13" i="1598" s="1"/>
  <c r="AC13" i="1598" s="1"/>
  <c r="L12" i="1598"/>
  <c r="K12" i="1598" s="1"/>
  <c r="L11" i="1598"/>
  <c r="AB11" i="1598" s="1"/>
  <c r="L10" i="1598"/>
  <c r="P10" i="1598"/>
  <c r="AC10" i="1598" s="1"/>
  <c r="L9" i="1598"/>
  <c r="AB9" i="1598" s="1"/>
  <c r="K9" i="1598"/>
  <c r="AF9" i="1598"/>
  <c r="Q9" i="1598"/>
  <c r="O9" i="1598"/>
  <c r="M9" i="1598"/>
  <c r="L8" i="1598"/>
  <c r="K20" i="1598"/>
  <c r="K19" i="1598"/>
  <c r="K17" i="1598"/>
  <c r="K15" i="1598"/>
  <c r="K10" i="1598"/>
  <c r="A75" i="1598"/>
  <c r="A76" i="1598" s="1"/>
  <c r="A77" i="1598" s="1"/>
  <c r="A78" i="1598" s="1"/>
  <c r="A79" i="1598" s="1"/>
  <c r="A80" i="1598" s="1"/>
  <c r="A81" i="1598" s="1"/>
  <c r="A82" i="1598" s="1"/>
  <c r="AF63" i="1598"/>
  <c r="AF61" i="1598"/>
  <c r="AF60" i="1598"/>
  <c r="AA22" i="1598"/>
  <c r="Z22" i="1598"/>
  <c r="Y22" i="1598"/>
  <c r="X22" i="1598"/>
  <c r="W22" i="1598"/>
  <c r="V22" i="1598"/>
  <c r="U22" i="1598"/>
  <c r="T22" i="1598"/>
  <c r="S22" i="1598"/>
  <c r="R22" i="1598"/>
  <c r="N22" i="1598"/>
  <c r="J22" i="1598"/>
  <c r="I22" i="1598"/>
  <c r="AF21" i="1598"/>
  <c r="Q21" i="1598"/>
  <c r="AF20" i="1598"/>
  <c r="Q20" i="1598"/>
  <c r="O20" i="1598"/>
  <c r="AF19" i="1598"/>
  <c r="AB19" i="1598"/>
  <c r="Q19" i="1598"/>
  <c r="P19" i="1598"/>
  <c r="AC19" i="1598" s="1"/>
  <c r="O19" i="1598"/>
  <c r="M19" i="1598"/>
  <c r="AF18" i="1598"/>
  <c r="AB18" i="1598"/>
  <c r="Q18" i="1598"/>
  <c r="P18" i="1598"/>
  <c r="AC18" i="1598" s="1"/>
  <c r="O18" i="1598"/>
  <c r="M18" i="1598"/>
  <c r="K18" i="1598"/>
  <c r="AF17" i="1598"/>
  <c r="Q17" i="1598"/>
  <c r="M17" i="1598"/>
  <c r="AF16" i="1598"/>
  <c r="Q16" i="1598"/>
  <c r="P16" i="1598" s="1"/>
  <c r="AC16" i="1598" s="1"/>
  <c r="AF15" i="1598"/>
  <c r="Q15" i="1598"/>
  <c r="P15" i="1598"/>
  <c r="AC15" i="1598" s="1"/>
  <c r="O15" i="1598"/>
  <c r="AB15" i="1598"/>
  <c r="AF14" i="1598"/>
  <c r="AB14" i="1598"/>
  <c r="Q14" i="1598"/>
  <c r="M14" i="1598"/>
  <c r="AF12" i="1598"/>
  <c r="AB12" i="1598"/>
  <c r="Q12" i="1598"/>
  <c r="O12" i="1598"/>
  <c r="M12" i="1598"/>
  <c r="AF11" i="1598"/>
  <c r="Q11" i="1598"/>
  <c r="O11" i="1598"/>
  <c r="AF10" i="1598"/>
  <c r="AB10" i="1598"/>
  <c r="Q10" i="1598"/>
  <c r="M10" i="1598"/>
  <c r="O10" i="1598"/>
  <c r="AF8" i="1598"/>
  <c r="Q8" i="1598"/>
  <c r="AF7" i="1598"/>
  <c r="AB7" i="1598"/>
  <c r="Q7" i="1598"/>
  <c r="P7" i="1598"/>
  <c r="AC7" i="1598" s="1"/>
  <c r="O7" i="1598"/>
  <c r="M7" i="1598"/>
  <c r="K7" i="1598"/>
  <c r="AF6" i="1598"/>
  <c r="AB6" i="1598"/>
  <c r="Q6" i="1598"/>
  <c r="P6" i="1598"/>
  <c r="O6" i="1598"/>
  <c r="M6" i="1598"/>
  <c r="K6" i="1598"/>
  <c r="O21" i="1598" l="1"/>
  <c r="P21" i="1598"/>
  <c r="AC21" i="1598" s="1"/>
  <c r="P17" i="1598"/>
  <c r="AC17" i="1598" s="1"/>
  <c r="AB17" i="1598"/>
  <c r="O14" i="1598"/>
  <c r="AD14" i="1598" s="1"/>
  <c r="P14" i="1598"/>
  <c r="AC14" i="1598" s="1"/>
  <c r="O13" i="1598"/>
  <c r="M13" i="1598"/>
  <c r="AB13" i="1598"/>
  <c r="AD13" i="1598" s="1"/>
  <c r="P12" i="1598"/>
  <c r="AC12" i="1598" s="1"/>
  <c r="AD12" i="1598" s="1"/>
  <c r="K11" i="1598"/>
  <c r="P8" i="1598"/>
  <c r="AC8" i="1598" s="1"/>
  <c r="AD19" i="1598"/>
  <c r="P9" i="1598"/>
  <c r="AC9" i="1598" s="1"/>
  <c r="AD9" i="1598" s="1"/>
  <c r="Q22" i="1598"/>
  <c r="K8" i="1598"/>
  <c r="AD7" i="1598"/>
  <c r="AD18" i="1598"/>
  <c r="AD15" i="1598"/>
  <c r="AD10" i="1598"/>
  <c r="AC6" i="1598"/>
  <c r="M8" i="1598"/>
  <c r="AB8" i="1598"/>
  <c r="P11" i="1598"/>
  <c r="AC11" i="1598" s="1"/>
  <c r="AD11" i="1598" s="1"/>
  <c r="M16" i="1598"/>
  <c r="AB16" i="1598"/>
  <c r="O17" i="1598"/>
  <c r="P20" i="1598"/>
  <c r="AC20" i="1598" s="1"/>
  <c r="AD20" i="1598" s="1"/>
  <c r="O8" i="1598"/>
  <c r="M15" i="1598"/>
  <c r="O16" i="1598"/>
  <c r="M21" i="1598"/>
  <c r="AB21" i="1598"/>
  <c r="L22" i="1598"/>
  <c r="O22" i="1598" s="1"/>
  <c r="M11" i="1598"/>
  <c r="M20" i="1598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L20" i="1597"/>
  <c r="O20" i="1597" s="1"/>
  <c r="K20" i="1597"/>
  <c r="L19" i="1597"/>
  <c r="L16" i="1597"/>
  <c r="L15" i="1597"/>
  <c r="K15" i="1597"/>
  <c r="L14" i="1597"/>
  <c r="K14" i="1597"/>
  <c r="L13" i="1597"/>
  <c r="L11" i="1597"/>
  <c r="K11" i="1597" s="1"/>
  <c r="L10" i="1597"/>
  <c r="AB10" i="1597" s="1"/>
  <c r="L9" i="1597"/>
  <c r="L8" i="1597"/>
  <c r="P8" i="1597" s="1"/>
  <c r="AC8" i="1597" s="1"/>
  <c r="K19" i="1597"/>
  <c r="K18" i="1597"/>
  <c r="K16" i="1597"/>
  <c r="K13" i="1597"/>
  <c r="K12" i="1597"/>
  <c r="K10" i="1597"/>
  <c r="K9" i="1597"/>
  <c r="K8" i="1597"/>
  <c r="A75" i="1597"/>
  <c r="A76" i="1597" s="1"/>
  <c r="A77" i="1597" s="1"/>
  <c r="A78" i="1597" s="1"/>
  <c r="A79" i="1597" s="1"/>
  <c r="A80" i="1597" s="1"/>
  <c r="A81" i="1597" s="1"/>
  <c r="A74" i="1597"/>
  <c r="AF60" i="1597"/>
  <c r="AF59" i="1597"/>
  <c r="AF62" i="1597" s="1"/>
  <c r="AA21" i="1597"/>
  <c r="Z21" i="1597"/>
  <c r="Y21" i="1597"/>
  <c r="X21" i="1597"/>
  <c r="W21" i="1597"/>
  <c r="V21" i="1597"/>
  <c r="U21" i="1597"/>
  <c r="T21" i="1597"/>
  <c r="S21" i="1597"/>
  <c r="R21" i="1597"/>
  <c r="N21" i="1597"/>
  <c r="J21" i="1597"/>
  <c r="I21" i="1597"/>
  <c r="AF20" i="1597"/>
  <c r="AB20" i="1597"/>
  <c r="Q20" i="1597"/>
  <c r="P20" i="1597"/>
  <c r="AC20" i="1597" s="1"/>
  <c r="AD20" i="1597" s="1"/>
  <c r="M20" i="1597"/>
  <c r="AF19" i="1597"/>
  <c r="Q19" i="1597"/>
  <c r="P19" i="1597" s="1"/>
  <c r="AC19" i="1597" s="1"/>
  <c r="O19" i="1597"/>
  <c r="AB19" i="1597"/>
  <c r="AF18" i="1597"/>
  <c r="AB18" i="1597"/>
  <c r="Q18" i="1597"/>
  <c r="P18" i="1597" s="1"/>
  <c r="AC18" i="1597" s="1"/>
  <c r="O18" i="1597"/>
  <c r="M18" i="1597"/>
  <c r="AF17" i="1597"/>
  <c r="AC17" i="1597"/>
  <c r="AB17" i="1597"/>
  <c r="Q17" i="1597"/>
  <c r="P17" i="1597"/>
  <c r="O17" i="1597"/>
  <c r="M17" i="1597"/>
  <c r="K17" i="1597"/>
  <c r="AF16" i="1597"/>
  <c r="AB16" i="1597"/>
  <c r="Q16" i="1597"/>
  <c r="P16" i="1597" s="1"/>
  <c r="AC16" i="1597" s="1"/>
  <c r="O16" i="1597"/>
  <c r="M16" i="1597"/>
  <c r="AF15" i="1597"/>
  <c r="AB15" i="1597"/>
  <c r="Q15" i="1597"/>
  <c r="O15" i="1597"/>
  <c r="M15" i="1597"/>
  <c r="AF14" i="1597"/>
  <c r="AB14" i="1597"/>
  <c r="Q14" i="1597"/>
  <c r="P14" i="1597"/>
  <c r="AC14" i="1597" s="1"/>
  <c r="O14" i="1597"/>
  <c r="M14" i="1597"/>
  <c r="AF13" i="1597"/>
  <c r="Q13" i="1597"/>
  <c r="AB13" i="1597"/>
  <c r="AF12" i="1597"/>
  <c r="Q12" i="1597"/>
  <c r="P12" i="1597"/>
  <c r="AC12" i="1597" s="1"/>
  <c r="M12" i="1597"/>
  <c r="AF11" i="1597"/>
  <c r="Q11" i="1597"/>
  <c r="P11" i="1597"/>
  <c r="AC11" i="1597" s="1"/>
  <c r="O11" i="1597"/>
  <c r="AB11" i="1597"/>
  <c r="AF10" i="1597"/>
  <c r="AC10" i="1597"/>
  <c r="Q10" i="1597"/>
  <c r="P10" i="1597"/>
  <c r="O10" i="1597"/>
  <c r="AF9" i="1597"/>
  <c r="Q9" i="1597"/>
  <c r="O9" i="1597"/>
  <c r="AF8" i="1597"/>
  <c r="Q8" i="1597"/>
  <c r="M8" i="1597"/>
  <c r="AF7" i="1597"/>
  <c r="AC7" i="1597"/>
  <c r="AB7" i="1597"/>
  <c r="Q7" i="1597"/>
  <c r="P7" i="1597"/>
  <c r="O7" i="1597"/>
  <c r="M7" i="1597"/>
  <c r="K7" i="1597"/>
  <c r="AF6" i="1597"/>
  <c r="AC6" i="1597"/>
  <c r="AB6" i="1597"/>
  <c r="Q6" i="1597"/>
  <c r="P6" i="1597"/>
  <c r="O6" i="1597"/>
  <c r="M6" i="1597"/>
  <c r="K6" i="1597"/>
  <c r="AD21" i="1598" l="1"/>
  <c r="AD17" i="1598"/>
  <c r="AD16" i="1598"/>
  <c r="K22" i="1598"/>
  <c r="AB22" i="1598"/>
  <c r="M22" i="1598"/>
  <c r="AC22" i="1598"/>
  <c r="AD6" i="1598"/>
  <c r="P22" i="1598"/>
  <c r="AD8" i="1598"/>
  <c r="AD18" i="1597"/>
  <c r="P15" i="1597"/>
  <c r="AC15" i="1597" s="1"/>
  <c r="AD15" i="1597"/>
  <c r="AD14" i="1597"/>
  <c r="M10" i="1597"/>
  <c r="Q21" i="1597"/>
  <c r="AD17" i="1597"/>
  <c r="AD10" i="1597"/>
  <c r="AD16" i="1597"/>
  <c r="AD7" i="1597"/>
  <c r="AD11" i="1597"/>
  <c r="AD19" i="1597"/>
  <c r="M9" i="1597"/>
  <c r="AB8" i="1597"/>
  <c r="AB12" i="1597"/>
  <c r="O13" i="1597"/>
  <c r="AD6" i="1597"/>
  <c r="O8" i="1597"/>
  <c r="K21" i="1597"/>
  <c r="P9" i="1597"/>
  <c r="AC9" i="1597" s="1"/>
  <c r="M11" i="1597"/>
  <c r="O12" i="1597"/>
  <c r="P13" i="1597"/>
  <c r="AC13" i="1597" s="1"/>
  <c r="M19" i="1597"/>
  <c r="M13" i="1597"/>
  <c r="L21" i="1597"/>
  <c r="O21" i="1597" s="1"/>
  <c r="AB9" i="1597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19" i="1596"/>
  <c r="L18" i="1596"/>
  <c r="AB18" i="1596" s="1"/>
  <c r="L13" i="1596"/>
  <c r="O13" i="1596" s="1"/>
  <c r="K13" i="1596"/>
  <c r="L12" i="1596"/>
  <c r="O12" i="1596" s="1"/>
  <c r="L11" i="1596"/>
  <c r="L10" i="1596"/>
  <c r="O10" i="1596" s="1"/>
  <c r="K10" i="1596"/>
  <c r="L9" i="1596"/>
  <c r="L8" i="1596"/>
  <c r="K8" i="1596" s="1"/>
  <c r="K20" i="1596"/>
  <c r="K16" i="1596"/>
  <c r="K15" i="1596"/>
  <c r="K11" i="1596"/>
  <c r="K9" i="1596"/>
  <c r="A74" i="1596"/>
  <c r="A75" i="1596" s="1"/>
  <c r="A76" i="1596" s="1"/>
  <c r="A77" i="1596" s="1"/>
  <c r="A78" i="1596" s="1"/>
  <c r="A79" i="1596" s="1"/>
  <c r="A80" i="1596" s="1"/>
  <c r="A81" i="1596" s="1"/>
  <c r="AF60" i="1596"/>
  <c r="AF59" i="1596"/>
  <c r="AF62" i="1596" s="1"/>
  <c r="AA21" i="1596"/>
  <c r="Z21" i="1596"/>
  <c r="Y21" i="1596"/>
  <c r="X21" i="1596"/>
  <c r="W21" i="1596"/>
  <c r="V21" i="1596"/>
  <c r="U21" i="1596"/>
  <c r="T21" i="1596"/>
  <c r="S21" i="1596"/>
  <c r="R21" i="1596"/>
  <c r="N21" i="1596"/>
  <c r="J21" i="1596"/>
  <c r="I21" i="1596"/>
  <c r="AF20" i="1596"/>
  <c r="Q20" i="1596"/>
  <c r="O20" i="1596"/>
  <c r="AF19" i="1596"/>
  <c r="Q19" i="1596"/>
  <c r="AF18" i="1596"/>
  <c r="Q18" i="1596"/>
  <c r="AF17" i="1596"/>
  <c r="AB17" i="1596"/>
  <c r="Q17" i="1596"/>
  <c r="P17" i="1596"/>
  <c r="AC17" i="1596" s="1"/>
  <c r="O17" i="1596"/>
  <c r="M17" i="1596"/>
  <c r="K17" i="1596"/>
  <c r="AF16" i="1596"/>
  <c r="Q16" i="1596"/>
  <c r="P16" i="1596"/>
  <c r="AC16" i="1596" s="1"/>
  <c r="M16" i="1596"/>
  <c r="AB16" i="1596"/>
  <c r="AF15" i="1596"/>
  <c r="Q15" i="1596"/>
  <c r="O15" i="1596"/>
  <c r="P15" i="1596"/>
  <c r="AC15" i="1596" s="1"/>
  <c r="AF14" i="1596"/>
  <c r="AB14" i="1596"/>
  <c r="Q14" i="1596"/>
  <c r="P14" i="1596"/>
  <c r="AC14" i="1596" s="1"/>
  <c r="O14" i="1596"/>
  <c r="M14" i="1596"/>
  <c r="K14" i="1596"/>
  <c r="AF13" i="1596"/>
  <c r="Q13" i="1596"/>
  <c r="AF12" i="1596"/>
  <c r="AB12" i="1596"/>
  <c r="Q12" i="1596"/>
  <c r="AF11" i="1596"/>
  <c r="Q11" i="1596"/>
  <c r="O11" i="1596"/>
  <c r="AF10" i="1596"/>
  <c r="Q10" i="1596"/>
  <c r="P10" i="1596" s="1"/>
  <c r="AC10" i="1596" s="1"/>
  <c r="M10" i="1596"/>
  <c r="AF9" i="1596"/>
  <c r="Q9" i="1596"/>
  <c r="P9" i="1596" s="1"/>
  <c r="AC9" i="1596" s="1"/>
  <c r="O9" i="1596"/>
  <c r="AF8" i="1596"/>
  <c r="AB8" i="1596"/>
  <c r="Q8" i="1596"/>
  <c r="O8" i="1596"/>
  <c r="M8" i="1596"/>
  <c r="AF7" i="1596"/>
  <c r="AB7" i="1596"/>
  <c r="Q7" i="1596"/>
  <c r="P7" i="1596"/>
  <c r="AC7" i="1596" s="1"/>
  <c r="AD7" i="1596" s="1"/>
  <c r="O7" i="1596"/>
  <c r="M7" i="1596"/>
  <c r="K7" i="1596"/>
  <c r="AF6" i="1596"/>
  <c r="AB6" i="1596"/>
  <c r="Q6" i="1596"/>
  <c r="P6" i="1596"/>
  <c r="AC6" i="1596" s="1"/>
  <c r="O6" i="1596"/>
  <c r="M6" i="1596"/>
  <c r="K6" i="1596"/>
  <c r="AD22" i="1598" l="1"/>
  <c r="M21" i="1597"/>
  <c r="AB21" i="1597"/>
  <c r="AD13" i="1597"/>
  <c r="AD12" i="1597"/>
  <c r="P21" i="1597"/>
  <c r="AD8" i="1597"/>
  <c r="AD9" i="1597"/>
  <c r="AC21" i="1597"/>
  <c r="P19" i="1596"/>
  <c r="AC19" i="1596" s="1"/>
  <c r="M19" i="1596"/>
  <c r="AB19" i="1596"/>
  <c r="AD19" i="1596" s="1"/>
  <c r="O19" i="1596"/>
  <c r="K19" i="1596"/>
  <c r="AB10" i="1596"/>
  <c r="P8" i="1596"/>
  <c r="AC8" i="1596" s="1"/>
  <c r="P13" i="1596"/>
  <c r="AC13" i="1596" s="1"/>
  <c r="P18" i="1596"/>
  <c r="AC18" i="1596" s="1"/>
  <c r="AD18" i="1596" s="1"/>
  <c r="O18" i="1596"/>
  <c r="K18" i="1596"/>
  <c r="M18" i="1596"/>
  <c r="K12" i="1596"/>
  <c r="L21" i="1596"/>
  <c r="O21" i="1596" s="1"/>
  <c r="M12" i="1596"/>
  <c r="P12" i="1596"/>
  <c r="AC12" i="1596" s="1"/>
  <c r="AD12" i="1596" s="1"/>
  <c r="Q21" i="1596"/>
  <c r="AD8" i="1596"/>
  <c r="AD14" i="1596"/>
  <c r="AD17" i="1596"/>
  <c r="AD10" i="1596"/>
  <c r="M9" i="1596"/>
  <c r="AB9" i="1596"/>
  <c r="P11" i="1596"/>
  <c r="AC11" i="1596" s="1"/>
  <c r="M13" i="1596"/>
  <c r="AB13" i="1596"/>
  <c r="M15" i="1596"/>
  <c r="AB15" i="1596"/>
  <c r="AD15" i="1596" s="1"/>
  <c r="O16" i="1596"/>
  <c r="AD16" i="1596" s="1"/>
  <c r="P20" i="1596"/>
  <c r="AC20" i="1596" s="1"/>
  <c r="AD6" i="1596"/>
  <c r="K21" i="1596"/>
  <c r="M11" i="1596"/>
  <c r="AB11" i="1596"/>
  <c r="M20" i="1596"/>
  <c r="AB20" i="1596"/>
  <c r="W17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22" i="1595"/>
  <c r="K21" i="1595"/>
  <c r="AF20" i="1595"/>
  <c r="AB20" i="1595"/>
  <c r="Q20" i="1595"/>
  <c r="P20" i="1595" s="1"/>
  <c r="AC20" i="1595" s="1"/>
  <c r="AD20" i="1595" s="1"/>
  <c r="O20" i="1595"/>
  <c r="M20" i="1595"/>
  <c r="K20" i="1595"/>
  <c r="L17" i="1595"/>
  <c r="P17" i="1595" s="1"/>
  <c r="AC17" i="1595" s="1"/>
  <c r="L16" i="1595"/>
  <c r="K16" i="1595" s="1"/>
  <c r="L14" i="1595"/>
  <c r="K14" i="1595"/>
  <c r="AF14" i="1595"/>
  <c r="Q14" i="1595"/>
  <c r="P14" i="1595" s="1"/>
  <c r="AC14" i="1595" s="1"/>
  <c r="AB14" i="1595"/>
  <c r="L13" i="1595"/>
  <c r="L12" i="1595"/>
  <c r="L11" i="1595"/>
  <c r="K11" i="1595"/>
  <c r="L10" i="1595"/>
  <c r="K10" i="1595"/>
  <c r="L9" i="1595"/>
  <c r="L8" i="1595"/>
  <c r="K8" i="1595" s="1"/>
  <c r="K22" i="1595"/>
  <c r="K19" i="1595"/>
  <c r="K18" i="1595"/>
  <c r="K13" i="1595"/>
  <c r="K12" i="1595"/>
  <c r="K9" i="1595"/>
  <c r="A77" i="1595"/>
  <c r="A78" i="1595" s="1"/>
  <c r="A79" i="1595" s="1"/>
  <c r="A80" i="1595" s="1"/>
  <c r="A81" i="1595" s="1"/>
  <c r="A82" i="1595" s="1"/>
  <c r="A83" i="1595" s="1"/>
  <c r="A76" i="1595"/>
  <c r="AF62" i="1595"/>
  <c r="AF61" i="1595"/>
  <c r="AF64" i="1595" s="1"/>
  <c r="AA23" i="1595"/>
  <c r="Z23" i="1595"/>
  <c r="Y23" i="1595"/>
  <c r="X23" i="1595"/>
  <c r="W23" i="1595"/>
  <c r="V23" i="1595"/>
  <c r="U23" i="1595"/>
  <c r="T23" i="1595"/>
  <c r="S23" i="1595"/>
  <c r="R23" i="1595"/>
  <c r="N23" i="1595"/>
  <c r="J23" i="1595"/>
  <c r="I23" i="1595"/>
  <c r="AF22" i="1595"/>
  <c r="Q22" i="1595"/>
  <c r="O22" i="1595"/>
  <c r="AF21" i="1595"/>
  <c r="Q21" i="1595"/>
  <c r="P21" i="1595" s="1"/>
  <c r="AC21" i="1595" s="1"/>
  <c r="AB21" i="1595"/>
  <c r="AF19" i="1595"/>
  <c r="AB19" i="1595"/>
  <c r="Q19" i="1595"/>
  <c r="P19" i="1595" s="1"/>
  <c r="AC19" i="1595" s="1"/>
  <c r="O19" i="1595"/>
  <c r="M19" i="1595"/>
  <c r="AF18" i="1595"/>
  <c r="Q18" i="1595"/>
  <c r="O18" i="1595"/>
  <c r="AF17" i="1595"/>
  <c r="Q17" i="1595"/>
  <c r="AF16" i="1595"/>
  <c r="AB16" i="1595"/>
  <c r="Q16" i="1595"/>
  <c r="P16" i="1595"/>
  <c r="AC16" i="1595" s="1"/>
  <c r="M16" i="1595"/>
  <c r="AF15" i="1595"/>
  <c r="AB15" i="1595"/>
  <c r="Q15" i="1595"/>
  <c r="P15" i="1595"/>
  <c r="AC15" i="1595" s="1"/>
  <c r="O15" i="1595"/>
  <c r="M15" i="1595"/>
  <c r="K15" i="1595"/>
  <c r="AF13" i="1595"/>
  <c r="Q13" i="1595"/>
  <c r="AB13" i="1595"/>
  <c r="AF12" i="1595"/>
  <c r="AB12" i="1595"/>
  <c r="Q12" i="1595"/>
  <c r="P12" i="1595" s="1"/>
  <c r="AC12" i="1595" s="1"/>
  <c r="O12" i="1595"/>
  <c r="M12" i="1595"/>
  <c r="AF11" i="1595"/>
  <c r="AB11" i="1595"/>
  <c r="Q11" i="1595"/>
  <c r="P11" i="1595" s="1"/>
  <c r="AC11" i="1595" s="1"/>
  <c r="O11" i="1595"/>
  <c r="M11" i="1595"/>
  <c r="AF10" i="1595"/>
  <c r="Q10" i="1595"/>
  <c r="P10" i="1595" s="1"/>
  <c r="AC10" i="1595" s="1"/>
  <c r="O10" i="1595"/>
  <c r="AB10" i="1595"/>
  <c r="AF9" i="1595"/>
  <c r="AB9" i="1595"/>
  <c r="Q9" i="1595"/>
  <c r="P9" i="1595" s="1"/>
  <c r="AC9" i="1595" s="1"/>
  <c r="O9" i="1595"/>
  <c r="M9" i="1595"/>
  <c r="AF8" i="1595"/>
  <c r="Q8" i="1595"/>
  <c r="O8" i="1595"/>
  <c r="AF7" i="1595"/>
  <c r="AB7" i="1595"/>
  <c r="Q7" i="1595"/>
  <c r="P7" i="1595"/>
  <c r="O7" i="1595"/>
  <c r="M7" i="1595"/>
  <c r="K7" i="1595"/>
  <c r="AF6" i="1595"/>
  <c r="AB6" i="1595"/>
  <c r="Q6" i="1595"/>
  <c r="P6" i="1595"/>
  <c r="AC6" i="1595" s="1"/>
  <c r="O6" i="1595"/>
  <c r="M6" i="1595"/>
  <c r="K6" i="1595"/>
  <c r="AE19" i="1598" l="1"/>
  <c r="AE9" i="1598"/>
  <c r="AE11" i="1598"/>
  <c r="AE8" i="1598"/>
  <c r="AE16" i="1598"/>
  <c r="AE18" i="1598"/>
  <c r="AE20" i="1598"/>
  <c r="AE17" i="1598"/>
  <c r="AE10" i="1598"/>
  <c r="AE15" i="1598"/>
  <c r="AE7" i="1598"/>
  <c r="AE21" i="1598"/>
  <c r="AE6" i="1598"/>
  <c r="AD21" i="1597"/>
  <c r="AE8" i="1597" s="1"/>
  <c r="AD13" i="1596"/>
  <c r="AB21" i="1596"/>
  <c r="M21" i="1596"/>
  <c r="P21" i="1596"/>
  <c r="AD11" i="1596"/>
  <c r="AC21" i="1596"/>
  <c r="AD20" i="1596"/>
  <c r="AD9" i="1596"/>
  <c r="AD9" i="1595"/>
  <c r="AD19" i="1595"/>
  <c r="AB17" i="1595"/>
  <c r="K17" i="1595"/>
  <c r="O16" i="1595"/>
  <c r="AD16" i="1595" s="1"/>
  <c r="AD15" i="1595"/>
  <c r="O14" i="1595"/>
  <c r="AD14" i="1595" s="1"/>
  <c r="M14" i="1595"/>
  <c r="P13" i="1595"/>
  <c r="AC13" i="1595" s="1"/>
  <c r="O13" i="1595"/>
  <c r="Q23" i="1595"/>
  <c r="AD12" i="1595"/>
  <c r="AD11" i="1595"/>
  <c r="AD10" i="1595"/>
  <c r="AD13" i="1595"/>
  <c r="AB8" i="1595"/>
  <c r="M18" i="1595"/>
  <c r="AB22" i="1595"/>
  <c r="L23" i="1595"/>
  <c r="O23" i="1595" s="1"/>
  <c r="AC7" i="1595"/>
  <c r="AD7" i="1595" s="1"/>
  <c r="P8" i="1595"/>
  <c r="AC8" i="1595" s="1"/>
  <c r="M10" i="1595"/>
  <c r="M13" i="1595"/>
  <c r="O17" i="1595"/>
  <c r="P18" i="1595"/>
  <c r="AC18" i="1595" s="1"/>
  <c r="O21" i="1595"/>
  <c r="AD21" i="1595" s="1"/>
  <c r="W16" i="16" s="1"/>
  <c r="P22" i="1595"/>
  <c r="AC22" i="1595" s="1"/>
  <c r="M8" i="1595"/>
  <c r="AB18" i="1595"/>
  <c r="M22" i="1595"/>
  <c r="AD6" i="1595"/>
  <c r="M17" i="1595"/>
  <c r="M21" i="1595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L20" i="1594"/>
  <c r="L19" i="1594"/>
  <c r="K19" i="1594" s="1"/>
  <c r="L17" i="1594"/>
  <c r="K17" i="1594" s="1"/>
  <c r="L16" i="1594"/>
  <c r="L13" i="1594"/>
  <c r="K13" i="1594"/>
  <c r="L12" i="1594"/>
  <c r="M12" i="1594" s="1"/>
  <c r="L10" i="1594"/>
  <c r="K10" i="1594" s="1"/>
  <c r="L9" i="1594"/>
  <c r="L8" i="1594"/>
  <c r="K20" i="1594"/>
  <c r="K18" i="1594"/>
  <c r="K12" i="1594"/>
  <c r="K11" i="1594"/>
  <c r="K9" i="1594"/>
  <c r="K8" i="1594"/>
  <c r="A74" i="1594"/>
  <c r="A75" i="1594" s="1"/>
  <c r="A76" i="1594" s="1"/>
  <c r="A77" i="1594" s="1"/>
  <c r="A78" i="1594" s="1"/>
  <c r="A79" i="1594" s="1"/>
  <c r="A80" i="1594" s="1"/>
  <c r="A81" i="1594" s="1"/>
  <c r="AF60" i="1594"/>
  <c r="AF59" i="1594"/>
  <c r="AF62" i="1594" s="1"/>
  <c r="AA21" i="1594"/>
  <c r="Z21" i="1594"/>
  <c r="Y21" i="1594"/>
  <c r="X21" i="1594"/>
  <c r="W21" i="1594"/>
  <c r="V21" i="1594"/>
  <c r="U21" i="1594"/>
  <c r="T21" i="1594"/>
  <c r="S21" i="1594"/>
  <c r="R21" i="1594"/>
  <c r="N21" i="1594"/>
  <c r="J21" i="1594"/>
  <c r="I21" i="1594"/>
  <c r="AF20" i="1594"/>
  <c r="Q20" i="1594"/>
  <c r="O20" i="1594"/>
  <c r="AF19" i="1594"/>
  <c r="AB19" i="1594"/>
  <c r="Q19" i="1594"/>
  <c r="P19" i="1594"/>
  <c r="AC19" i="1594" s="1"/>
  <c r="O19" i="1594"/>
  <c r="M19" i="1594"/>
  <c r="AF18" i="1594"/>
  <c r="AB18" i="1594"/>
  <c r="Q18" i="1594"/>
  <c r="P18" i="1594" s="1"/>
  <c r="AC18" i="1594" s="1"/>
  <c r="M18" i="1594"/>
  <c r="O18" i="1594"/>
  <c r="AF17" i="1594"/>
  <c r="Q17" i="1594"/>
  <c r="O17" i="1594"/>
  <c r="AF16" i="1594"/>
  <c r="Q16" i="1594"/>
  <c r="AF15" i="1594"/>
  <c r="AB15" i="1594"/>
  <c r="Q15" i="1594"/>
  <c r="P15" i="1594"/>
  <c r="AC15" i="1594" s="1"/>
  <c r="O15" i="1594"/>
  <c r="M15" i="1594"/>
  <c r="K15" i="1594"/>
  <c r="AF14" i="1594"/>
  <c r="AB14" i="1594"/>
  <c r="Q14" i="1594"/>
  <c r="P14" i="1594"/>
  <c r="AC14" i="1594" s="1"/>
  <c r="AD14" i="1594" s="1"/>
  <c r="O14" i="1594"/>
  <c r="M14" i="1594"/>
  <c r="K14" i="1594"/>
  <c r="AF13" i="1594"/>
  <c r="Q13" i="1594"/>
  <c r="AB13" i="1594"/>
  <c r="AF12" i="1594"/>
  <c r="AB12" i="1594"/>
  <c r="Q12" i="1594"/>
  <c r="P12" i="1594" s="1"/>
  <c r="AC12" i="1594" s="1"/>
  <c r="O12" i="1594"/>
  <c r="AF11" i="1594"/>
  <c r="Q11" i="1594"/>
  <c r="P11" i="1594" s="1"/>
  <c r="AC11" i="1594" s="1"/>
  <c r="O11" i="1594"/>
  <c r="AF10" i="1594"/>
  <c r="AB10" i="1594"/>
  <c r="Q10" i="1594"/>
  <c r="AF9" i="1594"/>
  <c r="Q9" i="1594"/>
  <c r="AB9" i="1594"/>
  <c r="AF8" i="1594"/>
  <c r="AB8" i="1594"/>
  <c r="Q8" i="1594"/>
  <c r="P8" i="1594" s="1"/>
  <c r="AC8" i="1594" s="1"/>
  <c r="M8" i="1594"/>
  <c r="AF7" i="1594"/>
  <c r="AB7" i="1594"/>
  <c r="Q7" i="1594"/>
  <c r="P7" i="1594"/>
  <c r="AC7" i="1594" s="1"/>
  <c r="AD7" i="1594" s="1"/>
  <c r="O7" i="1594"/>
  <c r="M7" i="1594"/>
  <c r="K7" i="1594"/>
  <c r="AF6" i="1594"/>
  <c r="AB6" i="1594"/>
  <c r="Q6" i="1594"/>
  <c r="P6" i="1594"/>
  <c r="AC6" i="1594" s="1"/>
  <c r="O6" i="1594"/>
  <c r="M6" i="1594"/>
  <c r="K6" i="1594"/>
  <c r="AE16" i="1597" l="1"/>
  <c r="AE13" i="1597"/>
  <c r="AE20" i="1597"/>
  <c r="AE10" i="1597"/>
  <c r="AE12" i="1597"/>
  <c r="AE15" i="1597"/>
  <c r="AE14" i="1597"/>
  <c r="AE7" i="1597"/>
  <c r="AE9" i="1597"/>
  <c r="AE19" i="1597"/>
  <c r="AE17" i="1597"/>
  <c r="AE6" i="1597"/>
  <c r="AE11" i="1597"/>
  <c r="AE18" i="1597"/>
  <c r="AD21" i="1596"/>
  <c r="AE15" i="1596" s="1"/>
  <c r="AD17" i="1595"/>
  <c r="AB23" i="1595"/>
  <c r="M23" i="1595"/>
  <c r="AD18" i="1595"/>
  <c r="AD8" i="1595"/>
  <c r="AD22" i="1595"/>
  <c r="P23" i="1595"/>
  <c r="K23" i="1595"/>
  <c r="AC23" i="1595"/>
  <c r="P16" i="1594"/>
  <c r="AC16" i="1594" s="1"/>
  <c r="P10" i="1594"/>
  <c r="AC10" i="1594" s="1"/>
  <c r="M16" i="1594"/>
  <c r="P17" i="1594"/>
  <c r="AC17" i="1594" s="1"/>
  <c r="AB16" i="1594"/>
  <c r="L21" i="1594"/>
  <c r="O21" i="1594" s="1"/>
  <c r="M10" i="1594"/>
  <c r="K16" i="1594"/>
  <c r="AD19" i="1594"/>
  <c r="O16" i="1594"/>
  <c r="AD16" i="1594" s="1"/>
  <c r="O10" i="1594"/>
  <c r="AD10" i="1594" s="1"/>
  <c r="Q21" i="1594"/>
  <c r="AD15" i="1594"/>
  <c r="AD12" i="1594"/>
  <c r="AD18" i="1594"/>
  <c r="O9" i="1594"/>
  <c r="O13" i="1594"/>
  <c r="AD6" i="1594"/>
  <c r="O8" i="1594"/>
  <c r="AD8" i="1594" s="1"/>
  <c r="K21" i="1594"/>
  <c r="P9" i="1594"/>
  <c r="AC9" i="1594" s="1"/>
  <c r="M11" i="1594"/>
  <c r="AB11" i="1594"/>
  <c r="P13" i="1594"/>
  <c r="AC13" i="1594" s="1"/>
  <c r="M17" i="1594"/>
  <c r="AB17" i="1594"/>
  <c r="AD17" i="1594" s="1"/>
  <c r="P20" i="1594"/>
  <c r="AC20" i="1594" s="1"/>
  <c r="M9" i="1594"/>
  <c r="M13" i="1594"/>
  <c r="M20" i="1594"/>
  <c r="AB20" i="1594"/>
  <c r="AE20" i="1596" l="1"/>
  <c r="AE9" i="1596"/>
  <c r="AE6" i="1596"/>
  <c r="AE17" i="1596"/>
  <c r="AE16" i="1596"/>
  <c r="AE13" i="1596"/>
  <c r="AE11" i="1596"/>
  <c r="AE12" i="1596"/>
  <c r="AE10" i="1596"/>
  <c r="AE19" i="1596"/>
  <c r="AE14" i="1596"/>
  <c r="AE7" i="1596"/>
  <c r="AE8" i="1596"/>
  <c r="AE18" i="1596"/>
  <c r="AD23" i="1595"/>
  <c r="W18" i="16" s="1"/>
  <c r="AD13" i="1594"/>
  <c r="M21" i="1594"/>
  <c r="P21" i="1594"/>
  <c r="AD20" i="1594"/>
  <c r="AB21" i="1594"/>
  <c r="AD11" i="1594"/>
  <c r="AD9" i="1594"/>
  <c r="AD21" i="1594" s="1"/>
  <c r="AC21" i="1594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L21" i="1593"/>
  <c r="AB21" i="1593" s="1"/>
  <c r="AF19" i="1593"/>
  <c r="AB19" i="1593"/>
  <c r="Q19" i="1593"/>
  <c r="P19" i="1593" s="1"/>
  <c r="AC19" i="1593" s="1"/>
  <c r="AD19" i="1593" s="1"/>
  <c r="O19" i="1593"/>
  <c r="M19" i="1593"/>
  <c r="K19" i="1593"/>
  <c r="K20" i="1593"/>
  <c r="L18" i="1593"/>
  <c r="L17" i="1593"/>
  <c r="L16" i="1593"/>
  <c r="L13" i="1593"/>
  <c r="L12" i="1593"/>
  <c r="L11" i="1593"/>
  <c r="K11" i="1593"/>
  <c r="L10" i="1593"/>
  <c r="K10" i="1593" s="1"/>
  <c r="L9" i="1593"/>
  <c r="L8" i="1593"/>
  <c r="K8" i="1593" s="1"/>
  <c r="K21" i="1593"/>
  <c r="K18" i="1593"/>
  <c r="K17" i="1593"/>
  <c r="K16" i="1593"/>
  <c r="K13" i="1593"/>
  <c r="K12" i="1593"/>
  <c r="K9" i="1593"/>
  <c r="A75" i="1593"/>
  <c r="A76" i="1593" s="1"/>
  <c r="A77" i="1593" s="1"/>
  <c r="A78" i="1593" s="1"/>
  <c r="A79" i="1593" s="1"/>
  <c r="A80" i="1593" s="1"/>
  <c r="A81" i="1593" s="1"/>
  <c r="A82" i="1593" s="1"/>
  <c r="AF63" i="1593"/>
  <c r="AF61" i="1593"/>
  <c r="AF60" i="1593"/>
  <c r="AA22" i="1593"/>
  <c r="Z22" i="1593"/>
  <c r="Y22" i="1593"/>
  <c r="X22" i="1593"/>
  <c r="W22" i="1593"/>
  <c r="V22" i="1593"/>
  <c r="U22" i="1593"/>
  <c r="T22" i="1593"/>
  <c r="S22" i="1593"/>
  <c r="R22" i="1593"/>
  <c r="N22" i="1593"/>
  <c r="J22" i="1593"/>
  <c r="I22" i="1593"/>
  <c r="AF21" i="1593"/>
  <c r="Q21" i="1593"/>
  <c r="P21" i="1593"/>
  <c r="AC21" i="1593" s="1"/>
  <c r="O21" i="1593"/>
  <c r="M21" i="1593"/>
  <c r="AF20" i="1593"/>
  <c r="AB20" i="1593"/>
  <c r="Q20" i="1593"/>
  <c r="P20" i="1593" s="1"/>
  <c r="AC20" i="1593" s="1"/>
  <c r="O20" i="1593"/>
  <c r="M20" i="1593"/>
  <c r="AF18" i="1593"/>
  <c r="AB18" i="1593"/>
  <c r="Q18" i="1593"/>
  <c r="M18" i="1593"/>
  <c r="AF17" i="1593"/>
  <c r="Q17" i="1593"/>
  <c r="P17" i="1593" s="1"/>
  <c r="AC17" i="1593" s="1"/>
  <c r="AF16" i="1593"/>
  <c r="Q16" i="1593"/>
  <c r="O16" i="1593"/>
  <c r="AB16" i="1593"/>
  <c r="AF15" i="1593"/>
  <c r="AB15" i="1593"/>
  <c r="Q15" i="1593"/>
  <c r="P15" i="1593"/>
  <c r="AC15" i="1593" s="1"/>
  <c r="O15" i="1593"/>
  <c r="M15" i="1593"/>
  <c r="K15" i="1593"/>
  <c r="AF14" i="1593"/>
  <c r="AB14" i="1593"/>
  <c r="Q14" i="1593"/>
  <c r="P14" i="1593"/>
  <c r="AC14" i="1593" s="1"/>
  <c r="O14" i="1593"/>
  <c r="M14" i="1593"/>
  <c r="K14" i="1593"/>
  <c r="AF13" i="1593"/>
  <c r="AB13" i="1593"/>
  <c r="Q13" i="1593"/>
  <c r="O13" i="1593"/>
  <c r="M13" i="1593"/>
  <c r="AF12" i="1593"/>
  <c r="AB12" i="1593"/>
  <c r="Q12" i="1593"/>
  <c r="O12" i="1593"/>
  <c r="M12" i="1593"/>
  <c r="P12" i="1593"/>
  <c r="AC12" i="1593" s="1"/>
  <c r="AF11" i="1593"/>
  <c r="AB11" i="1593"/>
  <c r="Q11" i="1593"/>
  <c r="P11" i="1593" s="1"/>
  <c r="AC11" i="1593" s="1"/>
  <c r="O11" i="1593"/>
  <c r="M11" i="1593"/>
  <c r="AF10" i="1593"/>
  <c r="AB10" i="1593"/>
  <c r="Q10" i="1593"/>
  <c r="O10" i="1593"/>
  <c r="M10" i="1593"/>
  <c r="AF9" i="1593"/>
  <c r="AB9" i="1593"/>
  <c r="Q9" i="1593"/>
  <c r="O9" i="1593"/>
  <c r="M9" i="1593"/>
  <c r="P9" i="1593"/>
  <c r="AC9" i="1593" s="1"/>
  <c r="AD9" i="1593" s="1"/>
  <c r="AF8" i="1593"/>
  <c r="Q8" i="1593"/>
  <c r="P8" i="1593" s="1"/>
  <c r="AC8" i="1593" s="1"/>
  <c r="AF7" i="1593"/>
  <c r="AB7" i="1593"/>
  <c r="Q7" i="1593"/>
  <c r="P7" i="1593"/>
  <c r="AC7" i="1593" s="1"/>
  <c r="O7" i="1593"/>
  <c r="M7" i="1593"/>
  <c r="K7" i="1593"/>
  <c r="AF6" i="1593"/>
  <c r="AC6" i="1593"/>
  <c r="AB6" i="1593"/>
  <c r="Q6" i="1593"/>
  <c r="P6" i="1593"/>
  <c r="O6" i="1593"/>
  <c r="M6" i="1593"/>
  <c r="K6" i="1593"/>
  <c r="AE14" i="1595" l="1"/>
  <c r="AE20" i="1595"/>
  <c r="AE18" i="1595"/>
  <c r="AE21" i="1595"/>
  <c r="AE22" i="1595"/>
  <c r="AE9" i="1595"/>
  <c r="AE8" i="1595"/>
  <c r="AE7" i="1595"/>
  <c r="AE12" i="1595"/>
  <c r="AE13" i="1595"/>
  <c r="AE11" i="1595"/>
  <c r="AE10" i="1595"/>
  <c r="AE15" i="1595"/>
  <c r="AE16" i="1595"/>
  <c r="AE6" i="1595"/>
  <c r="AE17" i="1595"/>
  <c r="AE19" i="1595"/>
  <c r="AE17" i="1594"/>
  <c r="AE15" i="1594"/>
  <c r="AE9" i="1594"/>
  <c r="AE6" i="1594"/>
  <c r="AE19" i="1594"/>
  <c r="AE18" i="1594"/>
  <c r="AE12" i="1594"/>
  <c r="AE8" i="1594"/>
  <c r="AE20" i="1594"/>
  <c r="AE13" i="1594"/>
  <c r="AE16" i="1594"/>
  <c r="AE10" i="1594"/>
  <c r="AE14" i="1594"/>
  <c r="AE11" i="1594"/>
  <c r="AE7" i="1594"/>
  <c r="AD15" i="1593"/>
  <c r="AD7" i="1593"/>
  <c r="AD20" i="1593"/>
  <c r="P18" i="1593"/>
  <c r="AC18" i="1593" s="1"/>
  <c r="P16" i="1593"/>
  <c r="AC16" i="1593" s="1"/>
  <c r="AD16" i="1593" s="1"/>
  <c r="P13" i="1593"/>
  <c r="AC13" i="1593" s="1"/>
  <c r="Q22" i="1593"/>
  <c r="AD11" i="1593"/>
  <c r="P10" i="1593"/>
  <c r="AC10" i="1593" s="1"/>
  <c r="AD10" i="1593" s="1"/>
  <c r="AD21" i="1593"/>
  <c r="AD13" i="1593"/>
  <c r="AD12" i="1593"/>
  <c r="AD14" i="1593"/>
  <c r="M17" i="1593"/>
  <c r="AB17" i="1593"/>
  <c r="AD17" i="1593" s="1"/>
  <c r="O18" i="1593"/>
  <c r="AD18" i="1593" s="1"/>
  <c r="M8" i="1593"/>
  <c r="AD6" i="1593"/>
  <c r="O8" i="1593"/>
  <c r="K22" i="1593"/>
  <c r="M16" i="1593"/>
  <c r="O17" i="1593"/>
  <c r="L22" i="1593"/>
  <c r="O22" i="1593" s="1"/>
  <c r="AB8" i="1593"/>
  <c r="AD8" i="1593" s="1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L20" i="1592"/>
  <c r="O20" i="1592" s="1"/>
  <c r="K20" i="1592"/>
  <c r="L19" i="1592"/>
  <c r="K19" i="1592"/>
  <c r="L18" i="1592"/>
  <c r="L17" i="1592"/>
  <c r="AB17" i="1592" s="1"/>
  <c r="L16" i="1592"/>
  <c r="K16" i="1592"/>
  <c r="K15" i="1592"/>
  <c r="L13" i="1592"/>
  <c r="K13" i="1592" s="1"/>
  <c r="L12" i="1592"/>
  <c r="K12" i="1592" s="1"/>
  <c r="L10" i="1592"/>
  <c r="L9" i="1592"/>
  <c r="AB9" i="1592" s="1"/>
  <c r="L8" i="1592"/>
  <c r="O8" i="1592" s="1"/>
  <c r="K8" i="1592"/>
  <c r="K18" i="1592"/>
  <c r="K17" i="1592"/>
  <c r="K11" i="1592"/>
  <c r="K10" i="1592"/>
  <c r="K9" i="1592"/>
  <c r="A75" i="1592"/>
  <c r="A76" i="1592" s="1"/>
  <c r="A77" i="1592" s="1"/>
  <c r="A78" i="1592" s="1"/>
  <c r="A79" i="1592" s="1"/>
  <c r="A80" i="1592" s="1"/>
  <c r="A81" i="1592" s="1"/>
  <c r="A74" i="1592"/>
  <c r="AF60" i="1592"/>
  <c r="AF59" i="1592"/>
  <c r="AF62" i="1592" s="1"/>
  <c r="AA21" i="1592"/>
  <c r="Z21" i="1592"/>
  <c r="Y21" i="1592"/>
  <c r="X21" i="1592"/>
  <c r="W21" i="1592"/>
  <c r="V21" i="1592"/>
  <c r="U21" i="1592"/>
  <c r="T21" i="1592"/>
  <c r="S21" i="1592"/>
  <c r="R21" i="1592"/>
  <c r="N21" i="1592"/>
  <c r="J21" i="1592"/>
  <c r="I21" i="1592"/>
  <c r="AF20" i="1592"/>
  <c r="Q20" i="1592"/>
  <c r="AF19" i="1592"/>
  <c r="Q19" i="1592"/>
  <c r="P19" i="1592" s="1"/>
  <c r="AC19" i="1592" s="1"/>
  <c r="AB19" i="1592"/>
  <c r="AF18" i="1592"/>
  <c r="Q18" i="1592"/>
  <c r="P18" i="1592"/>
  <c r="AC18" i="1592" s="1"/>
  <c r="O18" i="1592"/>
  <c r="AB18" i="1592"/>
  <c r="AF17" i="1592"/>
  <c r="Q17" i="1592"/>
  <c r="P17" i="1592" s="1"/>
  <c r="AC17" i="1592" s="1"/>
  <c r="O17" i="1592"/>
  <c r="AF16" i="1592"/>
  <c r="Q16" i="1592"/>
  <c r="O16" i="1592"/>
  <c r="AF15" i="1592"/>
  <c r="AB15" i="1592"/>
  <c r="Q15" i="1592"/>
  <c r="P15" i="1592"/>
  <c r="AC15" i="1592" s="1"/>
  <c r="AD15" i="1592" s="1"/>
  <c r="O15" i="1592"/>
  <c r="M15" i="1592"/>
  <c r="AF14" i="1592"/>
  <c r="AB14" i="1592"/>
  <c r="Q14" i="1592"/>
  <c r="P14" i="1592"/>
  <c r="AC14" i="1592" s="1"/>
  <c r="AD14" i="1592" s="1"/>
  <c r="O14" i="1592"/>
  <c r="M14" i="1592"/>
  <c r="K14" i="1592"/>
  <c r="AF13" i="1592"/>
  <c r="Q13" i="1592"/>
  <c r="P13" i="1592"/>
  <c r="AC13" i="1592" s="1"/>
  <c r="AB13" i="1592"/>
  <c r="AF12" i="1592"/>
  <c r="Q12" i="1592"/>
  <c r="O12" i="1592"/>
  <c r="AB12" i="1592"/>
  <c r="AF11" i="1592"/>
  <c r="AB11" i="1592"/>
  <c r="Q11" i="1592"/>
  <c r="P11" i="1592"/>
  <c r="AC11" i="1592" s="1"/>
  <c r="O11" i="1592"/>
  <c r="M11" i="1592"/>
  <c r="AF10" i="1592"/>
  <c r="Q10" i="1592"/>
  <c r="O10" i="1592"/>
  <c r="AF9" i="1592"/>
  <c r="Q9" i="1592"/>
  <c r="P9" i="1592"/>
  <c r="AC9" i="1592" s="1"/>
  <c r="AF8" i="1592"/>
  <c r="Q8" i="1592"/>
  <c r="P8" i="1592"/>
  <c r="AC8" i="1592" s="1"/>
  <c r="AF7" i="1592"/>
  <c r="AC7" i="1592"/>
  <c r="AD7" i="1592" s="1"/>
  <c r="AB7" i="1592"/>
  <c r="Q7" i="1592"/>
  <c r="P7" i="1592"/>
  <c r="O7" i="1592"/>
  <c r="M7" i="1592"/>
  <c r="K7" i="1592"/>
  <c r="AF6" i="1592"/>
  <c r="AB6" i="1592"/>
  <c r="Q6" i="1592"/>
  <c r="P6" i="1592"/>
  <c r="O6" i="1592"/>
  <c r="M6" i="1592"/>
  <c r="K6" i="1592"/>
  <c r="AC22" i="1593" l="1"/>
  <c r="P22" i="1593"/>
  <c r="AB22" i="1593"/>
  <c r="M22" i="1593"/>
  <c r="AD22" i="1593"/>
  <c r="AE19" i="1593" s="1"/>
  <c r="AD18" i="1592"/>
  <c r="AD17" i="1592"/>
  <c r="M17" i="1592"/>
  <c r="P12" i="1592"/>
  <c r="AC12" i="1592" s="1"/>
  <c r="AD11" i="1592"/>
  <c r="Q21" i="1592"/>
  <c r="L21" i="1592"/>
  <c r="O21" i="1592" s="1"/>
  <c r="AD12" i="1592"/>
  <c r="AB10" i="1592"/>
  <c r="M9" i="1592"/>
  <c r="M13" i="1592"/>
  <c r="AC6" i="1592"/>
  <c r="M8" i="1592"/>
  <c r="AB8" i="1592"/>
  <c r="O9" i="1592"/>
  <c r="AD9" i="1592" s="1"/>
  <c r="K21" i="1592"/>
  <c r="P10" i="1592"/>
  <c r="AC10" i="1592" s="1"/>
  <c r="M12" i="1592"/>
  <c r="O13" i="1592"/>
  <c r="AD13" i="1592" s="1"/>
  <c r="P16" i="1592"/>
  <c r="AC16" i="1592" s="1"/>
  <c r="M18" i="1592"/>
  <c r="O19" i="1592"/>
  <c r="AD19" i="1592" s="1"/>
  <c r="P20" i="1592"/>
  <c r="AC20" i="1592" s="1"/>
  <c r="M10" i="1592"/>
  <c r="M16" i="1592"/>
  <c r="AB16" i="1592"/>
  <c r="M20" i="1592"/>
  <c r="AB20" i="1592"/>
  <c r="M19" i="1592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L20" i="1591"/>
  <c r="L19" i="1591"/>
  <c r="K19" i="1591"/>
  <c r="L18" i="1591"/>
  <c r="L17" i="1591"/>
  <c r="L16" i="1591"/>
  <c r="K16" i="1591"/>
  <c r="L13" i="1591"/>
  <c r="K13" i="1591" s="1"/>
  <c r="L12" i="1591"/>
  <c r="L11" i="1591"/>
  <c r="K11" i="1591" s="1"/>
  <c r="L10" i="1591"/>
  <c r="K10" i="1591"/>
  <c r="L9" i="1591"/>
  <c r="L8" i="1591"/>
  <c r="O8" i="1591" s="1"/>
  <c r="K18" i="1591"/>
  <c r="K17" i="1591"/>
  <c r="K12" i="1591"/>
  <c r="K9" i="1591"/>
  <c r="K8" i="1591"/>
  <c r="A74" i="1591"/>
  <c r="A75" i="1591" s="1"/>
  <c r="A76" i="1591" s="1"/>
  <c r="A77" i="1591" s="1"/>
  <c r="A78" i="1591" s="1"/>
  <c r="A79" i="1591" s="1"/>
  <c r="A80" i="1591" s="1"/>
  <c r="A81" i="1591" s="1"/>
  <c r="AF60" i="1591"/>
  <c r="AF59" i="1591"/>
  <c r="AF62" i="1591" s="1"/>
  <c r="AA21" i="1591"/>
  <c r="Z21" i="1591"/>
  <c r="Y21" i="1591"/>
  <c r="X21" i="1591"/>
  <c r="W21" i="1591"/>
  <c r="V21" i="1591"/>
  <c r="U21" i="1591"/>
  <c r="T21" i="1591"/>
  <c r="S21" i="1591"/>
  <c r="R21" i="1591"/>
  <c r="N21" i="1591"/>
  <c r="J21" i="1591"/>
  <c r="I21" i="1591"/>
  <c r="AF20" i="1591"/>
  <c r="AB20" i="1591"/>
  <c r="Q20" i="1591"/>
  <c r="P20" i="1591"/>
  <c r="AC20" i="1591" s="1"/>
  <c r="AD20" i="1591" s="1"/>
  <c r="O20" i="1591"/>
  <c r="M20" i="1591"/>
  <c r="K20" i="1591"/>
  <c r="AF19" i="1591"/>
  <c r="AB19" i="1591"/>
  <c r="Q19" i="1591"/>
  <c r="P19" i="1591" s="1"/>
  <c r="AC19" i="1591" s="1"/>
  <c r="O19" i="1591"/>
  <c r="M19" i="1591"/>
  <c r="AF18" i="1591"/>
  <c r="AB18" i="1591"/>
  <c r="Q18" i="1591"/>
  <c r="P18" i="1591"/>
  <c r="AC18" i="1591" s="1"/>
  <c r="O18" i="1591"/>
  <c r="M18" i="1591"/>
  <c r="AF17" i="1591"/>
  <c r="AB17" i="1591"/>
  <c r="Q17" i="1591"/>
  <c r="P17" i="1591" s="1"/>
  <c r="AC17" i="1591" s="1"/>
  <c r="O17" i="1591"/>
  <c r="M17" i="1591"/>
  <c r="AF16" i="1591"/>
  <c r="AB16" i="1591"/>
  <c r="Q16" i="1591"/>
  <c r="P16" i="1591"/>
  <c r="AC16" i="1591" s="1"/>
  <c r="O16" i="1591"/>
  <c r="M16" i="1591"/>
  <c r="AF15" i="1591"/>
  <c r="AC15" i="1591"/>
  <c r="AB15" i="1591"/>
  <c r="Q15" i="1591"/>
  <c r="P15" i="1591"/>
  <c r="O15" i="1591"/>
  <c r="M15" i="1591"/>
  <c r="K15" i="1591"/>
  <c r="AF14" i="1591"/>
  <c r="AB14" i="1591"/>
  <c r="Q14" i="1591"/>
  <c r="P14" i="1591"/>
  <c r="AC14" i="1591" s="1"/>
  <c r="O14" i="1591"/>
  <c r="M14" i="1591"/>
  <c r="K14" i="1591"/>
  <c r="AF13" i="1591"/>
  <c r="AB13" i="1591"/>
  <c r="Q13" i="1591"/>
  <c r="P13" i="1591" s="1"/>
  <c r="AC13" i="1591" s="1"/>
  <c r="O13" i="1591"/>
  <c r="M13" i="1591"/>
  <c r="AF12" i="1591"/>
  <c r="Q12" i="1591"/>
  <c r="P12" i="1591" s="1"/>
  <c r="AC12" i="1591" s="1"/>
  <c r="AF11" i="1591"/>
  <c r="Q11" i="1591"/>
  <c r="P11" i="1591" s="1"/>
  <c r="AC11" i="1591" s="1"/>
  <c r="O11" i="1591"/>
  <c r="AF10" i="1591"/>
  <c r="AB10" i="1591"/>
  <c r="Q10" i="1591"/>
  <c r="P10" i="1591" s="1"/>
  <c r="AC10" i="1591" s="1"/>
  <c r="AD10" i="1591" s="1"/>
  <c r="O10" i="1591"/>
  <c r="M10" i="1591"/>
  <c r="AF9" i="1591"/>
  <c r="AB9" i="1591"/>
  <c r="Q9" i="1591"/>
  <c r="P9" i="1591" s="1"/>
  <c r="AC9" i="1591" s="1"/>
  <c r="O9" i="1591"/>
  <c r="M9" i="1591"/>
  <c r="AF8" i="1591"/>
  <c r="AB8" i="1591"/>
  <c r="Q8" i="1591"/>
  <c r="P8" i="1591" s="1"/>
  <c r="AC8" i="1591" s="1"/>
  <c r="M8" i="1591"/>
  <c r="AF7" i="1591"/>
  <c r="AC7" i="1591"/>
  <c r="AD7" i="1591" s="1"/>
  <c r="AB7" i="1591"/>
  <c r="Q7" i="1591"/>
  <c r="P7" i="1591"/>
  <c r="O7" i="1591"/>
  <c r="M7" i="1591"/>
  <c r="K7" i="1591"/>
  <c r="AF6" i="1591"/>
  <c r="AB6" i="1591"/>
  <c r="Q6" i="1591"/>
  <c r="P6" i="1591"/>
  <c r="AC6" i="1591" s="1"/>
  <c r="O6" i="1591"/>
  <c r="M6" i="1591"/>
  <c r="K6" i="1591"/>
  <c r="AE18" i="1593" l="1"/>
  <c r="AE12" i="1593"/>
  <c r="AE9" i="1593"/>
  <c r="AE6" i="1593"/>
  <c r="AE8" i="1593"/>
  <c r="AE20" i="1593"/>
  <c r="AE15" i="1593"/>
  <c r="AE13" i="1593"/>
  <c r="AE10" i="1593"/>
  <c r="AE17" i="1593"/>
  <c r="AE21" i="1593"/>
  <c r="AE16" i="1593"/>
  <c r="AE7" i="1593"/>
  <c r="AE14" i="1593"/>
  <c r="AE11" i="1593"/>
  <c r="AD16" i="1592"/>
  <c r="AD10" i="1592"/>
  <c r="M21" i="1592"/>
  <c r="AB21" i="1592"/>
  <c r="P21" i="1592"/>
  <c r="AD20" i="1592"/>
  <c r="AD8" i="1592"/>
  <c r="AC21" i="1592"/>
  <c r="AD6" i="1592"/>
  <c r="AD19" i="1591"/>
  <c r="AD17" i="1591"/>
  <c r="Q21" i="1591"/>
  <c r="L21" i="1591"/>
  <c r="O21" i="1591" s="1"/>
  <c r="AD14" i="1591"/>
  <c r="AD8" i="1591"/>
  <c r="AD9" i="1591"/>
  <c r="AD15" i="1591"/>
  <c r="AD18" i="1591"/>
  <c r="AD13" i="1591"/>
  <c r="AD16" i="1591"/>
  <c r="AC21" i="1591"/>
  <c r="AD6" i="1591"/>
  <c r="M12" i="1591"/>
  <c r="M11" i="1591"/>
  <c r="AB11" i="1591"/>
  <c r="O12" i="1591"/>
  <c r="P21" i="1591"/>
  <c r="AB12" i="1591"/>
  <c r="K21" i="1591"/>
  <c r="AD21" i="1592" l="1"/>
  <c r="AE12" i="1592" s="1"/>
  <c r="AB21" i="1591"/>
  <c r="AD12" i="1591"/>
  <c r="M21" i="1591"/>
  <c r="AD11" i="1591"/>
  <c r="AE15" i="1592" l="1"/>
  <c r="AE18" i="1592"/>
  <c r="AE8" i="1592"/>
  <c r="AE17" i="1592"/>
  <c r="AE7" i="1592"/>
  <c r="AE10" i="1592"/>
  <c r="AE19" i="1592"/>
  <c r="AE20" i="1592"/>
  <c r="AE11" i="1592"/>
  <c r="AE6" i="1592"/>
  <c r="AE16" i="1592"/>
  <c r="AE13" i="1592"/>
  <c r="AE14" i="1592"/>
  <c r="AE9" i="1592"/>
  <c r="AD21" i="1591"/>
  <c r="AE19" i="1591" s="1"/>
  <c r="AE9" i="1591" l="1"/>
  <c r="AE18" i="1591"/>
  <c r="AE8" i="1591"/>
  <c r="AE12" i="1591"/>
  <c r="AE20" i="1591"/>
  <c r="AE10" i="1591"/>
  <c r="AE14" i="1591"/>
  <c r="AE6" i="1591"/>
  <c r="AE7" i="1591"/>
  <c r="AE16" i="1591"/>
  <c r="AE11" i="1591"/>
  <c r="AE13" i="1591"/>
  <c r="AE15" i="1591"/>
  <c r="AE17" i="1591"/>
  <c r="R18" i="16" l="1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13" i="1590"/>
  <c r="AB13" i="1590" s="1"/>
  <c r="L12" i="1590"/>
  <c r="L11" i="1590"/>
  <c r="M11" i="1590" s="1"/>
  <c r="L8" i="1590"/>
  <c r="K20" i="1590"/>
  <c r="K17" i="1590"/>
  <c r="K13" i="1590"/>
  <c r="K12" i="1590"/>
  <c r="K11" i="1590"/>
  <c r="K10" i="1590"/>
  <c r="K9" i="1590"/>
  <c r="A74" i="1590"/>
  <c r="A75" i="1590" s="1"/>
  <c r="A76" i="1590" s="1"/>
  <c r="A77" i="1590" s="1"/>
  <c r="A78" i="1590" s="1"/>
  <c r="A79" i="1590" s="1"/>
  <c r="A80" i="1590" s="1"/>
  <c r="A81" i="1590" s="1"/>
  <c r="AF60" i="1590"/>
  <c r="AF62" i="1590" s="1"/>
  <c r="AF59" i="1590"/>
  <c r="AA21" i="1590"/>
  <c r="Z21" i="1590"/>
  <c r="Y21" i="1590"/>
  <c r="X21" i="1590"/>
  <c r="W21" i="1590"/>
  <c r="V21" i="1590"/>
  <c r="U21" i="1590"/>
  <c r="T21" i="1590"/>
  <c r="S21" i="1590"/>
  <c r="R21" i="1590"/>
  <c r="N21" i="1590"/>
  <c r="J21" i="1590"/>
  <c r="I21" i="1590"/>
  <c r="AF20" i="1590"/>
  <c r="AB20" i="1590"/>
  <c r="Q20" i="1590"/>
  <c r="M20" i="1590"/>
  <c r="O20" i="1590"/>
  <c r="AF19" i="1590"/>
  <c r="AB19" i="1590"/>
  <c r="Q19" i="1590"/>
  <c r="P19" i="1590"/>
  <c r="AC19" i="1590" s="1"/>
  <c r="AD19" i="1590" s="1"/>
  <c r="O19" i="1590"/>
  <c r="M19" i="1590"/>
  <c r="K19" i="1590"/>
  <c r="AF18" i="1590"/>
  <c r="AB18" i="1590"/>
  <c r="Q18" i="1590"/>
  <c r="P18" i="1590" s="1"/>
  <c r="AC18" i="1590" s="1"/>
  <c r="O18" i="1590"/>
  <c r="M18" i="1590"/>
  <c r="K18" i="1590"/>
  <c r="AF17" i="1590"/>
  <c r="Q17" i="1590"/>
  <c r="AB17" i="1590"/>
  <c r="AF16" i="1590"/>
  <c r="AB16" i="1590"/>
  <c r="Q16" i="1590"/>
  <c r="P16" i="1590"/>
  <c r="AC16" i="1590" s="1"/>
  <c r="AD16" i="1590" s="1"/>
  <c r="O16" i="1590"/>
  <c r="M16" i="1590"/>
  <c r="K16" i="1590"/>
  <c r="AF15" i="1590"/>
  <c r="AB15" i="1590"/>
  <c r="Q15" i="1590"/>
  <c r="P15" i="1590"/>
  <c r="AC15" i="1590" s="1"/>
  <c r="AD15" i="1590" s="1"/>
  <c r="O15" i="1590"/>
  <c r="M15" i="1590"/>
  <c r="K15" i="1590"/>
  <c r="AF14" i="1590"/>
  <c r="AB14" i="1590"/>
  <c r="Q14" i="1590"/>
  <c r="P14" i="1590"/>
  <c r="AC14" i="1590" s="1"/>
  <c r="O14" i="1590"/>
  <c r="M14" i="1590"/>
  <c r="K14" i="1590"/>
  <c r="AF13" i="1590"/>
  <c r="Q13" i="1590"/>
  <c r="O13" i="1590"/>
  <c r="M13" i="1590"/>
  <c r="AF12" i="1590"/>
  <c r="AB12" i="1590"/>
  <c r="Q12" i="1590"/>
  <c r="M12" i="1590"/>
  <c r="AF11" i="1590"/>
  <c r="AB11" i="1590"/>
  <c r="Q11" i="1590"/>
  <c r="P11" i="1590" s="1"/>
  <c r="AC11" i="1590" s="1"/>
  <c r="O11" i="1590"/>
  <c r="AF10" i="1590"/>
  <c r="AB10" i="1590"/>
  <c r="Q10" i="1590"/>
  <c r="P10" i="1590" s="1"/>
  <c r="AC10" i="1590" s="1"/>
  <c r="O10" i="1590"/>
  <c r="M10" i="1590"/>
  <c r="AF9" i="1590"/>
  <c r="Q9" i="1590"/>
  <c r="M9" i="1590"/>
  <c r="AF8" i="1590"/>
  <c r="Q8" i="1590"/>
  <c r="L21" i="1590"/>
  <c r="O21" i="1590" s="1"/>
  <c r="AF7" i="1590"/>
  <c r="AC7" i="1590"/>
  <c r="AD7" i="1590" s="1"/>
  <c r="AB7" i="1590"/>
  <c r="Q7" i="1590"/>
  <c r="P7" i="1590"/>
  <c r="O7" i="1590"/>
  <c r="M7" i="1590"/>
  <c r="K7" i="1590"/>
  <c r="AF6" i="1590"/>
  <c r="AC6" i="1590"/>
  <c r="AB6" i="1590"/>
  <c r="Q6" i="1590"/>
  <c r="P6" i="1590"/>
  <c r="O6" i="1590"/>
  <c r="M6" i="1590"/>
  <c r="K6" i="1590"/>
  <c r="P13" i="1590" l="1"/>
  <c r="AC13" i="1590" s="1"/>
  <c r="AD13" i="1590" s="1"/>
  <c r="P12" i="1590"/>
  <c r="AC12" i="1590" s="1"/>
  <c r="AD11" i="1590"/>
  <c r="Q21" i="1590"/>
  <c r="AD10" i="1590"/>
  <c r="P8" i="1590"/>
  <c r="AC8" i="1590" s="1"/>
  <c r="K8" i="1590"/>
  <c r="AD14" i="1590"/>
  <c r="AD18" i="1590"/>
  <c r="M8" i="1590"/>
  <c r="AB8" i="1590"/>
  <c r="O9" i="1590"/>
  <c r="O12" i="1590"/>
  <c r="O17" i="1590"/>
  <c r="P20" i="1590"/>
  <c r="AC20" i="1590" s="1"/>
  <c r="AD20" i="1590" s="1"/>
  <c r="AB9" i="1590"/>
  <c r="AD6" i="1590"/>
  <c r="O8" i="1590"/>
  <c r="K21" i="1590"/>
  <c r="P9" i="1590"/>
  <c r="AC9" i="1590" s="1"/>
  <c r="P17" i="1590"/>
  <c r="AC17" i="1590" s="1"/>
  <c r="M17" i="1590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L20" i="1589"/>
  <c r="O20" i="1589" s="1"/>
  <c r="L17" i="1589"/>
  <c r="M17" i="1589" s="1"/>
  <c r="K17" i="1589"/>
  <c r="L13" i="1589"/>
  <c r="O13" i="1589" s="1"/>
  <c r="K13" i="1589"/>
  <c r="L12" i="1589"/>
  <c r="K12" i="1589" s="1"/>
  <c r="L10" i="1589"/>
  <c r="K10" i="1589" s="1"/>
  <c r="L9" i="1589"/>
  <c r="O9" i="1589" s="1"/>
  <c r="L8" i="1589"/>
  <c r="K8" i="1589" s="1"/>
  <c r="K20" i="1589"/>
  <c r="K15" i="1589"/>
  <c r="A74" i="1589"/>
  <c r="A75" i="1589" s="1"/>
  <c r="A76" i="1589" s="1"/>
  <c r="A77" i="1589" s="1"/>
  <c r="A78" i="1589" s="1"/>
  <c r="A79" i="1589" s="1"/>
  <c r="A80" i="1589" s="1"/>
  <c r="A81" i="1589" s="1"/>
  <c r="AF60" i="1589"/>
  <c r="AF59" i="1589"/>
  <c r="AA21" i="1589"/>
  <c r="Z21" i="1589"/>
  <c r="Y21" i="1589"/>
  <c r="X21" i="1589"/>
  <c r="W21" i="1589"/>
  <c r="V21" i="1589"/>
  <c r="U21" i="1589"/>
  <c r="T21" i="1589"/>
  <c r="S21" i="1589"/>
  <c r="R21" i="1589"/>
  <c r="N21" i="1589"/>
  <c r="J21" i="1589"/>
  <c r="I21" i="1589"/>
  <c r="AF20" i="1589"/>
  <c r="AB20" i="1589"/>
  <c r="Q20" i="1589"/>
  <c r="P20" i="1589"/>
  <c r="AC20" i="1589" s="1"/>
  <c r="M20" i="1589"/>
  <c r="AF19" i="1589"/>
  <c r="AB19" i="1589"/>
  <c r="Q19" i="1589"/>
  <c r="P19" i="1589"/>
  <c r="AC19" i="1589" s="1"/>
  <c r="O19" i="1589"/>
  <c r="M19" i="1589"/>
  <c r="K19" i="1589"/>
  <c r="AF18" i="1589"/>
  <c r="AB18" i="1589"/>
  <c r="Q18" i="1589"/>
  <c r="P18" i="1589"/>
  <c r="AC18" i="1589" s="1"/>
  <c r="AD18" i="1589" s="1"/>
  <c r="O18" i="1589"/>
  <c r="M18" i="1589"/>
  <c r="K18" i="1589"/>
  <c r="AF17" i="1589"/>
  <c r="Q17" i="1589"/>
  <c r="O17" i="1589"/>
  <c r="AF16" i="1589"/>
  <c r="AB16" i="1589"/>
  <c r="Q16" i="1589"/>
  <c r="P16" i="1589"/>
  <c r="AC16" i="1589" s="1"/>
  <c r="O16" i="1589"/>
  <c r="M16" i="1589"/>
  <c r="K16" i="1589"/>
  <c r="AF15" i="1589"/>
  <c r="Q15" i="1589"/>
  <c r="AB15" i="1589"/>
  <c r="AF14" i="1589"/>
  <c r="AB14" i="1589"/>
  <c r="Q14" i="1589"/>
  <c r="P14" i="1589"/>
  <c r="AC14" i="1589" s="1"/>
  <c r="O14" i="1589"/>
  <c r="M14" i="1589"/>
  <c r="K14" i="1589"/>
  <c r="AF13" i="1589"/>
  <c r="AB13" i="1589"/>
  <c r="Q13" i="1589"/>
  <c r="P13" i="1589"/>
  <c r="AC13" i="1589" s="1"/>
  <c r="M13" i="1589"/>
  <c r="AF12" i="1589"/>
  <c r="AB12" i="1589"/>
  <c r="Q12" i="1589"/>
  <c r="P12" i="1589" s="1"/>
  <c r="AC12" i="1589" s="1"/>
  <c r="M12" i="1589"/>
  <c r="O12" i="1589"/>
  <c r="AF11" i="1589"/>
  <c r="AB11" i="1589"/>
  <c r="Q11" i="1589"/>
  <c r="P11" i="1589"/>
  <c r="AC11" i="1589" s="1"/>
  <c r="O11" i="1589"/>
  <c r="M11" i="1589"/>
  <c r="K11" i="1589"/>
  <c r="AF10" i="1589"/>
  <c r="Q10" i="1589"/>
  <c r="P10" i="1589" s="1"/>
  <c r="AC10" i="1589" s="1"/>
  <c r="O10" i="1589"/>
  <c r="AF9" i="1589"/>
  <c r="Q9" i="1589"/>
  <c r="P9" i="1589" s="1"/>
  <c r="AC9" i="1589" s="1"/>
  <c r="AF8" i="1589"/>
  <c r="Q8" i="1589"/>
  <c r="AB8" i="1589"/>
  <c r="AF7" i="1589"/>
  <c r="AB7" i="1589"/>
  <c r="Q7" i="1589"/>
  <c r="P7" i="1589"/>
  <c r="AC7" i="1589" s="1"/>
  <c r="AD7" i="1589" s="1"/>
  <c r="O7" i="1589"/>
  <c r="M7" i="1589"/>
  <c r="K7" i="1589"/>
  <c r="AF6" i="1589"/>
  <c r="AB6" i="1589"/>
  <c r="Q6" i="1589"/>
  <c r="P6" i="1589"/>
  <c r="AC6" i="1589" s="1"/>
  <c r="O6" i="1589"/>
  <c r="M6" i="1589"/>
  <c r="K6" i="1589"/>
  <c r="AC21" i="1590" l="1"/>
  <c r="AD12" i="1590"/>
  <c r="AD8" i="1590"/>
  <c r="AB21" i="1590"/>
  <c r="M21" i="1590"/>
  <c r="AD17" i="1590"/>
  <c r="P21" i="1590"/>
  <c r="AD9" i="1590"/>
  <c r="P17" i="1589"/>
  <c r="AC17" i="1589" s="1"/>
  <c r="AB17" i="1589"/>
  <c r="AD12" i="1589"/>
  <c r="AD19" i="1589"/>
  <c r="AF62" i="1589"/>
  <c r="Q21" i="1589"/>
  <c r="K9" i="1589"/>
  <c r="AD11" i="1589"/>
  <c r="M9" i="1589"/>
  <c r="AB9" i="1589"/>
  <c r="AD20" i="1589"/>
  <c r="AD14" i="1589"/>
  <c r="AD13" i="1589"/>
  <c r="AD16" i="1589"/>
  <c r="AD6" i="1589"/>
  <c r="K21" i="1589"/>
  <c r="O8" i="1589"/>
  <c r="O15" i="1589"/>
  <c r="P8" i="1589"/>
  <c r="AC8" i="1589" s="1"/>
  <c r="M10" i="1589"/>
  <c r="AB10" i="1589"/>
  <c r="AD10" i="1589" s="1"/>
  <c r="P15" i="1589"/>
  <c r="AC15" i="1589" s="1"/>
  <c r="AD15" i="1589" s="1"/>
  <c r="L21" i="1589"/>
  <c r="O21" i="1589" s="1"/>
  <c r="M8" i="1589"/>
  <c r="M15" i="1589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1" i="1588"/>
  <c r="K21" i="1588" s="1"/>
  <c r="L16" i="1588"/>
  <c r="L13" i="1588"/>
  <c r="K13" i="1588" s="1"/>
  <c r="K12" i="1588"/>
  <c r="AF12" i="1588"/>
  <c r="AB12" i="1588"/>
  <c r="Q12" i="1588"/>
  <c r="P12" i="1588"/>
  <c r="AC12" i="1588" s="1"/>
  <c r="O12" i="1588"/>
  <c r="M12" i="1588"/>
  <c r="L10" i="1588"/>
  <c r="L9" i="1588"/>
  <c r="K9" i="1588" s="1"/>
  <c r="L8" i="1588"/>
  <c r="K8" i="1588" s="1"/>
  <c r="K20" i="1588"/>
  <c r="K19" i="1588"/>
  <c r="K18" i="1588"/>
  <c r="K16" i="1588"/>
  <c r="K15" i="1588"/>
  <c r="K14" i="1588"/>
  <c r="K11" i="1588"/>
  <c r="K10" i="1588"/>
  <c r="A75" i="1588"/>
  <c r="A76" i="1588" s="1"/>
  <c r="A77" i="1588" s="1"/>
  <c r="A78" i="1588" s="1"/>
  <c r="A79" i="1588" s="1"/>
  <c r="A80" i="1588" s="1"/>
  <c r="A81" i="1588" s="1"/>
  <c r="A82" i="1588" s="1"/>
  <c r="AF61" i="1588"/>
  <c r="AF60" i="1588"/>
  <c r="AA22" i="1588"/>
  <c r="Z22" i="1588"/>
  <c r="Y22" i="1588"/>
  <c r="X22" i="1588"/>
  <c r="W22" i="1588"/>
  <c r="V22" i="1588"/>
  <c r="U22" i="1588"/>
  <c r="T22" i="1588"/>
  <c r="S22" i="1588"/>
  <c r="R22" i="1588"/>
  <c r="N22" i="1588"/>
  <c r="J22" i="1588"/>
  <c r="I22" i="1588"/>
  <c r="AF21" i="1588"/>
  <c r="Q21" i="1588"/>
  <c r="O21" i="1588"/>
  <c r="AF20" i="1588"/>
  <c r="AB20" i="1588"/>
  <c r="Q20" i="1588"/>
  <c r="P20" i="1588"/>
  <c r="AC20" i="1588" s="1"/>
  <c r="O20" i="1588"/>
  <c r="M20" i="1588"/>
  <c r="AF19" i="1588"/>
  <c r="AB19" i="1588"/>
  <c r="Q19" i="1588"/>
  <c r="O19" i="1588"/>
  <c r="M19" i="1588"/>
  <c r="P19" i="1588"/>
  <c r="AC19" i="1588" s="1"/>
  <c r="AF18" i="1588"/>
  <c r="AB18" i="1588"/>
  <c r="Q18" i="1588"/>
  <c r="P18" i="1588" s="1"/>
  <c r="AC18" i="1588" s="1"/>
  <c r="O18" i="1588"/>
  <c r="M18" i="1588"/>
  <c r="AF17" i="1588"/>
  <c r="AB17" i="1588"/>
  <c r="Q17" i="1588"/>
  <c r="P17" i="1588"/>
  <c r="AC17" i="1588" s="1"/>
  <c r="O17" i="1588"/>
  <c r="M17" i="1588"/>
  <c r="K17" i="1588"/>
  <c r="AF16" i="1588"/>
  <c r="Q16" i="1588"/>
  <c r="O16" i="1588"/>
  <c r="AF15" i="1588"/>
  <c r="AB15" i="1588"/>
  <c r="Q15" i="1588"/>
  <c r="P15" i="1588"/>
  <c r="AC15" i="1588" s="1"/>
  <c r="AD15" i="1588" s="1"/>
  <c r="O15" i="1588"/>
  <c r="M15" i="1588"/>
  <c r="AF14" i="1588"/>
  <c r="AB14" i="1588"/>
  <c r="Q14" i="1588"/>
  <c r="P14" i="1588" s="1"/>
  <c r="AC14" i="1588" s="1"/>
  <c r="O14" i="1588"/>
  <c r="M14" i="1588"/>
  <c r="AF13" i="1588"/>
  <c r="AB13" i="1588"/>
  <c r="Q13" i="1588"/>
  <c r="O13" i="1588"/>
  <c r="P13" i="1588"/>
  <c r="AC13" i="1588" s="1"/>
  <c r="AF11" i="1588"/>
  <c r="Q11" i="1588"/>
  <c r="O11" i="1588"/>
  <c r="AF10" i="1588"/>
  <c r="Q10" i="1588"/>
  <c r="P10" i="1588" s="1"/>
  <c r="AC10" i="1588" s="1"/>
  <c r="AB10" i="1588"/>
  <c r="AF9" i="1588"/>
  <c r="Q9" i="1588"/>
  <c r="P9" i="1588" s="1"/>
  <c r="AC9" i="1588" s="1"/>
  <c r="O9" i="1588"/>
  <c r="AB9" i="1588"/>
  <c r="AF8" i="1588"/>
  <c r="Q8" i="1588"/>
  <c r="AF7" i="1588"/>
  <c r="AB7" i="1588"/>
  <c r="Q7" i="1588"/>
  <c r="P7" i="1588"/>
  <c r="AC7" i="1588" s="1"/>
  <c r="O7" i="1588"/>
  <c r="M7" i="1588"/>
  <c r="K7" i="1588"/>
  <c r="AF6" i="1588"/>
  <c r="AB6" i="1588"/>
  <c r="Q6" i="1588"/>
  <c r="P6" i="1588"/>
  <c r="AC6" i="1588" s="1"/>
  <c r="O6" i="1588"/>
  <c r="M6" i="1588"/>
  <c r="K6" i="1588"/>
  <c r="AD21" i="1590" l="1"/>
  <c r="AE16" i="1590" s="1"/>
  <c r="AD17" i="1589"/>
  <c r="AB21" i="1589"/>
  <c r="AD9" i="1589"/>
  <c r="M21" i="1589"/>
  <c r="AD8" i="1589"/>
  <c r="AC21" i="1589"/>
  <c r="P21" i="1589"/>
  <c r="AD18" i="1588"/>
  <c r="AD19" i="1588"/>
  <c r="AF63" i="1588"/>
  <c r="AD12" i="1588"/>
  <c r="AD13" i="1588"/>
  <c r="M13" i="1588"/>
  <c r="AD7" i="1588"/>
  <c r="Q22" i="1588"/>
  <c r="M8" i="1588"/>
  <c r="AB8" i="1588"/>
  <c r="L22" i="1588"/>
  <c r="O22" i="1588" s="1"/>
  <c r="O8" i="1588"/>
  <c r="P8" i="1588"/>
  <c r="AC8" i="1588" s="1"/>
  <c r="AD17" i="1588"/>
  <c r="AD14" i="1588"/>
  <c r="AD20" i="1588"/>
  <c r="AD9" i="1588"/>
  <c r="M9" i="1588"/>
  <c r="O10" i="1588"/>
  <c r="AD10" i="1588" s="1"/>
  <c r="K22" i="1588"/>
  <c r="P11" i="1588"/>
  <c r="AC11" i="1588" s="1"/>
  <c r="P16" i="1588"/>
  <c r="AC16" i="1588" s="1"/>
  <c r="P21" i="1588"/>
  <c r="AC21" i="1588" s="1"/>
  <c r="M21" i="1588"/>
  <c r="AB21" i="1588"/>
  <c r="AD6" i="1588"/>
  <c r="M11" i="1588"/>
  <c r="AB11" i="1588"/>
  <c r="M16" i="1588"/>
  <c r="AB16" i="1588"/>
  <c r="M10" i="1588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L21" i="1587"/>
  <c r="M21" i="1587" s="1"/>
  <c r="L19" i="1587"/>
  <c r="K18" i="1587"/>
  <c r="L16" i="1587"/>
  <c r="K16" i="1587" s="1"/>
  <c r="K14" i="1587"/>
  <c r="AF14" i="1587"/>
  <c r="AB14" i="1587"/>
  <c r="Q14" i="1587"/>
  <c r="P14" i="1587" s="1"/>
  <c r="AC14" i="1587" s="1"/>
  <c r="O14" i="1587"/>
  <c r="M14" i="1587"/>
  <c r="K13" i="1587"/>
  <c r="L12" i="1587"/>
  <c r="O12" i="1587" s="1"/>
  <c r="L11" i="1587"/>
  <c r="L10" i="1587"/>
  <c r="K10" i="1587" s="1"/>
  <c r="L9" i="1587"/>
  <c r="L8" i="1587"/>
  <c r="K8" i="1587" s="1"/>
  <c r="K21" i="1587"/>
  <c r="K20" i="1587"/>
  <c r="K17" i="1587"/>
  <c r="K12" i="1587"/>
  <c r="K11" i="1587"/>
  <c r="A75" i="1587"/>
  <c r="A76" i="1587" s="1"/>
  <c r="A77" i="1587" s="1"/>
  <c r="A78" i="1587" s="1"/>
  <c r="A79" i="1587" s="1"/>
  <c r="A80" i="1587" s="1"/>
  <c r="A81" i="1587" s="1"/>
  <c r="A82" i="1587" s="1"/>
  <c r="AF61" i="1587"/>
  <c r="AF60" i="1587"/>
  <c r="AF63" i="1587" s="1"/>
  <c r="AA22" i="1587"/>
  <c r="Z22" i="1587"/>
  <c r="Y22" i="1587"/>
  <c r="X22" i="1587"/>
  <c r="W22" i="1587"/>
  <c r="V22" i="1587"/>
  <c r="U22" i="1587"/>
  <c r="T22" i="1587"/>
  <c r="S22" i="1587"/>
  <c r="R22" i="1587"/>
  <c r="N22" i="1587"/>
  <c r="J22" i="1587"/>
  <c r="I22" i="1587"/>
  <c r="AF21" i="1587"/>
  <c r="AB21" i="1587"/>
  <c r="Q21" i="1587"/>
  <c r="P21" i="1587"/>
  <c r="AC21" i="1587" s="1"/>
  <c r="O21" i="1587"/>
  <c r="AF20" i="1587"/>
  <c r="Q20" i="1587"/>
  <c r="O20" i="1587"/>
  <c r="AB20" i="1587"/>
  <c r="AF19" i="1587"/>
  <c r="Q19" i="1587"/>
  <c r="AF18" i="1587"/>
  <c r="Q18" i="1587"/>
  <c r="O18" i="1587"/>
  <c r="AB18" i="1587"/>
  <c r="AF17" i="1587"/>
  <c r="AB17" i="1587"/>
  <c r="Q17" i="1587"/>
  <c r="P17" i="1587"/>
  <c r="AC17" i="1587" s="1"/>
  <c r="M17" i="1587"/>
  <c r="O17" i="1587"/>
  <c r="AF16" i="1587"/>
  <c r="Q16" i="1587"/>
  <c r="AF15" i="1587"/>
  <c r="AB15" i="1587"/>
  <c r="Q15" i="1587"/>
  <c r="P15" i="1587" s="1"/>
  <c r="AC15" i="1587" s="1"/>
  <c r="O15" i="1587"/>
  <c r="M15" i="1587"/>
  <c r="K15" i="1587"/>
  <c r="AF13" i="1587"/>
  <c r="AB13" i="1587"/>
  <c r="Q13" i="1587"/>
  <c r="P13" i="1587" s="1"/>
  <c r="AC13" i="1587" s="1"/>
  <c r="O13" i="1587"/>
  <c r="M13" i="1587"/>
  <c r="AF12" i="1587"/>
  <c r="Q12" i="1587"/>
  <c r="M12" i="1587"/>
  <c r="AF11" i="1587"/>
  <c r="Q11" i="1587"/>
  <c r="O11" i="1587"/>
  <c r="AB11" i="1587"/>
  <c r="AF10" i="1587"/>
  <c r="AB10" i="1587"/>
  <c r="Q10" i="1587"/>
  <c r="M10" i="1587"/>
  <c r="AF9" i="1587"/>
  <c r="Q9" i="1587"/>
  <c r="AF8" i="1587"/>
  <c r="Q8" i="1587"/>
  <c r="AF7" i="1587"/>
  <c r="AB7" i="1587"/>
  <c r="Q7" i="1587"/>
  <c r="P7" i="1587"/>
  <c r="AC7" i="1587" s="1"/>
  <c r="AD7" i="1587" s="1"/>
  <c r="O7" i="1587"/>
  <c r="M7" i="1587"/>
  <c r="K7" i="1587"/>
  <c r="AF6" i="1587"/>
  <c r="AB6" i="1587"/>
  <c r="Q6" i="1587"/>
  <c r="P6" i="1587"/>
  <c r="O6" i="1587"/>
  <c r="M6" i="1587"/>
  <c r="K6" i="1587"/>
  <c r="AE14" i="1590" l="1"/>
  <c r="AE9" i="1590"/>
  <c r="AE6" i="1590"/>
  <c r="AE10" i="1590"/>
  <c r="AE17" i="1590"/>
  <c r="AE8" i="1590"/>
  <c r="AE15" i="1590"/>
  <c r="AE19" i="1590"/>
  <c r="AE18" i="1590"/>
  <c r="AE20" i="1590"/>
  <c r="AE11" i="1590"/>
  <c r="AE7" i="1590"/>
  <c r="AE13" i="1590"/>
  <c r="AE12" i="1590"/>
  <c r="AD21" i="1589"/>
  <c r="AE14" i="1589" s="1"/>
  <c r="AD8" i="1588"/>
  <c r="AD11" i="1588"/>
  <c r="M22" i="1588"/>
  <c r="AD21" i="1588"/>
  <c r="AB22" i="1588"/>
  <c r="P22" i="1588"/>
  <c r="AC22" i="1588"/>
  <c r="AD16" i="1588"/>
  <c r="P8" i="1587"/>
  <c r="AC8" i="1587" s="1"/>
  <c r="AB12" i="1587"/>
  <c r="P12" i="1587"/>
  <c r="AC12" i="1587" s="1"/>
  <c r="AD12" i="1587" s="1"/>
  <c r="P16" i="1587"/>
  <c r="AC16" i="1587" s="1"/>
  <c r="P19" i="1587"/>
  <c r="AC19" i="1587" s="1"/>
  <c r="O19" i="1587"/>
  <c r="AB19" i="1587"/>
  <c r="M19" i="1587"/>
  <c r="K19" i="1587"/>
  <c r="AD14" i="1587"/>
  <c r="AD15" i="1587"/>
  <c r="O10" i="1587"/>
  <c r="P10" i="1587"/>
  <c r="AC10" i="1587" s="1"/>
  <c r="AD10" i="1587" s="1"/>
  <c r="P9" i="1587"/>
  <c r="AC9" i="1587" s="1"/>
  <c r="AB9" i="1587"/>
  <c r="K9" i="1587"/>
  <c r="M9" i="1587"/>
  <c r="O9" i="1587"/>
  <c r="AD17" i="1587"/>
  <c r="Q22" i="1587"/>
  <c r="AD13" i="1587"/>
  <c r="AD21" i="1587"/>
  <c r="AC6" i="1587"/>
  <c r="M8" i="1587"/>
  <c r="AB8" i="1587"/>
  <c r="P11" i="1587"/>
  <c r="AC11" i="1587" s="1"/>
  <c r="AD11" i="1587" s="1"/>
  <c r="M16" i="1587"/>
  <c r="AB16" i="1587"/>
  <c r="P18" i="1587"/>
  <c r="AC18" i="1587" s="1"/>
  <c r="AD18" i="1587" s="1"/>
  <c r="P20" i="1587"/>
  <c r="AC20" i="1587" s="1"/>
  <c r="AD20" i="1587" s="1"/>
  <c r="O16" i="1587"/>
  <c r="L22" i="1587"/>
  <c r="O22" i="1587" s="1"/>
  <c r="O8" i="1587"/>
  <c r="K22" i="1587"/>
  <c r="M11" i="1587"/>
  <c r="M18" i="1587"/>
  <c r="M20" i="1587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L22" i="1586"/>
  <c r="K22" i="1586"/>
  <c r="L21" i="1586"/>
  <c r="K21" i="1586"/>
  <c r="AF20" i="1586"/>
  <c r="AB20" i="1586"/>
  <c r="Q20" i="1586"/>
  <c r="P20" i="1586"/>
  <c r="AC20" i="1586" s="1"/>
  <c r="AD20" i="1586" s="1"/>
  <c r="O20" i="1586"/>
  <c r="M20" i="1586"/>
  <c r="K20" i="1586"/>
  <c r="L19" i="1586"/>
  <c r="L18" i="1586"/>
  <c r="K18" i="1586" s="1"/>
  <c r="L17" i="1586"/>
  <c r="M17" i="1586" s="1"/>
  <c r="K17" i="1586"/>
  <c r="L16" i="1586"/>
  <c r="O16" i="1586" s="1"/>
  <c r="K16" i="1586"/>
  <c r="L13" i="1586"/>
  <c r="L12" i="1586"/>
  <c r="O12" i="1586" s="1"/>
  <c r="L10" i="1586"/>
  <c r="L8" i="1586"/>
  <c r="K8" i="1586"/>
  <c r="K19" i="1586"/>
  <c r="K13" i="1586"/>
  <c r="K12" i="1586"/>
  <c r="K10" i="1586"/>
  <c r="K9" i="1586"/>
  <c r="A76" i="1586"/>
  <c r="A77" i="1586" s="1"/>
  <c r="A78" i="1586" s="1"/>
  <c r="A79" i="1586" s="1"/>
  <c r="A80" i="1586" s="1"/>
  <c r="A81" i="1586" s="1"/>
  <c r="A82" i="1586" s="1"/>
  <c r="A83" i="1586" s="1"/>
  <c r="AF64" i="1586"/>
  <c r="AF62" i="1586"/>
  <c r="AF61" i="1586"/>
  <c r="AA23" i="1586"/>
  <c r="Z23" i="1586"/>
  <c r="Y23" i="1586"/>
  <c r="X23" i="1586"/>
  <c r="W23" i="1586"/>
  <c r="V23" i="1586"/>
  <c r="U23" i="1586"/>
  <c r="T23" i="1586"/>
  <c r="S23" i="1586"/>
  <c r="R23" i="1586"/>
  <c r="N23" i="1586"/>
  <c r="J23" i="1586"/>
  <c r="I23" i="1586"/>
  <c r="AF22" i="1586"/>
  <c r="AB22" i="1586"/>
  <c r="Q22" i="1586"/>
  <c r="O22" i="1586"/>
  <c r="M22" i="1586"/>
  <c r="AF21" i="1586"/>
  <c r="Q21" i="1586"/>
  <c r="AF19" i="1586"/>
  <c r="Q19" i="1586"/>
  <c r="O19" i="1586"/>
  <c r="AF18" i="1586"/>
  <c r="AB18" i="1586"/>
  <c r="Q18" i="1586"/>
  <c r="M18" i="1586"/>
  <c r="AF17" i="1586"/>
  <c r="AB17" i="1586"/>
  <c r="Q17" i="1586"/>
  <c r="P17" i="1586" s="1"/>
  <c r="AC17" i="1586" s="1"/>
  <c r="O17" i="1586"/>
  <c r="AF16" i="1586"/>
  <c r="Q16" i="1586"/>
  <c r="P16" i="1586" s="1"/>
  <c r="AC16" i="1586" s="1"/>
  <c r="AF15" i="1586"/>
  <c r="AB15" i="1586"/>
  <c r="Q15" i="1586"/>
  <c r="P15" i="1586"/>
  <c r="AC15" i="1586" s="1"/>
  <c r="O15" i="1586"/>
  <c r="M15" i="1586"/>
  <c r="K15" i="1586"/>
  <c r="AF14" i="1586"/>
  <c r="AB14" i="1586"/>
  <c r="Q14" i="1586"/>
  <c r="P14" i="1586"/>
  <c r="AC14" i="1586" s="1"/>
  <c r="O14" i="1586"/>
  <c r="M14" i="1586"/>
  <c r="K14" i="1586"/>
  <c r="AF13" i="1586"/>
  <c r="AB13" i="1586"/>
  <c r="Q13" i="1586"/>
  <c r="P13" i="1586"/>
  <c r="AC13" i="1586" s="1"/>
  <c r="O13" i="1586"/>
  <c r="M13" i="1586"/>
  <c r="AF12" i="1586"/>
  <c r="AB12" i="1586"/>
  <c r="Q12" i="1586"/>
  <c r="P12" i="1586" s="1"/>
  <c r="AC12" i="1586" s="1"/>
  <c r="M12" i="1586"/>
  <c r="AF11" i="1586"/>
  <c r="AC11" i="1586"/>
  <c r="AB11" i="1586"/>
  <c r="Q11" i="1586"/>
  <c r="P11" i="1586"/>
  <c r="O11" i="1586"/>
  <c r="M11" i="1586"/>
  <c r="K11" i="1586"/>
  <c r="AF10" i="1586"/>
  <c r="Q10" i="1586"/>
  <c r="P10" i="1586" s="1"/>
  <c r="AC10" i="1586" s="1"/>
  <c r="AF9" i="1586"/>
  <c r="Q9" i="1586"/>
  <c r="P9" i="1586" s="1"/>
  <c r="AC9" i="1586" s="1"/>
  <c r="L23" i="1586"/>
  <c r="O23" i="1586" s="1"/>
  <c r="AF8" i="1586"/>
  <c r="AB8" i="1586"/>
  <c r="Q8" i="1586"/>
  <c r="P8" i="1586"/>
  <c r="AC8" i="1586" s="1"/>
  <c r="O8" i="1586"/>
  <c r="M8" i="1586"/>
  <c r="AF7" i="1586"/>
  <c r="AC7" i="1586"/>
  <c r="AD7" i="1586" s="1"/>
  <c r="AB7" i="1586"/>
  <c r="Q7" i="1586"/>
  <c r="P7" i="1586"/>
  <c r="O7" i="1586"/>
  <c r="M7" i="1586"/>
  <c r="K7" i="1586"/>
  <c r="AF6" i="1586"/>
  <c r="AC6" i="1586"/>
  <c r="AB6" i="1586"/>
  <c r="Q6" i="1586"/>
  <c r="P6" i="1586"/>
  <c r="O6" i="1586"/>
  <c r="M6" i="1586"/>
  <c r="K6" i="1586"/>
  <c r="AE15" i="1589" l="1"/>
  <c r="AE8" i="1589"/>
  <c r="AE16" i="1589"/>
  <c r="AE20" i="1589"/>
  <c r="AE17" i="1589"/>
  <c r="AE6" i="1589"/>
  <c r="AE7" i="1589"/>
  <c r="AE10" i="1589"/>
  <c r="AE19" i="1589"/>
  <c r="AE9" i="1589"/>
  <c r="AE12" i="1589"/>
  <c r="AE18" i="1589"/>
  <c r="AE11" i="1589"/>
  <c r="AE13" i="1589"/>
  <c r="AD22" i="1588"/>
  <c r="AE12" i="1588" s="1"/>
  <c r="AD9" i="1587"/>
  <c r="AD19" i="1587"/>
  <c r="AD16" i="1587"/>
  <c r="M22" i="1587"/>
  <c r="AB22" i="1587"/>
  <c r="AC22" i="1587"/>
  <c r="AD6" i="1587"/>
  <c r="AD8" i="1587"/>
  <c r="P22" i="1587"/>
  <c r="P22" i="1586"/>
  <c r="AC22" i="1586" s="1"/>
  <c r="AD22" i="1586"/>
  <c r="P21" i="1586"/>
  <c r="AC21" i="1586" s="1"/>
  <c r="P19" i="1586"/>
  <c r="AC19" i="1586" s="1"/>
  <c r="O18" i="1586"/>
  <c r="P18" i="1586"/>
  <c r="AC18" i="1586" s="1"/>
  <c r="AB16" i="1586"/>
  <c r="AD16" i="1586" s="1"/>
  <c r="AD8" i="1586"/>
  <c r="Q23" i="1586"/>
  <c r="AD18" i="1586"/>
  <c r="AD11" i="1586"/>
  <c r="AD12" i="1586"/>
  <c r="AD13" i="1586"/>
  <c r="AD14" i="1586"/>
  <c r="AD17" i="1586"/>
  <c r="AD15" i="1586"/>
  <c r="AD6" i="1586"/>
  <c r="M10" i="1586"/>
  <c r="AB10" i="1586"/>
  <c r="M21" i="1586"/>
  <c r="AB21" i="1586"/>
  <c r="M9" i="1586"/>
  <c r="AB9" i="1586"/>
  <c r="O10" i="1586"/>
  <c r="AD10" i="1586" s="1"/>
  <c r="M19" i="1586"/>
  <c r="AB19" i="1586"/>
  <c r="AD19" i="1586" s="1"/>
  <c r="O21" i="1586"/>
  <c r="O9" i="1586"/>
  <c r="K23" i="1586"/>
  <c r="M16" i="1586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L20" i="1585"/>
  <c r="L19" i="1585"/>
  <c r="K17" i="1585"/>
  <c r="L16" i="1585"/>
  <c r="O16" i="1585" s="1"/>
  <c r="K16" i="1585"/>
  <c r="K15" i="1585"/>
  <c r="L13" i="1585"/>
  <c r="M13" i="1585" s="1"/>
  <c r="L10" i="1585"/>
  <c r="L9" i="1585"/>
  <c r="K9" i="1585" s="1"/>
  <c r="AF9" i="1585"/>
  <c r="AB9" i="1585"/>
  <c r="Q9" i="1585"/>
  <c r="P9" i="1585" s="1"/>
  <c r="AC9" i="1585" s="1"/>
  <c r="O9" i="1585"/>
  <c r="M9" i="1585"/>
  <c r="K8" i="1585"/>
  <c r="K21" i="1585"/>
  <c r="K20" i="1585"/>
  <c r="K19" i="1585"/>
  <c r="K14" i="1585"/>
  <c r="K13" i="1585"/>
  <c r="K12" i="1585"/>
  <c r="K11" i="1585"/>
  <c r="K10" i="1585"/>
  <c r="A76" i="1585"/>
  <c r="A77" i="1585" s="1"/>
  <c r="A78" i="1585" s="1"/>
  <c r="A79" i="1585" s="1"/>
  <c r="A80" i="1585" s="1"/>
  <c r="A81" i="1585" s="1"/>
  <c r="A82" i="1585" s="1"/>
  <c r="A75" i="1585"/>
  <c r="AF61" i="1585"/>
  <c r="AF60" i="1585"/>
  <c r="AA22" i="1585"/>
  <c r="Z22" i="1585"/>
  <c r="Y22" i="1585"/>
  <c r="X22" i="1585"/>
  <c r="W22" i="1585"/>
  <c r="V22" i="1585"/>
  <c r="U22" i="1585"/>
  <c r="T22" i="1585"/>
  <c r="S22" i="1585"/>
  <c r="R22" i="1585"/>
  <c r="N22" i="1585"/>
  <c r="J22" i="1585"/>
  <c r="I22" i="1585"/>
  <c r="AF21" i="1585"/>
  <c r="Q21" i="1585"/>
  <c r="O21" i="1585"/>
  <c r="AF20" i="1585"/>
  <c r="Q20" i="1585"/>
  <c r="AF19" i="1585"/>
  <c r="Q19" i="1585"/>
  <c r="P19" i="1585" s="1"/>
  <c r="AC19" i="1585" s="1"/>
  <c r="O19" i="1585"/>
  <c r="AB19" i="1585"/>
  <c r="AF18" i="1585"/>
  <c r="AB18" i="1585"/>
  <c r="Q18" i="1585"/>
  <c r="P18" i="1585"/>
  <c r="AC18" i="1585" s="1"/>
  <c r="O18" i="1585"/>
  <c r="M18" i="1585"/>
  <c r="K18" i="1585"/>
  <c r="AF17" i="1585"/>
  <c r="AB17" i="1585"/>
  <c r="Q17" i="1585"/>
  <c r="P17" i="1585" s="1"/>
  <c r="AC17" i="1585" s="1"/>
  <c r="O17" i="1585"/>
  <c r="M17" i="1585"/>
  <c r="AF16" i="1585"/>
  <c r="AB16" i="1585"/>
  <c r="Q16" i="1585"/>
  <c r="P16" i="1585" s="1"/>
  <c r="AC16" i="1585" s="1"/>
  <c r="M16" i="1585"/>
  <c r="AF15" i="1585"/>
  <c r="AB15" i="1585"/>
  <c r="Q15" i="1585"/>
  <c r="P15" i="1585"/>
  <c r="AC15" i="1585" s="1"/>
  <c r="O15" i="1585"/>
  <c r="M15" i="1585"/>
  <c r="AF14" i="1585"/>
  <c r="AB14" i="1585"/>
  <c r="Q14" i="1585"/>
  <c r="P14" i="1585"/>
  <c r="AC14" i="1585" s="1"/>
  <c r="AD14" i="1585" s="1"/>
  <c r="O14" i="1585"/>
  <c r="M14" i="1585"/>
  <c r="AF13" i="1585"/>
  <c r="Q13" i="1585"/>
  <c r="AF12" i="1585"/>
  <c r="Q12" i="1585"/>
  <c r="P12" i="1585"/>
  <c r="AC12" i="1585" s="1"/>
  <c r="M12" i="1585"/>
  <c r="AF11" i="1585"/>
  <c r="Q11" i="1585"/>
  <c r="P11" i="1585"/>
  <c r="AC11" i="1585" s="1"/>
  <c r="O11" i="1585"/>
  <c r="AB11" i="1585"/>
  <c r="AF10" i="1585"/>
  <c r="Q10" i="1585"/>
  <c r="P10" i="1585"/>
  <c r="AC10" i="1585" s="1"/>
  <c r="AB10" i="1585"/>
  <c r="AF8" i="1585"/>
  <c r="Q8" i="1585"/>
  <c r="P8" i="1585" s="1"/>
  <c r="AC8" i="1585" s="1"/>
  <c r="O8" i="1585"/>
  <c r="AF7" i="1585"/>
  <c r="AB7" i="1585"/>
  <c r="Q7" i="1585"/>
  <c r="P7" i="1585"/>
  <c r="AC7" i="1585" s="1"/>
  <c r="AD7" i="1585" s="1"/>
  <c r="O7" i="1585"/>
  <c r="M7" i="1585"/>
  <c r="K7" i="1585"/>
  <c r="AF6" i="1585"/>
  <c r="AB6" i="1585"/>
  <c r="Q6" i="1585"/>
  <c r="P6" i="1585"/>
  <c r="O6" i="1585"/>
  <c r="M6" i="1585"/>
  <c r="K6" i="1585"/>
  <c r="AE19" i="1588" l="1"/>
  <c r="AE11" i="1588"/>
  <c r="AE8" i="1588"/>
  <c r="AE16" i="1588"/>
  <c r="AE18" i="1588"/>
  <c r="AE15" i="1588"/>
  <c r="AE13" i="1588"/>
  <c r="AE20" i="1588"/>
  <c r="AE21" i="1588"/>
  <c r="AE6" i="1588"/>
  <c r="AE14" i="1588"/>
  <c r="AE7" i="1588"/>
  <c r="AE10" i="1588"/>
  <c r="AE9" i="1588"/>
  <c r="AE17" i="1588"/>
  <c r="AD22" i="1587"/>
  <c r="AC23" i="1586"/>
  <c r="P23" i="1586"/>
  <c r="AB23" i="1586"/>
  <c r="AD9" i="1586"/>
  <c r="AD21" i="1586"/>
  <c r="M23" i="1586"/>
  <c r="P20" i="1585"/>
  <c r="AC20" i="1585" s="1"/>
  <c r="AB20" i="1585"/>
  <c r="L22" i="1585"/>
  <c r="AD16" i="1585"/>
  <c r="O22" i="1585"/>
  <c r="AF63" i="1585"/>
  <c r="AD9" i="1585"/>
  <c r="AD17" i="1585"/>
  <c r="Q22" i="1585"/>
  <c r="AD18" i="1585"/>
  <c r="AD15" i="1585"/>
  <c r="AD11" i="1585"/>
  <c r="AD19" i="1585"/>
  <c r="K22" i="1585"/>
  <c r="AB13" i="1585"/>
  <c r="M10" i="1585"/>
  <c r="AB12" i="1585"/>
  <c r="O13" i="1585"/>
  <c r="AC6" i="1585"/>
  <c r="M8" i="1585"/>
  <c r="AB8" i="1585"/>
  <c r="AD8" i="1585" s="1"/>
  <c r="O10" i="1585"/>
  <c r="AD10" i="1585" s="1"/>
  <c r="M11" i="1585"/>
  <c r="O12" i="1585"/>
  <c r="P13" i="1585"/>
  <c r="AC13" i="1585" s="1"/>
  <c r="M19" i="1585"/>
  <c r="O20" i="1585"/>
  <c r="P21" i="1585"/>
  <c r="AC21" i="1585" s="1"/>
  <c r="M21" i="1585"/>
  <c r="AB21" i="1585"/>
  <c r="M20" i="1585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1" i="1584"/>
  <c r="L20" i="1584"/>
  <c r="K20" i="1584"/>
  <c r="L19" i="1584"/>
  <c r="L14" i="1584"/>
  <c r="L13" i="1584"/>
  <c r="L12" i="1584"/>
  <c r="L11" i="1584"/>
  <c r="K11" i="1584" s="1"/>
  <c r="AF11" i="1584"/>
  <c r="Q11" i="1584"/>
  <c r="P11" i="1584" s="1"/>
  <c r="AC11" i="1584" s="1"/>
  <c r="M11" i="1584"/>
  <c r="L9" i="1584"/>
  <c r="L8" i="1584"/>
  <c r="K8" i="1584"/>
  <c r="AE14" i="1587" l="1"/>
  <c r="AE18" i="1587"/>
  <c r="AE10" i="1587"/>
  <c r="AE9" i="1587"/>
  <c r="AE21" i="1587"/>
  <c r="AE12" i="1587"/>
  <c r="AE8" i="1587"/>
  <c r="AE20" i="1587"/>
  <c r="AE13" i="1587"/>
  <c r="AE15" i="1587"/>
  <c r="AE16" i="1587"/>
  <c r="AE17" i="1587"/>
  <c r="AE7" i="1587"/>
  <c r="AE19" i="1587"/>
  <c r="AE11" i="1587"/>
  <c r="AE6" i="1587"/>
  <c r="AD23" i="1586"/>
  <c r="AD20" i="1585"/>
  <c r="AD12" i="1585"/>
  <c r="AB22" i="1585"/>
  <c r="M22" i="1585"/>
  <c r="AC22" i="1585"/>
  <c r="AD6" i="1585"/>
  <c r="AD21" i="1585"/>
  <c r="AD13" i="1585"/>
  <c r="P22" i="1585"/>
  <c r="AB11" i="1584"/>
  <c r="AD11" i="1584" s="1"/>
  <c r="O11" i="1584"/>
  <c r="AE15" i="1586" l="1"/>
  <c r="AE20" i="1586"/>
  <c r="AE7" i="1586"/>
  <c r="AE21" i="1586"/>
  <c r="AE9" i="1586"/>
  <c r="AE11" i="1586"/>
  <c r="AE14" i="1586"/>
  <c r="AE16" i="1586"/>
  <c r="AE10" i="1586"/>
  <c r="AE6" i="1586"/>
  <c r="AE19" i="1586"/>
  <c r="AE18" i="1586"/>
  <c r="AE12" i="1586"/>
  <c r="AE13" i="1586"/>
  <c r="AE8" i="1586"/>
  <c r="AE22" i="1586"/>
  <c r="AE17" i="1586"/>
  <c r="AD22" i="1585"/>
  <c r="AE9" i="1585" s="1"/>
  <c r="K19" i="1584"/>
  <c r="K17" i="1584"/>
  <c r="K14" i="1584"/>
  <c r="K13" i="1584"/>
  <c r="K12" i="1584"/>
  <c r="K10" i="1584"/>
  <c r="K9" i="1584"/>
  <c r="A76" i="1584"/>
  <c r="A77" i="1584" s="1"/>
  <c r="A78" i="1584" s="1"/>
  <c r="A79" i="1584" s="1"/>
  <c r="A80" i="1584" s="1"/>
  <c r="A81" i="1584" s="1"/>
  <c r="A82" i="1584" s="1"/>
  <c r="A75" i="1584"/>
  <c r="AF61" i="1584"/>
  <c r="AF60" i="1584"/>
  <c r="AF63" i="1584" s="1"/>
  <c r="AA22" i="1584"/>
  <c r="Z22" i="1584"/>
  <c r="Y22" i="1584"/>
  <c r="X22" i="1584"/>
  <c r="W22" i="1584"/>
  <c r="V22" i="1584"/>
  <c r="U22" i="1584"/>
  <c r="T22" i="1584"/>
  <c r="S22" i="1584"/>
  <c r="R22" i="1584"/>
  <c r="N22" i="1584"/>
  <c r="L22" i="1584"/>
  <c r="O22" i="1584" s="1"/>
  <c r="J22" i="1584"/>
  <c r="I22" i="1584"/>
  <c r="AF21" i="1584"/>
  <c r="AB21" i="1584"/>
  <c r="Q21" i="1584"/>
  <c r="P21" i="1584"/>
  <c r="AC21" i="1584" s="1"/>
  <c r="O21" i="1584"/>
  <c r="M21" i="1584"/>
  <c r="K21" i="1584"/>
  <c r="AF20" i="1584"/>
  <c r="AB20" i="1584"/>
  <c r="Q20" i="1584"/>
  <c r="P20" i="1584" s="1"/>
  <c r="AC20" i="1584" s="1"/>
  <c r="O20" i="1584"/>
  <c r="M20" i="1584"/>
  <c r="AF19" i="1584"/>
  <c r="AB19" i="1584"/>
  <c r="Q19" i="1584"/>
  <c r="P19" i="1584" s="1"/>
  <c r="AC19" i="1584" s="1"/>
  <c r="O19" i="1584"/>
  <c r="M19" i="1584"/>
  <c r="AF18" i="1584"/>
  <c r="AB18" i="1584"/>
  <c r="Q18" i="1584"/>
  <c r="P18" i="1584"/>
  <c r="AC18" i="1584" s="1"/>
  <c r="O18" i="1584"/>
  <c r="M18" i="1584"/>
  <c r="K18" i="1584"/>
  <c r="AF17" i="1584"/>
  <c r="AB17" i="1584"/>
  <c r="Q17" i="1584"/>
  <c r="P17" i="1584" s="1"/>
  <c r="AC17" i="1584" s="1"/>
  <c r="O17" i="1584"/>
  <c r="M17" i="1584"/>
  <c r="AF16" i="1584"/>
  <c r="AB16" i="1584"/>
  <c r="Q16" i="1584"/>
  <c r="P16" i="1584"/>
  <c r="AC16" i="1584" s="1"/>
  <c r="O16" i="1584"/>
  <c r="M16" i="1584"/>
  <c r="K16" i="1584"/>
  <c r="AF15" i="1584"/>
  <c r="AB15" i="1584"/>
  <c r="Q15" i="1584"/>
  <c r="P15" i="1584"/>
  <c r="AC15" i="1584" s="1"/>
  <c r="O15" i="1584"/>
  <c r="M15" i="1584"/>
  <c r="K15" i="1584"/>
  <c r="AF14" i="1584"/>
  <c r="AB14" i="1584"/>
  <c r="Q14" i="1584"/>
  <c r="P14" i="1584" s="1"/>
  <c r="AC14" i="1584" s="1"/>
  <c r="AD14" i="1584" s="1"/>
  <c r="O14" i="1584"/>
  <c r="M14" i="1584"/>
  <c r="AF13" i="1584"/>
  <c r="AB13" i="1584"/>
  <c r="Q13" i="1584"/>
  <c r="P13" i="1584" s="1"/>
  <c r="AC13" i="1584" s="1"/>
  <c r="O13" i="1584"/>
  <c r="M13" i="1584"/>
  <c r="AF12" i="1584"/>
  <c r="AB12" i="1584"/>
  <c r="Q12" i="1584"/>
  <c r="P12" i="1584"/>
  <c r="AC12" i="1584" s="1"/>
  <c r="O12" i="1584"/>
  <c r="M12" i="1584"/>
  <c r="AF10" i="1584"/>
  <c r="AB10" i="1584"/>
  <c r="Q10" i="1584"/>
  <c r="P10" i="1584" s="1"/>
  <c r="AC10" i="1584" s="1"/>
  <c r="O10" i="1584"/>
  <c r="M10" i="1584"/>
  <c r="AF9" i="1584"/>
  <c r="AB9" i="1584"/>
  <c r="Q9" i="1584"/>
  <c r="P9" i="1584" s="1"/>
  <c r="AC9" i="1584" s="1"/>
  <c r="O9" i="1584"/>
  <c r="M9" i="1584"/>
  <c r="AF8" i="1584"/>
  <c r="AB8" i="1584"/>
  <c r="Q8" i="1584"/>
  <c r="P8" i="1584"/>
  <c r="AC8" i="1584" s="1"/>
  <c r="O8" i="1584"/>
  <c r="M8" i="1584"/>
  <c r="AF7" i="1584"/>
  <c r="AC7" i="1584"/>
  <c r="AB7" i="1584"/>
  <c r="Q7" i="1584"/>
  <c r="P7" i="1584"/>
  <c r="O7" i="1584"/>
  <c r="M7" i="1584"/>
  <c r="K7" i="1584"/>
  <c r="AF6" i="1584"/>
  <c r="AB6" i="1584"/>
  <c r="Q6" i="1584"/>
  <c r="P6" i="1584"/>
  <c r="AC6" i="1584" s="1"/>
  <c r="O6" i="1584"/>
  <c r="M6" i="1584"/>
  <c r="K6" i="1584"/>
  <c r="AE19" i="1585" l="1"/>
  <c r="AE11" i="1585"/>
  <c r="AE15" i="1585"/>
  <c r="AE10" i="1585"/>
  <c r="AE21" i="1585"/>
  <c r="AE20" i="1585"/>
  <c r="AE17" i="1585"/>
  <c r="AE6" i="1585"/>
  <c r="AE18" i="1585"/>
  <c r="AE16" i="1585"/>
  <c r="AE14" i="1585"/>
  <c r="AE7" i="1585"/>
  <c r="AE8" i="1585"/>
  <c r="AE12" i="1585"/>
  <c r="AE13" i="1585"/>
  <c r="AD20" i="1584"/>
  <c r="K22" i="1584"/>
  <c r="AD12" i="1584"/>
  <c r="AD7" i="1584"/>
  <c r="AD15" i="1584"/>
  <c r="AD18" i="1584"/>
  <c r="AD21" i="1584"/>
  <c r="AD9" i="1584"/>
  <c r="Q22" i="1584"/>
  <c r="AD8" i="1584"/>
  <c r="AB22" i="1584"/>
  <c r="AD10" i="1584"/>
  <c r="AD13" i="1584"/>
  <c r="AD19" i="1584"/>
  <c r="M22" i="1584"/>
  <c r="AD16" i="1584"/>
  <c r="AD17" i="1584"/>
  <c r="AC22" i="1584"/>
  <c r="AD6" i="1584"/>
  <c r="P22" i="1584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K19" i="1583"/>
  <c r="K18" i="1583"/>
  <c r="K16" i="1583"/>
  <c r="K12" i="1583"/>
  <c r="K11" i="1583"/>
  <c r="K10" i="1583"/>
  <c r="K9" i="1583"/>
  <c r="A74" i="1583"/>
  <c r="A75" i="1583" s="1"/>
  <c r="A76" i="1583" s="1"/>
  <c r="A77" i="1583" s="1"/>
  <c r="A78" i="1583" s="1"/>
  <c r="A79" i="1583" s="1"/>
  <c r="A80" i="1583" s="1"/>
  <c r="A81" i="1583" s="1"/>
  <c r="AF62" i="1583"/>
  <c r="AF60" i="1583"/>
  <c r="AF59" i="1583"/>
  <c r="AA21" i="1583"/>
  <c r="Z21" i="1583"/>
  <c r="Y21" i="1583"/>
  <c r="X21" i="1583"/>
  <c r="W21" i="1583"/>
  <c r="V21" i="1583"/>
  <c r="U21" i="1583"/>
  <c r="T21" i="1583"/>
  <c r="S21" i="1583"/>
  <c r="R21" i="1583"/>
  <c r="N21" i="1583"/>
  <c r="J21" i="1583"/>
  <c r="I21" i="1583"/>
  <c r="AF20" i="1583"/>
  <c r="AB20" i="1583"/>
  <c r="Q20" i="1583"/>
  <c r="P20" i="1583"/>
  <c r="AC20" i="1583" s="1"/>
  <c r="AD20" i="1583" s="1"/>
  <c r="O20" i="1583"/>
  <c r="M20" i="1583"/>
  <c r="K20" i="1583"/>
  <c r="AF19" i="1583"/>
  <c r="AB19" i="1583"/>
  <c r="Q19" i="1583"/>
  <c r="M19" i="1583"/>
  <c r="P19" i="1583"/>
  <c r="AC19" i="1583" s="1"/>
  <c r="AF18" i="1583"/>
  <c r="Q18" i="1583"/>
  <c r="P18" i="1583" s="1"/>
  <c r="AC18" i="1583" s="1"/>
  <c r="AF17" i="1583"/>
  <c r="AB17" i="1583"/>
  <c r="Q17" i="1583"/>
  <c r="P17" i="1583"/>
  <c r="AC17" i="1583" s="1"/>
  <c r="O17" i="1583"/>
  <c r="M17" i="1583"/>
  <c r="K17" i="1583"/>
  <c r="AF16" i="1583"/>
  <c r="AB16" i="1583"/>
  <c r="Q16" i="1583"/>
  <c r="P16" i="1583" s="1"/>
  <c r="AC16" i="1583" s="1"/>
  <c r="M16" i="1583"/>
  <c r="AF15" i="1583"/>
  <c r="AB15" i="1583"/>
  <c r="Q15" i="1583"/>
  <c r="P15" i="1583"/>
  <c r="AC15" i="1583" s="1"/>
  <c r="O15" i="1583"/>
  <c r="M15" i="1583"/>
  <c r="K15" i="1583"/>
  <c r="AF14" i="1583"/>
  <c r="AB14" i="1583"/>
  <c r="Q14" i="1583"/>
  <c r="P14" i="1583"/>
  <c r="AC14" i="1583" s="1"/>
  <c r="O14" i="1583"/>
  <c r="M14" i="1583"/>
  <c r="K14" i="1583"/>
  <c r="AF13" i="1583"/>
  <c r="AB13" i="1583"/>
  <c r="Q13" i="1583"/>
  <c r="P13" i="1583" s="1"/>
  <c r="AC13" i="1583" s="1"/>
  <c r="AD13" i="1583" s="1"/>
  <c r="O13" i="1583"/>
  <c r="M13" i="1583"/>
  <c r="K13" i="1583"/>
  <c r="AF12" i="1583"/>
  <c r="AB12" i="1583"/>
  <c r="Q12" i="1583"/>
  <c r="P12" i="1583" s="1"/>
  <c r="AC12" i="1583" s="1"/>
  <c r="O12" i="1583"/>
  <c r="M12" i="1583"/>
  <c r="AF11" i="1583"/>
  <c r="Q11" i="1583"/>
  <c r="P11" i="1583"/>
  <c r="AC11" i="1583" s="1"/>
  <c r="AF10" i="1583"/>
  <c r="AB10" i="1583"/>
  <c r="Q10" i="1583"/>
  <c r="P10" i="1583" s="1"/>
  <c r="AC10" i="1583" s="1"/>
  <c r="M10" i="1583"/>
  <c r="O10" i="1583"/>
  <c r="AF9" i="1583"/>
  <c r="Q9" i="1583"/>
  <c r="O9" i="1583"/>
  <c r="AB9" i="1583"/>
  <c r="AF8" i="1583"/>
  <c r="AB8" i="1583"/>
  <c r="Q8" i="1583"/>
  <c r="P8" i="1583"/>
  <c r="AC8" i="1583" s="1"/>
  <c r="AD8" i="1583" s="1"/>
  <c r="O8" i="1583"/>
  <c r="M8" i="1583"/>
  <c r="K8" i="1583"/>
  <c r="AF7" i="1583"/>
  <c r="AB7" i="1583"/>
  <c r="Q7" i="1583"/>
  <c r="P7" i="1583"/>
  <c r="AC7" i="1583" s="1"/>
  <c r="AD7" i="1583" s="1"/>
  <c r="O7" i="1583"/>
  <c r="M7" i="1583"/>
  <c r="K7" i="1583"/>
  <c r="AF6" i="1583"/>
  <c r="AB6" i="1583"/>
  <c r="Q6" i="1583"/>
  <c r="P6" i="1583"/>
  <c r="O6" i="1583"/>
  <c r="M6" i="1583"/>
  <c r="K6" i="1583"/>
  <c r="AD22" i="1584" l="1"/>
  <c r="AD15" i="1583"/>
  <c r="AD17" i="1583"/>
  <c r="AD14" i="1583"/>
  <c r="AD10" i="1583"/>
  <c r="Q21" i="1583"/>
  <c r="AD12" i="1583"/>
  <c r="AC6" i="1583"/>
  <c r="K21" i="1583"/>
  <c r="P9" i="1583"/>
  <c r="AC9" i="1583" s="1"/>
  <c r="AD9" i="1583" s="1"/>
  <c r="M11" i="1583"/>
  <c r="AB11" i="1583"/>
  <c r="O16" i="1583"/>
  <c r="AD16" i="1583" s="1"/>
  <c r="M18" i="1583"/>
  <c r="AB18" i="1583"/>
  <c r="O19" i="1583"/>
  <c r="AD19" i="1583" s="1"/>
  <c r="O18" i="1583"/>
  <c r="L21" i="1583"/>
  <c r="O21" i="1583" s="1"/>
  <c r="O11" i="1583"/>
  <c r="M9" i="1583"/>
  <c r="J18" i="16"/>
  <c r="J17" i="16"/>
  <c r="J16" i="16"/>
  <c r="J15" i="16"/>
  <c r="L20" i="1582"/>
  <c r="L19" i="1582"/>
  <c r="L17" i="1582"/>
  <c r="K14" i="1582"/>
  <c r="AF14" i="1582"/>
  <c r="AB14" i="1582"/>
  <c r="Q14" i="1582"/>
  <c r="M14" i="1582"/>
  <c r="P14" i="1582"/>
  <c r="AC14" i="1582" s="1"/>
  <c r="L13" i="1582"/>
  <c r="K13" i="1582" s="1"/>
  <c r="AE16" i="1584" l="1"/>
  <c r="AE11" i="1584"/>
  <c r="AE13" i="1584"/>
  <c r="AE21" i="1584"/>
  <c r="AE17" i="1584"/>
  <c r="AE14" i="1584"/>
  <c r="AE10" i="1584"/>
  <c r="AE18" i="1584"/>
  <c r="AE8" i="1584"/>
  <c r="AE9" i="1584"/>
  <c r="AE19" i="1584"/>
  <c r="AE12" i="1584"/>
  <c r="AE20" i="1584"/>
  <c r="AE6" i="1584"/>
  <c r="AE15" i="1584"/>
  <c r="AE7" i="1584"/>
  <c r="AD18" i="1583"/>
  <c r="AD11" i="1583"/>
  <c r="M21" i="1583"/>
  <c r="P21" i="1583"/>
  <c r="AB21" i="1583"/>
  <c r="AC21" i="1583"/>
  <c r="AD6" i="1583"/>
  <c r="O14" i="1582"/>
  <c r="AD14" i="1582" s="1"/>
  <c r="AD21" i="1583" l="1"/>
  <c r="AE19" i="1583" s="1"/>
  <c r="L12" i="1582"/>
  <c r="L11" i="1582"/>
  <c r="L10" i="1582"/>
  <c r="K10" i="1582"/>
  <c r="L9" i="1582"/>
  <c r="AE10" i="1583" l="1"/>
  <c r="AE8" i="1583"/>
  <c r="AE17" i="1583"/>
  <c r="AE11" i="1583"/>
  <c r="AE18" i="1583"/>
  <c r="AE20" i="1583"/>
  <c r="AE9" i="1583"/>
  <c r="AE16" i="1583"/>
  <c r="AE14" i="1583"/>
  <c r="AE13" i="1583"/>
  <c r="AE12" i="1583"/>
  <c r="AE7" i="1583"/>
  <c r="AE15" i="1583"/>
  <c r="AE6" i="1583"/>
  <c r="M12" i="1582"/>
  <c r="M13" i="1582"/>
  <c r="M15" i="1582"/>
  <c r="M16" i="1582"/>
  <c r="M17" i="1582"/>
  <c r="M18" i="1582"/>
  <c r="K21" i="1582"/>
  <c r="K20" i="1582"/>
  <c r="K19" i="1582"/>
  <c r="K17" i="1582"/>
  <c r="K16" i="1582"/>
  <c r="K15" i="1582"/>
  <c r="K12" i="1582"/>
  <c r="K11" i="1582"/>
  <c r="K9" i="1582"/>
  <c r="K8" i="1582"/>
  <c r="A75" i="1582"/>
  <c r="A76" i="1582" s="1"/>
  <c r="A77" i="1582" s="1"/>
  <c r="A78" i="1582" s="1"/>
  <c r="A79" i="1582" s="1"/>
  <c r="A80" i="1582" s="1"/>
  <c r="A81" i="1582" s="1"/>
  <c r="A82" i="1582" s="1"/>
  <c r="AF61" i="1582"/>
  <c r="AF60" i="1582"/>
  <c r="AA22" i="1582"/>
  <c r="Z22" i="1582"/>
  <c r="Y22" i="1582"/>
  <c r="X22" i="1582"/>
  <c r="W22" i="1582"/>
  <c r="V22" i="1582"/>
  <c r="U22" i="1582"/>
  <c r="T22" i="1582"/>
  <c r="S22" i="1582"/>
  <c r="R22" i="1582"/>
  <c r="N22" i="1582"/>
  <c r="J22" i="1582"/>
  <c r="I22" i="1582"/>
  <c r="AF21" i="1582"/>
  <c r="Q21" i="1582"/>
  <c r="O21" i="1582"/>
  <c r="AF20" i="1582"/>
  <c r="Q20" i="1582"/>
  <c r="P20" i="1582"/>
  <c r="AC20" i="1582" s="1"/>
  <c r="AB20" i="1582"/>
  <c r="AF19" i="1582"/>
  <c r="Q19" i="1582"/>
  <c r="P19" i="1582" s="1"/>
  <c r="AC19" i="1582" s="1"/>
  <c r="O19" i="1582"/>
  <c r="AB19" i="1582"/>
  <c r="AF18" i="1582"/>
  <c r="AB18" i="1582"/>
  <c r="Q18" i="1582"/>
  <c r="P18" i="1582"/>
  <c r="AC18" i="1582" s="1"/>
  <c r="O18" i="1582"/>
  <c r="K18" i="1582"/>
  <c r="AF17" i="1582"/>
  <c r="AB17" i="1582"/>
  <c r="Q17" i="1582"/>
  <c r="P17" i="1582" s="1"/>
  <c r="AC17" i="1582" s="1"/>
  <c r="AF16" i="1582"/>
  <c r="AB16" i="1582"/>
  <c r="Q16" i="1582"/>
  <c r="P16" i="1582" s="1"/>
  <c r="AC16" i="1582" s="1"/>
  <c r="O16" i="1582"/>
  <c r="AF15" i="1582"/>
  <c r="AB15" i="1582"/>
  <c r="Q15" i="1582"/>
  <c r="P15" i="1582"/>
  <c r="AC15" i="1582" s="1"/>
  <c r="O15" i="1582"/>
  <c r="AF13" i="1582"/>
  <c r="AB13" i="1582"/>
  <c r="Q13" i="1582"/>
  <c r="P13" i="1582" s="1"/>
  <c r="AC13" i="1582" s="1"/>
  <c r="O13" i="1582"/>
  <c r="AF12" i="1582"/>
  <c r="Q12" i="1582"/>
  <c r="P12" i="1582" s="1"/>
  <c r="AC12" i="1582" s="1"/>
  <c r="O12" i="1582"/>
  <c r="AF11" i="1582"/>
  <c r="AB11" i="1582"/>
  <c r="Q11" i="1582"/>
  <c r="P11" i="1582" s="1"/>
  <c r="AC11" i="1582" s="1"/>
  <c r="O11" i="1582"/>
  <c r="M11" i="1582"/>
  <c r="AF10" i="1582"/>
  <c r="AB10" i="1582"/>
  <c r="Q10" i="1582"/>
  <c r="P10" i="1582" s="1"/>
  <c r="AC10" i="1582" s="1"/>
  <c r="O10" i="1582"/>
  <c r="M10" i="1582"/>
  <c r="AF9" i="1582"/>
  <c r="Q9" i="1582"/>
  <c r="O9" i="1582"/>
  <c r="L22" i="1582"/>
  <c r="O22" i="1582" s="1"/>
  <c r="AF8" i="1582"/>
  <c r="AB8" i="1582"/>
  <c r="Q8" i="1582"/>
  <c r="P8" i="1582"/>
  <c r="AC8" i="1582" s="1"/>
  <c r="O8" i="1582"/>
  <c r="M8" i="1582"/>
  <c r="AF7" i="1582"/>
  <c r="AB7" i="1582"/>
  <c r="Q7" i="1582"/>
  <c r="P7" i="1582"/>
  <c r="AC7" i="1582" s="1"/>
  <c r="O7" i="1582"/>
  <c r="M7" i="1582"/>
  <c r="K7" i="1582"/>
  <c r="AF6" i="1582"/>
  <c r="AB6" i="1582"/>
  <c r="Q6" i="1582"/>
  <c r="P6" i="1582"/>
  <c r="O6" i="1582"/>
  <c r="M6" i="1582"/>
  <c r="K6" i="1582"/>
  <c r="AF63" i="1582" l="1"/>
  <c r="AD7" i="1582"/>
  <c r="J4" i="16" s="1"/>
  <c r="Q22" i="1582"/>
  <c r="AD10" i="1582"/>
  <c r="J7" i="16" s="1"/>
  <c r="AD13" i="1582"/>
  <c r="J10" i="16" s="1"/>
  <c r="AD8" i="1582"/>
  <c r="J5" i="16" s="1"/>
  <c r="AD11" i="1582"/>
  <c r="J8" i="16" s="1"/>
  <c r="AD15" i="1582"/>
  <c r="J11" i="16" s="1"/>
  <c r="AD16" i="1582"/>
  <c r="J12" i="16" s="1"/>
  <c r="AD18" i="1582"/>
  <c r="J14" i="16" s="1"/>
  <c r="AD19" i="1582"/>
  <c r="M9" i="1582"/>
  <c r="AB9" i="1582"/>
  <c r="AB12" i="1582"/>
  <c r="AD12" i="1582" s="1"/>
  <c r="J9" i="16" s="1"/>
  <c r="M19" i="1582"/>
  <c r="O20" i="1582"/>
  <c r="AD20" i="1582" s="1"/>
  <c r="K22" i="1582"/>
  <c r="P21" i="1582"/>
  <c r="AC21" i="1582" s="1"/>
  <c r="AC6" i="1582"/>
  <c r="P9" i="1582"/>
  <c r="AC9" i="1582" s="1"/>
  <c r="O17" i="1582"/>
  <c r="AD17" i="1582" s="1"/>
  <c r="J13" i="16" s="1"/>
  <c r="M21" i="1582"/>
  <c r="AB21" i="1582"/>
  <c r="M20" i="1582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21" i="1581"/>
  <c r="K21" i="1581"/>
  <c r="L20" i="1581"/>
  <c r="AB20" i="1581" s="1"/>
  <c r="K20" i="1581"/>
  <c r="L19" i="1581"/>
  <c r="AB19" i="1581" s="1"/>
  <c r="K19" i="1581"/>
  <c r="AF19" i="1581"/>
  <c r="Q19" i="1581"/>
  <c r="P19" i="1581" s="1"/>
  <c r="AC19" i="1581" s="1"/>
  <c r="O19" i="1581"/>
  <c r="L16" i="1581"/>
  <c r="K16" i="1581" s="1"/>
  <c r="K15" i="1581"/>
  <c r="K14" i="1581"/>
  <c r="L12" i="1581"/>
  <c r="K11" i="1581"/>
  <c r="L10" i="1581"/>
  <c r="K10" i="1581" s="1"/>
  <c r="L9" i="1581"/>
  <c r="K18" i="1581"/>
  <c r="K13" i="1581"/>
  <c r="K12" i="1581"/>
  <c r="K9" i="1581"/>
  <c r="K8" i="1581"/>
  <c r="A76" i="1581"/>
  <c r="A77" i="1581" s="1"/>
  <c r="A78" i="1581" s="1"/>
  <c r="A79" i="1581" s="1"/>
  <c r="A80" i="1581" s="1"/>
  <c r="A81" i="1581" s="1"/>
  <c r="A82" i="1581" s="1"/>
  <c r="A75" i="1581"/>
  <c r="AF61" i="1581"/>
  <c r="AF60" i="1581"/>
  <c r="AA22" i="1581"/>
  <c r="Z22" i="1581"/>
  <c r="Y22" i="1581"/>
  <c r="X22" i="1581"/>
  <c r="W22" i="1581"/>
  <c r="V22" i="1581"/>
  <c r="U22" i="1581"/>
  <c r="T22" i="1581"/>
  <c r="S22" i="1581"/>
  <c r="R22" i="1581"/>
  <c r="N22" i="1581"/>
  <c r="J22" i="1581"/>
  <c r="I22" i="1581"/>
  <c r="AF21" i="1581"/>
  <c r="Q21" i="1581"/>
  <c r="O21" i="1581"/>
  <c r="AF20" i="1581"/>
  <c r="Q20" i="1581"/>
  <c r="P20" i="1581"/>
  <c r="AC20" i="1581" s="1"/>
  <c r="AF18" i="1581"/>
  <c r="Q18" i="1581"/>
  <c r="P18" i="1581"/>
  <c r="AC18" i="1581" s="1"/>
  <c r="O18" i="1581"/>
  <c r="AB18" i="1581"/>
  <c r="AF17" i="1581"/>
  <c r="AB17" i="1581"/>
  <c r="Q17" i="1581"/>
  <c r="P17" i="1581"/>
  <c r="AC17" i="1581" s="1"/>
  <c r="O17" i="1581"/>
  <c r="M17" i="1581"/>
  <c r="K17" i="1581"/>
  <c r="AF16" i="1581"/>
  <c r="AB16" i="1581"/>
  <c r="Q16" i="1581"/>
  <c r="P16" i="1581" s="1"/>
  <c r="AC16" i="1581" s="1"/>
  <c r="M16" i="1581"/>
  <c r="AF15" i="1581"/>
  <c r="AB15" i="1581"/>
  <c r="Q15" i="1581"/>
  <c r="P15" i="1581" s="1"/>
  <c r="AC15" i="1581" s="1"/>
  <c r="O15" i="1581"/>
  <c r="M15" i="1581"/>
  <c r="AF14" i="1581"/>
  <c r="AB14" i="1581"/>
  <c r="Q14" i="1581"/>
  <c r="P14" i="1581" s="1"/>
  <c r="AC14" i="1581" s="1"/>
  <c r="AD14" i="1581" s="1"/>
  <c r="O14" i="1581"/>
  <c r="M14" i="1581"/>
  <c r="AF13" i="1581"/>
  <c r="AB13" i="1581"/>
  <c r="Q13" i="1581"/>
  <c r="P13" i="1581" s="1"/>
  <c r="AC13" i="1581" s="1"/>
  <c r="O13" i="1581"/>
  <c r="M13" i="1581"/>
  <c r="AF12" i="1581"/>
  <c r="Q12" i="1581"/>
  <c r="O12" i="1581"/>
  <c r="AF11" i="1581"/>
  <c r="AB11" i="1581"/>
  <c r="Q11" i="1581"/>
  <c r="P11" i="1581" s="1"/>
  <c r="AC11" i="1581" s="1"/>
  <c r="O11" i="1581"/>
  <c r="M11" i="1581"/>
  <c r="AF10" i="1581"/>
  <c r="Q10" i="1581"/>
  <c r="AF9" i="1581"/>
  <c r="Q9" i="1581"/>
  <c r="P9" i="1581"/>
  <c r="AC9" i="1581" s="1"/>
  <c r="O9" i="1581"/>
  <c r="AF8" i="1581"/>
  <c r="Q8" i="1581"/>
  <c r="P8" i="1581" s="1"/>
  <c r="AC8" i="1581" s="1"/>
  <c r="O8" i="1581"/>
  <c r="AB8" i="1581"/>
  <c r="AF7" i="1581"/>
  <c r="AB7" i="1581"/>
  <c r="Q7" i="1581"/>
  <c r="P7" i="1581"/>
  <c r="AC7" i="1581" s="1"/>
  <c r="O7" i="1581"/>
  <c r="M7" i="1581"/>
  <c r="K7" i="1581"/>
  <c r="AF6" i="1581"/>
  <c r="AB6" i="1581"/>
  <c r="Q6" i="1581"/>
  <c r="P6" i="1581"/>
  <c r="AC6" i="1581" s="1"/>
  <c r="O6" i="1581"/>
  <c r="M6" i="1581"/>
  <c r="K6" i="1581"/>
  <c r="AD9" i="1582" l="1"/>
  <c r="J6" i="16" s="1"/>
  <c r="AB22" i="1582"/>
  <c r="M22" i="1582"/>
  <c r="AD21" i="1582"/>
  <c r="P22" i="1582"/>
  <c r="AC22" i="1582"/>
  <c r="AD6" i="1582"/>
  <c r="J3" i="16" s="1"/>
  <c r="AD19" i="1581"/>
  <c r="M19" i="1581"/>
  <c r="AD7" i="1581"/>
  <c r="AD13" i="1581"/>
  <c r="P12" i="1581"/>
  <c r="AC12" i="1581" s="1"/>
  <c r="AB12" i="1581"/>
  <c r="AD12" i="1581" s="1"/>
  <c r="AF63" i="1581"/>
  <c r="AD17" i="1581"/>
  <c r="O16" i="1581"/>
  <c r="AD16" i="1581" s="1"/>
  <c r="AD15" i="1581"/>
  <c r="AD11" i="1581"/>
  <c r="P10" i="1581"/>
  <c r="AC10" i="1581" s="1"/>
  <c r="Q22" i="1581"/>
  <c r="AD8" i="1581"/>
  <c r="AD6" i="1581"/>
  <c r="AD18" i="1581"/>
  <c r="M18" i="1581"/>
  <c r="O20" i="1581"/>
  <c r="AD20" i="1581" s="1"/>
  <c r="P21" i="1581"/>
  <c r="AC21" i="1581" s="1"/>
  <c r="AB10" i="1581"/>
  <c r="M9" i="1581"/>
  <c r="O10" i="1581"/>
  <c r="M21" i="1581"/>
  <c r="AB21" i="1581"/>
  <c r="L22" i="1581"/>
  <c r="O22" i="1581" s="1"/>
  <c r="M10" i="1581"/>
  <c r="AB9" i="1581"/>
  <c r="M8" i="1581"/>
  <c r="K22" i="1581"/>
  <c r="M12" i="1581"/>
  <c r="M20" i="1581"/>
  <c r="H18" i="16"/>
  <c r="H17" i="16"/>
  <c r="H16" i="16"/>
  <c r="H15" i="16"/>
  <c r="H14" i="16"/>
  <c r="L22" i="1580"/>
  <c r="K22" i="1580" s="1"/>
  <c r="L21" i="1580"/>
  <c r="K21" i="1580" s="1"/>
  <c r="L20" i="1580"/>
  <c r="P20" i="1580" s="1"/>
  <c r="AC20" i="1580" s="1"/>
  <c r="K18" i="1580"/>
  <c r="AF18" i="1580"/>
  <c r="AB18" i="1580"/>
  <c r="Q18" i="1580"/>
  <c r="P18" i="1580" s="1"/>
  <c r="AC18" i="1580" s="1"/>
  <c r="O18" i="1580"/>
  <c r="M18" i="1580"/>
  <c r="K17" i="1580"/>
  <c r="AF17" i="1580"/>
  <c r="Q17" i="1580"/>
  <c r="P17" i="1580" s="1"/>
  <c r="AC17" i="1580" s="1"/>
  <c r="AB17" i="1580"/>
  <c r="K14" i="1580"/>
  <c r="K13" i="1580"/>
  <c r="L12" i="1580"/>
  <c r="L11" i="1580"/>
  <c r="M11" i="1580" s="1"/>
  <c r="K11" i="1580"/>
  <c r="L10" i="1580"/>
  <c r="M10" i="1580" s="1"/>
  <c r="L9" i="1580"/>
  <c r="L8" i="1580"/>
  <c r="K8" i="1580" s="1"/>
  <c r="K20" i="1580"/>
  <c r="K16" i="1580"/>
  <c r="K15" i="1580"/>
  <c r="K12" i="1580"/>
  <c r="A77" i="1580"/>
  <c r="A78" i="1580" s="1"/>
  <c r="A79" i="1580" s="1"/>
  <c r="A80" i="1580" s="1"/>
  <c r="A81" i="1580" s="1"/>
  <c r="A82" i="1580" s="1"/>
  <c r="A83" i="1580" s="1"/>
  <c r="A76" i="1580"/>
  <c r="AF62" i="1580"/>
  <c r="AF61" i="1580"/>
  <c r="AF64" i="1580" s="1"/>
  <c r="AA23" i="1580"/>
  <c r="Z23" i="1580"/>
  <c r="Y23" i="1580"/>
  <c r="X23" i="1580"/>
  <c r="W23" i="1580"/>
  <c r="V23" i="1580"/>
  <c r="U23" i="1580"/>
  <c r="T23" i="1580"/>
  <c r="S23" i="1580"/>
  <c r="R23" i="1580"/>
  <c r="N23" i="1580"/>
  <c r="J23" i="1580"/>
  <c r="I23" i="1580"/>
  <c r="AF22" i="1580"/>
  <c r="Q22" i="1580"/>
  <c r="AF21" i="1580"/>
  <c r="Q21" i="1580"/>
  <c r="AF20" i="1580"/>
  <c r="AB20" i="1580"/>
  <c r="Q20" i="1580"/>
  <c r="M20" i="1580"/>
  <c r="AF19" i="1580"/>
  <c r="AB19" i="1580"/>
  <c r="Q19" i="1580"/>
  <c r="P19" i="1580"/>
  <c r="AC19" i="1580" s="1"/>
  <c r="O19" i="1580"/>
  <c r="M19" i="1580"/>
  <c r="K19" i="1580"/>
  <c r="AF16" i="1580"/>
  <c r="Q16" i="1580"/>
  <c r="P16" i="1580" s="1"/>
  <c r="AC16" i="1580" s="1"/>
  <c r="O16" i="1580"/>
  <c r="AF15" i="1580"/>
  <c r="AB15" i="1580"/>
  <c r="Q15" i="1580"/>
  <c r="P15" i="1580"/>
  <c r="AC15" i="1580" s="1"/>
  <c r="M15" i="1580"/>
  <c r="O15" i="1580"/>
  <c r="AF14" i="1580"/>
  <c r="AB14" i="1580"/>
  <c r="Q14" i="1580"/>
  <c r="P14" i="1580" s="1"/>
  <c r="AC14" i="1580" s="1"/>
  <c r="O14" i="1580"/>
  <c r="M14" i="1580"/>
  <c r="AF13" i="1580"/>
  <c r="AB13" i="1580"/>
  <c r="Q13" i="1580"/>
  <c r="P13" i="1580" s="1"/>
  <c r="AC13" i="1580" s="1"/>
  <c r="O13" i="1580"/>
  <c r="M13" i="1580"/>
  <c r="AF12" i="1580"/>
  <c r="Q12" i="1580"/>
  <c r="O12" i="1580"/>
  <c r="AF11" i="1580"/>
  <c r="AB11" i="1580"/>
  <c r="Q11" i="1580"/>
  <c r="P11" i="1580" s="1"/>
  <c r="AC11" i="1580" s="1"/>
  <c r="O11" i="1580"/>
  <c r="AF10" i="1580"/>
  <c r="Q10" i="1580"/>
  <c r="P10" i="1580" s="1"/>
  <c r="AC10" i="1580" s="1"/>
  <c r="AF9" i="1580"/>
  <c r="Q9" i="1580"/>
  <c r="AF8" i="1580"/>
  <c r="Q8" i="1580"/>
  <c r="P8" i="1580"/>
  <c r="AC8" i="1580" s="1"/>
  <c r="O8" i="1580"/>
  <c r="AF7" i="1580"/>
  <c r="AC7" i="1580"/>
  <c r="AB7" i="1580"/>
  <c r="Q7" i="1580"/>
  <c r="P7" i="1580"/>
  <c r="O7" i="1580"/>
  <c r="M7" i="1580"/>
  <c r="K7" i="1580"/>
  <c r="AF6" i="1580"/>
  <c r="AB6" i="1580"/>
  <c r="Q6" i="1580"/>
  <c r="P6" i="1580"/>
  <c r="O6" i="1580"/>
  <c r="M6" i="1580"/>
  <c r="K6" i="1580"/>
  <c r="AD22" i="1582" l="1"/>
  <c r="AC22" i="1581"/>
  <c r="AB22" i="1581"/>
  <c r="P22" i="1581"/>
  <c r="AD10" i="1581"/>
  <c r="M22" i="1581"/>
  <c r="AD9" i="1581"/>
  <c r="AD21" i="1581"/>
  <c r="O20" i="1580"/>
  <c r="M8" i="1580"/>
  <c r="AB8" i="1580"/>
  <c r="AD8" i="1580" s="1"/>
  <c r="H5" i="16" s="1"/>
  <c r="O10" i="1580"/>
  <c r="AB21" i="1580"/>
  <c r="K10" i="1580"/>
  <c r="AB10" i="1580"/>
  <c r="AD10" i="1580" s="1"/>
  <c r="H7" i="16" s="1"/>
  <c r="O22" i="1580"/>
  <c r="P21" i="1580"/>
  <c r="AC21" i="1580" s="1"/>
  <c r="AD18" i="1580"/>
  <c r="M17" i="1580"/>
  <c r="O17" i="1580"/>
  <c r="AD17" i="1580" s="1"/>
  <c r="AD7" i="1580"/>
  <c r="H4" i="16" s="1"/>
  <c r="AD15" i="1580"/>
  <c r="H12" i="16" s="1"/>
  <c r="Q23" i="1580"/>
  <c r="AD13" i="1580"/>
  <c r="H10" i="16" s="1"/>
  <c r="P9" i="1580"/>
  <c r="AC9" i="1580" s="1"/>
  <c r="K9" i="1580"/>
  <c r="K23" i="1580" s="1"/>
  <c r="AB9" i="1580"/>
  <c r="L23" i="1580"/>
  <c r="O23" i="1580" s="1"/>
  <c r="AD20" i="1580"/>
  <c r="AD14" i="1580"/>
  <c r="H11" i="16" s="1"/>
  <c r="AD19" i="1580"/>
  <c r="AD11" i="1580"/>
  <c r="H8" i="16" s="1"/>
  <c r="AC6" i="1580"/>
  <c r="O9" i="1580"/>
  <c r="P12" i="1580"/>
  <c r="AC12" i="1580" s="1"/>
  <c r="M16" i="1580"/>
  <c r="AB16" i="1580"/>
  <c r="AD16" i="1580" s="1"/>
  <c r="H13" i="16" s="1"/>
  <c r="O21" i="1580"/>
  <c r="P22" i="1580"/>
  <c r="AC22" i="1580" s="1"/>
  <c r="M12" i="1580"/>
  <c r="AB12" i="1580"/>
  <c r="M22" i="1580"/>
  <c r="AB22" i="1580"/>
  <c r="M9" i="1580"/>
  <c r="M21" i="1580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21" i="1579"/>
  <c r="K21" i="1579"/>
  <c r="L20" i="1579"/>
  <c r="K20" i="1579"/>
  <c r="L19" i="1579"/>
  <c r="K19" i="1579"/>
  <c r="AF19" i="1579"/>
  <c r="AB19" i="1579"/>
  <c r="Q19" i="1579"/>
  <c r="P19" i="1579" s="1"/>
  <c r="AC19" i="1579" s="1"/>
  <c r="O19" i="1579"/>
  <c r="M19" i="1579"/>
  <c r="L18" i="1579"/>
  <c r="L16" i="1579"/>
  <c r="L22" i="1579" s="1"/>
  <c r="O22" i="1579" s="1"/>
  <c r="K16" i="1579"/>
  <c r="L15" i="1579"/>
  <c r="K15" i="1579"/>
  <c r="K14" i="1579"/>
  <c r="L12" i="1579"/>
  <c r="L9" i="1579"/>
  <c r="L8" i="1579"/>
  <c r="K8" i="1579" s="1"/>
  <c r="K18" i="1579"/>
  <c r="K17" i="1579"/>
  <c r="K13" i="1579"/>
  <c r="K12" i="1579"/>
  <c r="K11" i="1579"/>
  <c r="K10" i="1579"/>
  <c r="K9" i="1579"/>
  <c r="A76" i="1579"/>
  <c r="A77" i="1579" s="1"/>
  <c r="A78" i="1579" s="1"/>
  <c r="A79" i="1579" s="1"/>
  <c r="A80" i="1579" s="1"/>
  <c r="A81" i="1579" s="1"/>
  <c r="A82" i="1579" s="1"/>
  <c r="A75" i="1579"/>
  <c r="AF61" i="1579"/>
  <c r="AF60" i="1579"/>
  <c r="AF63" i="1579" s="1"/>
  <c r="AA22" i="1579"/>
  <c r="Z22" i="1579"/>
  <c r="Y22" i="1579"/>
  <c r="X22" i="1579"/>
  <c r="W22" i="1579"/>
  <c r="V22" i="1579"/>
  <c r="U22" i="1579"/>
  <c r="T22" i="1579"/>
  <c r="S22" i="1579"/>
  <c r="R22" i="1579"/>
  <c r="N22" i="1579"/>
  <c r="J22" i="1579"/>
  <c r="I22" i="1579"/>
  <c r="AF21" i="1579"/>
  <c r="Q21" i="1579"/>
  <c r="AB21" i="1579"/>
  <c r="AF20" i="1579"/>
  <c r="AB20" i="1579"/>
  <c r="Q20" i="1579"/>
  <c r="P20" i="1579" s="1"/>
  <c r="AC20" i="1579" s="1"/>
  <c r="O20" i="1579"/>
  <c r="M20" i="1579"/>
  <c r="AF18" i="1579"/>
  <c r="AB18" i="1579"/>
  <c r="Q18" i="1579"/>
  <c r="P18" i="1579" s="1"/>
  <c r="AC18" i="1579" s="1"/>
  <c r="O18" i="1579"/>
  <c r="M18" i="1579"/>
  <c r="AF17" i="1579"/>
  <c r="AB17" i="1579"/>
  <c r="Q17" i="1579"/>
  <c r="P17" i="1579" s="1"/>
  <c r="AC17" i="1579" s="1"/>
  <c r="O17" i="1579"/>
  <c r="M17" i="1579"/>
  <c r="AF16" i="1579"/>
  <c r="Q16" i="1579"/>
  <c r="O16" i="1579"/>
  <c r="P16" i="1579"/>
  <c r="AC16" i="1579" s="1"/>
  <c r="AF15" i="1579"/>
  <c r="AB15" i="1579"/>
  <c r="Q15" i="1579"/>
  <c r="P15" i="1579"/>
  <c r="AC15" i="1579" s="1"/>
  <c r="O15" i="1579"/>
  <c r="M15" i="1579"/>
  <c r="AF14" i="1579"/>
  <c r="AB14" i="1579"/>
  <c r="Q14" i="1579"/>
  <c r="P14" i="1579" s="1"/>
  <c r="AC14" i="1579" s="1"/>
  <c r="O14" i="1579"/>
  <c r="M14" i="1579"/>
  <c r="AF13" i="1579"/>
  <c r="AB13" i="1579"/>
  <c r="Q13" i="1579"/>
  <c r="P13" i="1579"/>
  <c r="AC13" i="1579" s="1"/>
  <c r="O13" i="1579"/>
  <c r="M13" i="1579"/>
  <c r="AF12" i="1579"/>
  <c r="Q12" i="1579"/>
  <c r="AB12" i="1579"/>
  <c r="AF11" i="1579"/>
  <c r="AB11" i="1579"/>
  <c r="Q11" i="1579"/>
  <c r="P11" i="1579"/>
  <c r="AC11" i="1579" s="1"/>
  <c r="AD11" i="1579" s="1"/>
  <c r="O11" i="1579"/>
  <c r="M11" i="1579"/>
  <c r="AF10" i="1579"/>
  <c r="AB10" i="1579"/>
  <c r="Q10" i="1579"/>
  <c r="P10" i="1579" s="1"/>
  <c r="AC10" i="1579" s="1"/>
  <c r="O10" i="1579"/>
  <c r="M10" i="1579"/>
  <c r="AF9" i="1579"/>
  <c r="Q9" i="1579"/>
  <c r="AB9" i="1579"/>
  <c r="AF8" i="1579"/>
  <c r="AB8" i="1579"/>
  <c r="Q8" i="1579"/>
  <c r="P8" i="1579" s="1"/>
  <c r="AC8" i="1579" s="1"/>
  <c r="AF7" i="1579"/>
  <c r="AB7" i="1579"/>
  <c r="Q7" i="1579"/>
  <c r="P7" i="1579"/>
  <c r="AC7" i="1579" s="1"/>
  <c r="AD7" i="1579" s="1"/>
  <c r="O7" i="1579"/>
  <c r="M7" i="1579"/>
  <c r="K7" i="1579"/>
  <c r="AF6" i="1579"/>
  <c r="AB6" i="1579"/>
  <c r="Q6" i="1579"/>
  <c r="P6" i="1579"/>
  <c r="AC6" i="1579" s="1"/>
  <c r="AD6" i="1579" s="1"/>
  <c r="O6" i="1579"/>
  <c r="M6" i="1579"/>
  <c r="K6" i="1579"/>
  <c r="AE12" i="1582" l="1"/>
  <c r="AE14" i="1582"/>
  <c r="AE7" i="1582"/>
  <c r="AE13" i="1582"/>
  <c r="AE18" i="1582"/>
  <c r="AE11" i="1582"/>
  <c r="AE15" i="1582"/>
  <c r="AE16" i="1582"/>
  <c r="AE19" i="1582"/>
  <c r="AE17" i="1582"/>
  <c r="AE20" i="1582"/>
  <c r="AE8" i="1582"/>
  <c r="AE21" i="1582"/>
  <c r="AE9" i="1582"/>
  <c r="AE6" i="1582"/>
  <c r="AE10" i="1582"/>
  <c r="AD22" i="1581"/>
  <c r="AE14" i="1581" s="1"/>
  <c r="AD21" i="1580"/>
  <c r="AD9" i="1580"/>
  <c r="H6" i="16" s="1"/>
  <c r="AB23" i="1580"/>
  <c r="M23" i="1580"/>
  <c r="AD12" i="1580"/>
  <c r="H9" i="16" s="1"/>
  <c r="AC23" i="1580"/>
  <c r="AD6" i="1580"/>
  <c r="H3" i="16" s="1"/>
  <c r="AD22" i="1580"/>
  <c r="P23" i="1580"/>
  <c r="AD20" i="1579"/>
  <c r="AD19" i="1579"/>
  <c r="AD14" i="1579"/>
  <c r="Q22" i="1579"/>
  <c r="M8" i="1579"/>
  <c r="AD10" i="1579"/>
  <c r="AD15" i="1579"/>
  <c r="AD13" i="1579"/>
  <c r="AD17" i="1579"/>
  <c r="AD18" i="1579"/>
  <c r="O9" i="1579"/>
  <c r="O12" i="1579"/>
  <c r="O21" i="1579"/>
  <c r="O8" i="1579"/>
  <c r="AD8" i="1579" s="1"/>
  <c r="K22" i="1579"/>
  <c r="P9" i="1579"/>
  <c r="AC9" i="1579" s="1"/>
  <c r="P12" i="1579"/>
  <c r="AC12" i="1579" s="1"/>
  <c r="M16" i="1579"/>
  <c r="AB16" i="1579"/>
  <c r="AB22" i="1579" s="1"/>
  <c r="P21" i="1579"/>
  <c r="AC21" i="1579" s="1"/>
  <c r="M9" i="1579"/>
  <c r="M12" i="1579"/>
  <c r="M21" i="1579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L20" i="1578"/>
  <c r="O20" i="1578" s="1"/>
  <c r="K19" i="1578"/>
  <c r="L18" i="1578"/>
  <c r="AF18" i="1578"/>
  <c r="AB18" i="1578"/>
  <c r="Q18" i="1578"/>
  <c r="P18" i="1578"/>
  <c r="AC18" i="1578" s="1"/>
  <c r="O18" i="1578"/>
  <c r="M18" i="1578"/>
  <c r="K18" i="1578"/>
  <c r="K17" i="1578"/>
  <c r="L16" i="1578"/>
  <c r="P16" i="1578" s="1"/>
  <c r="AC16" i="1578" s="1"/>
  <c r="L13" i="1578"/>
  <c r="K13" i="1578" s="1"/>
  <c r="L12" i="1578"/>
  <c r="K11" i="1578"/>
  <c r="L10" i="1578"/>
  <c r="L9" i="1578"/>
  <c r="M9" i="1578" s="1"/>
  <c r="L8" i="1578"/>
  <c r="K20" i="1578"/>
  <c r="K16" i="1578"/>
  <c r="K12" i="1578"/>
  <c r="K10" i="1578"/>
  <c r="K9" i="1578"/>
  <c r="K8" i="1578"/>
  <c r="A75" i="1578"/>
  <c r="A76" i="1578" s="1"/>
  <c r="A77" i="1578" s="1"/>
  <c r="A78" i="1578" s="1"/>
  <c r="A79" i="1578" s="1"/>
  <c r="A80" i="1578" s="1"/>
  <c r="A81" i="1578" s="1"/>
  <c r="A74" i="1578"/>
  <c r="AF60" i="1578"/>
  <c r="AF59" i="1578"/>
  <c r="AF62" i="1578" s="1"/>
  <c r="AA21" i="1578"/>
  <c r="Z21" i="1578"/>
  <c r="Y21" i="1578"/>
  <c r="X21" i="1578"/>
  <c r="W21" i="1578"/>
  <c r="V21" i="1578"/>
  <c r="U21" i="1578"/>
  <c r="T21" i="1578"/>
  <c r="S21" i="1578"/>
  <c r="R21" i="1578"/>
  <c r="N21" i="1578"/>
  <c r="J21" i="1578"/>
  <c r="I21" i="1578"/>
  <c r="AF20" i="1578"/>
  <c r="Q20" i="1578"/>
  <c r="AF19" i="1578"/>
  <c r="AB19" i="1578"/>
  <c r="Q19" i="1578"/>
  <c r="P19" i="1578" s="1"/>
  <c r="AC19" i="1578" s="1"/>
  <c r="O19" i="1578"/>
  <c r="M19" i="1578"/>
  <c r="AF17" i="1578"/>
  <c r="AB17" i="1578"/>
  <c r="Q17" i="1578"/>
  <c r="P17" i="1578" s="1"/>
  <c r="AC17" i="1578" s="1"/>
  <c r="O17" i="1578"/>
  <c r="M17" i="1578"/>
  <c r="AF16" i="1578"/>
  <c r="AB16" i="1578"/>
  <c r="Q16" i="1578"/>
  <c r="M16" i="1578"/>
  <c r="AF15" i="1578"/>
  <c r="AB15" i="1578"/>
  <c r="Q15" i="1578"/>
  <c r="P15" i="1578"/>
  <c r="AC15" i="1578" s="1"/>
  <c r="AD15" i="1578" s="1"/>
  <c r="O15" i="1578"/>
  <c r="M15" i="1578"/>
  <c r="K15" i="1578"/>
  <c r="AF14" i="1578"/>
  <c r="AB14" i="1578"/>
  <c r="Q14" i="1578"/>
  <c r="P14" i="1578"/>
  <c r="AC14" i="1578" s="1"/>
  <c r="AD14" i="1578" s="1"/>
  <c r="O14" i="1578"/>
  <c r="M14" i="1578"/>
  <c r="K14" i="1578"/>
  <c r="AF13" i="1578"/>
  <c r="AB13" i="1578"/>
  <c r="Q13" i="1578"/>
  <c r="M13" i="1578"/>
  <c r="AF12" i="1578"/>
  <c r="AB12" i="1578"/>
  <c r="Q12" i="1578"/>
  <c r="O12" i="1578"/>
  <c r="M12" i="1578"/>
  <c r="AF11" i="1578"/>
  <c r="AB11" i="1578"/>
  <c r="Q11" i="1578"/>
  <c r="P11" i="1578"/>
  <c r="AC11" i="1578" s="1"/>
  <c r="O11" i="1578"/>
  <c r="M11" i="1578"/>
  <c r="AF10" i="1578"/>
  <c r="Q10" i="1578"/>
  <c r="O10" i="1578"/>
  <c r="M10" i="1578"/>
  <c r="AF9" i="1578"/>
  <c r="Q9" i="1578"/>
  <c r="AF8" i="1578"/>
  <c r="Q8" i="1578"/>
  <c r="O8" i="1578"/>
  <c r="AF7" i="1578"/>
  <c r="AB7" i="1578"/>
  <c r="Q7" i="1578"/>
  <c r="P7" i="1578"/>
  <c r="AC7" i="1578" s="1"/>
  <c r="AD7" i="1578" s="1"/>
  <c r="O7" i="1578"/>
  <c r="M7" i="1578"/>
  <c r="K7" i="1578"/>
  <c r="AF6" i="1578"/>
  <c r="AB6" i="1578"/>
  <c r="Q6" i="1578"/>
  <c r="P6" i="1578"/>
  <c r="O6" i="1578"/>
  <c r="M6" i="1578"/>
  <c r="K6" i="1578"/>
  <c r="AE18" i="1581" l="1"/>
  <c r="AE19" i="1581"/>
  <c r="AE10" i="1581"/>
  <c r="AE6" i="1581"/>
  <c r="AE16" i="1581"/>
  <c r="AE11" i="1581"/>
  <c r="AE15" i="1581"/>
  <c r="AE8" i="1581"/>
  <c r="AE17" i="1581"/>
  <c r="AE20" i="1581"/>
  <c r="AE9" i="1581"/>
  <c r="AE7" i="1581"/>
  <c r="AE21" i="1581"/>
  <c r="AE13" i="1581"/>
  <c r="AE12" i="1581"/>
  <c r="AD23" i="1580"/>
  <c r="AD21" i="1579"/>
  <c r="AD16" i="1579"/>
  <c r="AD9" i="1579"/>
  <c r="M22" i="1579"/>
  <c r="AC22" i="1579"/>
  <c r="P22" i="1579"/>
  <c r="AD12" i="1579"/>
  <c r="AD18" i="1578"/>
  <c r="O13" i="1578"/>
  <c r="P13" i="1578"/>
  <c r="AC13" i="1578" s="1"/>
  <c r="P12" i="1578"/>
  <c r="AC12" i="1578" s="1"/>
  <c r="AD12" i="1578" s="1"/>
  <c r="P10" i="1578"/>
  <c r="AC10" i="1578" s="1"/>
  <c r="P9" i="1578"/>
  <c r="AC9" i="1578" s="1"/>
  <c r="AB9" i="1578"/>
  <c r="Q21" i="1578"/>
  <c r="AD17" i="1578"/>
  <c r="AD11" i="1578"/>
  <c r="AD19" i="1578"/>
  <c r="K21" i="1578"/>
  <c r="P8" i="1578"/>
  <c r="AC8" i="1578" s="1"/>
  <c r="AD8" i="1578" s="1"/>
  <c r="AB10" i="1578"/>
  <c r="P20" i="1578"/>
  <c r="AC20" i="1578" s="1"/>
  <c r="AC6" i="1578"/>
  <c r="M8" i="1578"/>
  <c r="AB8" i="1578"/>
  <c r="O9" i="1578"/>
  <c r="O16" i="1578"/>
  <c r="AD16" i="1578" s="1"/>
  <c r="M20" i="1578"/>
  <c r="AB20" i="1578"/>
  <c r="L21" i="1578"/>
  <c r="O21" i="1578" s="1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L20" i="1577"/>
  <c r="P20" i="1577" s="1"/>
  <c r="AC20" i="1577" s="1"/>
  <c r="K19" i="1577"/>
  <c r="L16" i="1577"/>
  <c r="K13" i="1577"/>
  <c r="L10" i="1577"/>
  <c r="AB10" i="1577" s="1"/>
  <c r="L9" i="1577"/>
  <c r="L8" i="1577"/>
  <c r="K8" i="1577"/>
  <c r="K18" i="1577"/>
  <c r="K17" i="1577"/>
  <c r="K16" i="1577"/>
  <c r="K11" i="1577"/>
  <c r="K10" i="1577"/>
  <c r="K9" i="1577"/>
  <c r="A75" i="1577"/>
  <c r="A76" i="1577" s="1"/>
  <c r="A77" i="1577" s="1"/>
  <c r="A78" i="1577" s="1"/>
  <c r="A79" i="1577" s="1"/>
  <c r="A80" i="1577" s="1"/>
  <c r="A81" i="1577" s="1"/>
  <c r="A74" i="1577"/>
  <c r="AF60" i="1577"/>
  <c r="AF59" i="1577"/>
  <c r="AF62" i="1577" s="1"/>
  <c r="AA21" i="1577"/>
  <c r="Z21" i="1577"/>
  <c r="Y21" i="1577"/>
  <c r="X21" i="1577"/>
  <c r="W21" i="1577"/>
  <c r="V21" i="1577"/>
  <c r="U21" i="1577"/>
  <c r="T21" i="1577"/>
  <c r="S21" i="1577"/>
  <c r="R21" i="1577"/>
  <c r="N21" i="1577"/>
  <c r="J21" i="1577"/>
  <c r="I21" i="1577"/>
  <c r="AF20" i="1577"/>
  <c r="AB20" i="1577"/>
  <c r="Q20" i="1577"/>
  <c r="O20" i="1577"/>
  <c r="M20" i="1577"/>
  <c r="K20" i="1577"/>
  <c r="AF19" i="1577"/>
  <c r="AB19" i="1577"/>
  <c r="Q19" i="1577"/>
  <c r="P19" i="1577" s="1"/>
  <c r="AC19" i="1577" s="1"/>
  <c r="AD19" i="1577" s="1"/>
  <c r="O19" i="1577"/>
  <c r="M19" i="1577"/>
  <c r="AF18" i="1577"/>
  <c r="AB18" i="1577"/>
  <c r="Q18" i="1577"/>
  <c r="P18" i="1577" s="1"/>
  <c r="AC18" i="1577" s="1"/>
  <c r="O18" i="1577"/>
  <c r="M18" i="1577"/>
  <c r="AF17" i="1577"/>
  <c r="AB17" i="1577"/>
  <c r="Q17" i="1577"/>
  <c r="P17" i="1577"/>
  <c r="AC17" i="1577" s="1"/>
  <c r="AD17" i="1577" s="1"/>
  <c r="O17" i="1577"/>
  <c r="M17" i="1577"/>
  <c r="AF16" i="1577"/>
  <c r="Q16" i="1577"/>
  <c r="AF15" i="1577"/>
  <c r="AB15" i="1577"/>
  <c r="Q15" i="1577"/>
  <c r="P15" i="1577"/>
  <c r="AC15" i="1577" s="1"/>
  <c r="AD15" i="1577" s="1"/>
  <c r="O15" i="1577"/>
  <c r="M15" i="1577"/>
  <c r="K15" i="1577"/>
  <c r="AF14" i="1577"/>
  <c r="AB14" i="1577"/>
  <c r="Q14" i="1577"/>
  <c r="P14" i="1577"/>
  <c r="AC14" i="1577" s="1"/>
  <c r="AD14" i="1577" s="1"/>
  <c r="O14" i="1577"/>
  <c r="M14" i="1577"/>
  <c r="K14" i="1577"/>
  <c r="AF13" i="1577"/>
  <c r="AB13" i="1577"/>
  <c r="Q13" i="1577"/>
  <c r="P13" i="1577"/>
  <c r="AC13" i="1577" s="1"/>
  <c r="AD13" i="1577" s="1"/>
  <c r="O13" i="1577"/>
  <c r="M13" i="1577"/>
  <c r="AF12" i="1577"/>
  <c r="AC12" i="1577"/>
  <c r="AB12" i="1577"/>
  <c r="Q12" i="1577"/>
  <c r="P12" i="1577"/>
  <c r="O12" i="1577"/>
  <c r="M12" i="1577"/>
  <c r="K12" i="1577"/>
  <c r="AF11" i="1577"/>
  <c r="AB11" i="1577"/>
  <c r="Q11" i="1577"/>
  <c r="P11" i="1577"/>
  <c r="AC11" i="1577" s="1"/>
  <c r="O11" i="1577"/>
  <c r="M11" i="1577"/>
  <c r="AF10" i="1577"/>
  <c r="Q10" i="1577"/>
  <c r="P10" i="1577" s="1"/>
  <c r="AC10" i="1577" s="1"/>
  <c r="O10" i="1577"/>
  <c r="AF9" i="1577"/>
  <c r="AB9" i="1577"/>
  <c r="Q9" i="1577"/>
  <c r="O9" i="1577"/>
  <c r="M9" i="1577"/>
  <c r="AF8" i="1577"/>
  <c r="AB8" i="1577"/>
  <c r="Q8" i="1577"/>
  <c r="P8" i="1577" s="1"/>
  <c r="AC8" i="1577" s="1"/>
  <c r="O8" i="1577"/>
  <c r="M8" i="1577"/>
  <c r="AF7" i="1577"/>
  <c r="AB7" i="1577"/>
  <c r="Q7" i="1577"/>
  <c r="P7" i="1577"/>
  <c r="AC7" i="1577" s="1"/>
  <c r="AD7" i="1577" s="1"/>
  <c r="O7" i="1577"/>
  <c r="M7" i="1577"/>
  <c r="K7" i="1577"/>
  <c r="AF6" i="1577"/>
  <c r="AC6" i="1577"/>
  <c r="AB6" i="1577"/>
  <c r="Q6" i="1577"/>
  <c r="P6" i="1577"/>
  <c r="O6" i="1577"/>
  <c r="M6" i="1577"/>
  <c r="K6" i="1577"/>
  <c r="AE17" i="1580" l="1"/>
  <c r="AE18" i="1580"/>
  <c r="AE13" i="1580"/>
  <c r="AE19" i="1580"/>
  <c r="AE22" i="1580"/>
  <c r="AE12" i="1580"/>
  <c r="AE11" i="1580"/>
  <c r="AE10" i="1580"/>
  <c r="AE16" i="1580"/>
  <c r="AE15" i="1580"/>
  <c r="AE14" i="1580"/>
  <c r="AE7" i="1580"/>
  <c r="AE9" i="1580"/>
  <c r="AE8" i="1580"/>
  <c r="AE6" i="1580"/>
  <c r="AE20" i="1580"/>
  <c r="AE21" i="1580"/>
  <c r="AD22" i="1579"/>
  <c r="M21" i="1578"/>
  <c r="AD13" i="1578"/>
  <c r="AD10" i="1578"/>
  <c r="AD9" i="1578"/>
  <c r="AB21" i="1578"/>
  <c r="AD20" i="1578"/>
  <c r="AC21" i="1578"/>
  <c r="AD6" i="1578"/>
  <c r="P21" i="1578"/>
  <c r="AD20" i="1577"/>
  <c r="L21" i="1577"/>
  <c r="O21" i="1577" s="1"/>
  <c r="AD10" i="1577"/>
  <c r="M10" i="1577"/>
  <c r="P9" i="1577"/>
  <c r="AC9" i="1577" s="1"/>
  <c r="AD9" i="1577" s="1"/>
  <c r="Q21" i="1577"/>
  <c r="AD8" i="1577"/>
  <c r="AD18" i="1577"/>
  <c r="AD12" i="1577"/>
  <c r="AD11" i="1577"/>
  <c r="AB16" i="1577"/>
  <c r="AB21" i="1577" s="1"/>
  <c r="AD6" i="1577"/>
  <c r="O16" i="1577"/>
  <c r="K21" i="1577"/>
  <c r="P16" i="1577"/>
  <c r="AC16" i="1577" s="1"/>
  <c r="M16" i="1577"/>
  <c r="M21" i="1577" s="1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L16" i="1576"/>
  <c r="K13" i="1576"/>
  <c r="K19" i="1576"/>
  <c r="K18" i="1576"/>
  <c r="K17" i="1576"/>
  <c r="K16" i="1576"/>
  <c r="K12" i="1576"/>
  <c r="K11" i="1576"/>
  <c r="K10" i="1576"/>
  <c r="K9" i="1576"/>
  <c r="K8" i="1576"/>
  <c r="A75" i="1576"/>
  <c r="A76" i="1576" s="1"/>
  <c r="A77" i="1576" s="1"/>
  <c r="A78" i="1576" s="1"/>
  <c r="A79" i="1576" s="1"/>
  <c r="A80" i="1576" s="1"/>
  <c r="A81" i="1576" s="1"/>
  <c r="A74" i="1576"/>
  <c r="AF60" i="1576"/>
  <c r="AF59" i="1576"/>
  <c r="AF62" i="1576" s="1"/>
  <c r="AA21" i="1576"/>
  <c r="Z21" i="1576"/>
  <c r="Y21" i="1576"/>
  <c r="X21" i="1576"/>
  <c r="W21" i="1576"/>
  <c r="V21" i="1576"/>
  <c r="U21" i="1576"/>
  <c r="T21" i="1576"/>
  <c r="S21" i="1576"/>
  <c r="R21" i="1576"/>
  <c r="N21" i="1576"/>
  <c r="J21" i="1576"/>
  <c r="I21" i="1576"/>
  <c r="AF20" i="1576"/>
  <c r="AB20" i="1576"/>
  <c r="Q20" i="1576"/>
  <c r="P20" i="1576"/>
  <c r="AC20" i="1576" s="1"/>
  <c r="AD20" i="1576" s="1"/>
  <c r="O20" i="1576"/>
  <c r="M20" i="1576"/>
  <c r="K20" i="1576"/>
  <c r="AF19" i="1576"/>
  <c r="Q19" i="1576"/>
  <c r="P19" i="1576" s="1"/>
  <c r="AC19" i="1576" s="1"/>
  <c r="O19" i="1576"/>
  <c r="AF18" i="1576"/>
  <c r="AB18" i="1576"/>
  <c r="Q18" i="1576"/>
  <c r="P18" i="1576" s="1"/>
  <c r="AC18" i="1576" s="1"/>
  <c r="M18" i="1576"/>
  <c r="O18" i="1576"/>
  <c r="AF17" i="1576"/>
  <c r="Q17" i="1576"/>
  <c r="O17" i="1576"/>
  <c r="AF16" i="1576"/>
  <c r="AB16" i="1576"/>
  <c r="Q16" i="1576"/>
  <c r="O16" i="1576"/>
  <c r="M16" i="1576"/>
  <c r="AF15" i="1576"/>
  <c r="AB15" i="1576"/>
  <c r="Q15" i="1576"/>
  <c r="P15" i="1576"/>
  <c r="AC15" i="1576" s="1"/>
  <c r="O15" i="1576"/>
  <c r="M15" i="1576"/>
  <c r="K15" i="1576"/>
  <c r="AF14" i="1576"/>
  <c r="AC14" i="1576"/>
  <c r="AB14" i="1576"/>
  <c r="Q14" i="1576"/>
  <c r="P14" i="1576"/>
  <c r="O14" i="1576"/>
  <c r="M14" i="1576"/>
  <c r="K14" i="1576"/>
  <c r="AF13" i="1576"/>
  <c r="AB13" i="1576"/>
  <c r="Q13" i="1576"/>
  <c r="P13" i="1576" s="1"/>
  <c r="AC13" i="1576" s="1"/>
  <c r="O13" i="1576"/>
  <c r="M13" i="1576"/>
  <c r="AF12" i="1576"/>
  <c r="Q12" i="1576"/>
  <c r="AB12" i="1576"/>
  <c r="AF11" i="1576"/>
  <c r="AB11" i="1576"/>
  <c r="Q11" i="1576"/>
  <c r="P11" i="1576" s="1"/>
  <c r="AC11" i="1576" s="1"/>
  <c r="AD11" i="1576" s="1"/>
  <c r="O11" i="1576"/>
  <c r="M11" i="1576"/>
  <c r="AF10" i="1576"/>
  <c r="AB10" i="1576"/>
  <c r="Q10" i="1576"/>
  <c r="P10" i="1576" s="1"/>
  <c r="AC10" i="1576" s="1"/>
  <c r="M10" i="1576"/>
  <c r="O10" i="1576"/>
  <c r="AF9" i="1576"/>
  <c r="Q9" i="1576"/>
  <c r="AB9" i="1576"/>
  <c r="AF8" i="1576"/>
  <c r="AB8" i="1576"/>
  <c r="Q8" i="1576"/>
  <c r="P8" i="1576" s="1"/>
  <c r="AC8" i="1576" s="1"/>
  <c r="O8" i="1576"/>
  <c r="M8" i="1576"/>
  <c r="AF7" i="1576"/>
  <c r="AC7" i="1576"/>
  <c r="AD7" i="1576" s="1"/>
  <c r="AB7" i="1576"/>
  <c r="Q7" i="1576"/>
  <c r="P7" i="1576"/>
  <c r="O7" i="1576"/>
  <c r="M7" i="1576"/>
  <c r="K7" i="1576"/>
  <c r="AF6" i="1576"/>
  <c r="AC6" i="1576"/>
  <c r="AB6" i="1576"/>
  <c r="Q6" i="1576"/>
  <c r="P6" i="1576"/>
  <c r="O6" i="1576"/>
  <c r="M6" i="1576"/>
  <c r="K6" i="1576"/>
  <c r="AE6" i="1579" l="1"/>
  <c r="AE19" i="1579"/>
  <c r="AE11" i="1579"/>
  <c r="AE12" i="1579"/>
  <c r="AE13" i="1579"/>
  <c r="AE7" i="1579"/>
  <c r="AE15" i="1579"/>
  <c r="AE17" i="1579"/>
  <c r="AE14" i="1579"/>
  <c r="AE16" i="1579"/>
  <c r="AE18" i="1579"/>
  <c r="AE21" i="1579"/>
  <c r="AE20" i="1579"/>
  <c r="AE10" i="1579"/>
  <c r="AE9" i="1579"/>
  <c r="AE8" i="1579"/>
  <c r="AD21" i="1578"/>
  <c r="AE18" i="1578" s="1"/>
  <c r="AE14" i="1578"/>
  <c r="AE12" i="1578"/>
  <c r="AE15" i="1578"/>
  <c r="AE13" i="1578"/>
  <c r="AE8" i="1578"/>
  <c r="AE17" i="1578"/>
  <c r="AE7" i="1578"/>
  <c r="AE20" i="1578"/>
  <c r="AE9" i="1578"/>
  <c r="AE6" i="1578"/>
  <c r="AE11" i="1578"/>
  <c r="AD16" i="1577"/>
  <c r="AD21" i="1577" s="1"/>
  <c r="P21" i="1577"/>
  <c r="AC21" i="1577"/>
  <c r="P16" i="1576"/>
  <c r="AC16" i="1576" s="1"/>
  <c r="L21" i="1576"/>
  <c r="O21" i="1576" s="1"/>
  <c r="Q21" i="1576"/>
  <c r="AD10" i="1576"/>
  <c r="AD8" i="1576"/>
  <c r="AD13" i="1576"/>
  <c r="AD14" i="1576"/>
  <c r="AD15" i="1576"/>
  <c r="AD16" i="1576"/>
  <c r="AD18" i="1576"/>
  <c r="O9" i="1576"/>
  <c r="O12" i="1576"/>
  <c r="AD6" i="1576"/>
  <c r="K21" i="1576"/>
  <c r="P9" i="1576"/>
  <c r="AC9" i="1576" s="1"/>
  <c r="AD9" i="1576" s="1"/>
  <c r="P12" i="1576"/>
  <c r="AC12" i="1576" s="1"/>
  <c r="AD12" i="1576" s="1"/>
  <c r="P17" i="1576"/>
  <c r="AC17" i="1576" s="1"/>
  <c r="M19" i="1576"/>
  <c r="AB19" i="1576"/>
  <c r="AD19" i="1576" s="1"/>
  <c r="M9" i="1576"/>
  <c r="M12" i="1576"/>
  <c r="M17" i="1576"/>
  <c r="AB17" i="1576"/>
  <c r="AB21" i="1576" s="1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L19" i="1575"/>
  <c r="L18" i="1575"/>
  <c r="L17" i="1575"/>
  <c r="O17" i="1575" s="1"/>
  <c r="L16" i="1575"/>
  <c r="P16" i="1575" s="1"/>
  <c r="AC16" i="1575" s="1"/>
  <c r="L12" i="1575"/>
  <c r="K12" i="1575" s="1"/>
  <c r="K11" i="1575"/>
  <c r="L10" i="1575"/>
  <c r="K10" i="1575" s="1"/>
  <c r="L9" i="1575"/>
  <c r="K9" i="1575" s="1"/>
  <c r="L8" i="1575"/>
  <c r="M8" i="1575" s="1"/>
  <c r="K20" i="1575"/>
  <c r="K19" i="1575"/>
  <c r="K18" i="1575"/>
  <c r="K17" i="1575"/>
  <c r="K16" i="1575"/>
  <c r="K13" i="1575"/>
  <c r="A74" i="1575"/>
  <c r="A75" i="1575" s="1"/>
  <c r="A76" i="1575" s="1"/>
  <c r="A77" i="1575" s="1"/>
  <c r="A78" i="1575" s="1"/>
  <c r="A79" i="1575" s="1"/>
  <c r="A80" i="1575" s="1"/>
  <c r="A81" i="1575" s="1"/>
  <c r="AF60" i="1575"/>
  <c r="AF62" i="1575" s="1"/>
  <c r="AF59" i="1575"/>
  <c r="AA21" i="1575"/>
  <c r="Z21" i="1575"/>
  <c r="Y21" i="1575"/>
  <c r="X21" i="1575"/>
  <c r="W21" i="1575"/>
  <c r="V21" i="1575"/>
  <c r="U21" i="1575"/>
  <c r="T21" i="1575"/>
  <c r="S21" i="1575"/>
  <c r="R21" i="1575"/>
  <c r="N21" i="1575"/>
  <c r="J21" i="1575"/>
  <c r="I21" i="1575"/>
  <c r="AF20" i="1575"/>
  <c r="AB20" i="1575"/>
  <c r="Q20" i="1575"/>
  <c r="M20" i="1575"/>
  <c r="O20" i="1575"/>
  <c r="AF19" i="1575"/>
  <c r="Q19" i="1575"/>
  <c r="AB19" i="1575"/>
  <c r="AF18" i="1575"/>
  <c r="Q18" i="1575"/>
  <c r="P18" i="1575"/>
  <c r="AC18" i="1575" s="1"/>
  <c r="O18" i="1575"/>
  <c r="AF17" i="1575"/>
  <c r="Q17" i="1575"/>
  <c r="P17" i="1575"/>
  <c r="AC17" i="1575" s="1"/>
  <c r="AF16" i="1575"/>
  <c r="AB16" i="1575"/>
  <c r="Q16" i="1575"/>
  <c r="O16" i="1575"/>
  <c r="M16" i="1575"/>
  <c r="AF15" i="1575"/>
  <c r="AB15" i="1575"/>
  <c r="Q15" i="1575"/>
  <c r="P15" i="1575"/>
  <c r="AC15" i="1575" s="1"/>
  <c r="O15" i="1575"/>
  <c r="M15" i="1575"/>
  <c r="K15" i="1575"/>
  <c r="AF14" i="1575"/>
  <c r="AB14" i="1575"/>
  <c r="Q14" i="1575"/>
  <c r="P14" i="1575"/>
  <c r="AC14" i="1575" s="1"/>
  <c r="AD14" i="1575" s="1"/>
  <c r="O14" i="1575"/>
  <c r="M14" i="1575"/>
  <c r="K14" i="1575"/>
  <c r="AF13" i="1575"/>
  <c r="AB13" i="1575"/>
  <c r="Q13" i="1575"/>
  <c r="P13" i="1575"/>
  <c r="AC13" i="1575" s="1"/>
  <c r="AD13" i="1575" s="1"/>
  <c r="O13" i="1575"/>
  <c r="M13" i="1575"/>
  <c r="AF12" i="1575"/>
  <c r="Q12" i="1575"/>
  <c r="P12" i="1575"/>
  <c r="AC12" i="1575" s="1"/>
  <c r="AF11" i="1575"/>
  <c r="Q11" i="1575"/>
  <c r="P11" i="1575"/>
  <c r="AC11" i="1575" s="1"/>
  <c r="O11" i="1575"/>
  <c r="AF10" i="1575"/>
  <c r="Q10" i="1575"/>
  <c r="P10" i="1575" s="1"/>
  <c r="AC10" i="1575" s="1"/>
  <c r="O10" i="1575"/>
  <c r="AB10" i="1575"/>
  <c r="AF9" i="1575"/>
  <c r="AB9" i="1575"/>
  <c r="Q9" i="1575"/>
  <c r="P9" i="1575" s="1"/>
  <c r="AC9" i="1575" s="1"/>
  <c r="M9" i="1575"/>
  <c r="AF8" i="1575"/>
  <c r="Q8" i="1575"/>
  <c r="P8" i="1575" s="1"/>
  <c r="AC8" i="1575" s="1"/>
  <c r="O8" i="1575"/>
  <c r="AF7" i="1575"/>
  <c r="AC7" i="1575"/>
  <c r="AD7" i="1575" s="1"/>
  <c r="AB7" i="1575"/>
  <c r="Q7" i="1575"/>
  <c r="P7" i="1575"/>
  <c r="O7" i="1575"/>
  <c r="M7" i="1575"/>
  <c r="K7" i="1575"/>
  <c r="AF6" i="1575"/>
  <c r="AC6" i="1575"/>
  <c r="AB6" i="1575"/>
  <c r="Q6" i="1575"/>
  <c r="P6" i="1575"/>
  <c r="O6" i="1575"/>
  <c r="M6" i="1575"/>
  <c r="K6" i="1575"/>
  <c r="AE16" i="1578" l="1"/>
  <c r="AE19" i="1578"/>
  <c r="AE10" i="1578"/>
  <c r="AE19" i="1577"/>
  <c r="AE11" i="1577"/>
  <c r="AE9" i="1577"/>
  <c r="AE20" i="1577"/>
  <c r="AE15" i="1577"/>
  <c r="AE14" i="1577"/>
  <c r="AE12" i="1577"/>
  <c r="AE10" i="1577"/>
  <c r="AE8" i="1577"/>
  <c r="AE6" i="1577"/>
  <c r="AE17" i="1577"/>
  <c r="AE13" i="1577"/>
  <c r="AE7" i="1577"/>
  <c r="AE18" i="1577"/>
  <c r="AE16" i="1577"/>
  <c r="M21" i="1576"/>
  <c r="AD17" i="1576"/>
  <c r="AD21" i="1576" s="1"/>
  <c r="P21" i="1576"/>
  <c r="AC21" i="1576"/>
  <c r="L21" i="1575"/>
  <c r="O21" i="1575" s="1"/>
  <c r="Q21" i="1575"/>
  <c r="O9" i="1575"/>
  <c r="AD9" i="1575" s="1"/>
  <c r="AB8" i="1575"/>
  <c r="AD8" i="1575" s="1"/>
  <c r="K8" i="1575"/>
  <c r="AD16" i="1575"/>
  <c r="AD15" i="1575"/>
  <c r="AD10" i="1575"/>
  <c r="K21" i="1575"/>
  <c r="M12" i="1575"/>
  <c r="AB12" i="1575"/>
  <c r="M18" i="1575"/>
  <c r="AB18" i="1575"/>
  <c r="AD18" i="1575" s="1"/>
  <c r="O19" i="1575"/>
  <c r="P20" i="1575"/>
  <c r="AC20" i="1575" s="1"/>
  <c r="AD20" i="1575" s="1"/>
  <c r="M11" i="1575"/>
  <c r="AB11" i="1575"/>
  <c r="O12" i="1575"/>
  <c r="M17" i="1575"/>
  <c r="AB17" i="1575"/>
  <c r="AD17" i="1575" s="1"/>
  <c r="P19" i="1575"/>
  <c r="AC19" i="1575" s="1"/>
  <c r="AD6" i="1575"/>
  <c r="M10" i="1575"/>
  <c r="M19" i="1575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L20" i="1574"/>
  <c r="L19" i="1574"/>
  <c r="K19" i="1574" s="1"/>
  <c r="L18" i="1574"/>
  <c r="L17" i="1574"/>
  <c r="K17" i="1574" s="1"/>
  <c r="L16" i="1574"/>
  <c r="L13" i="1574"/>
  <c r="K13" i="1574" s="1"/>
  <c r="L12" i="1574"/>
  <c r="L11" i="1574"/>
  <c r="L10" i="1574"/>
  <c r="L9" i="1574"/>
  <c r="K8" i="1574"/>
  <c r="AE19" i="1576" l="1"/>
  <c r="AE15" i="1576"/>
  <c r="AE7" i="1576"/>
  <c r="AE14" i="1576"/>
  <c r="AE16" i="1576"/>
  <c r="AE11" i="1576"/>
  <c r="AE8" i="1576"/>
  <c r="AE20" i="1576"/>
  <c r="AE17" i="1576"/>
  <c r="AE6" i="1576"/>
  <c r="AE18" i="1576"/>
  <c r="AE10" i="1576"/>
  <c r="AE13" i="1576"/>
  <c r="AE12" i="1576"/>
  <c r="AE9" i="1576"/>
  <c r="AB21" i="1575"/>
  <c r="M21" i="1575"/>
  <c r="AD12" i="1575"/>
  <c r="AD19" i="1575"/>
  <c r="P21" i="1575"/>
  <c r="AD11" i="1575"/>
  <c r="AC21" i="1575"/>
  <c r="AG18" i="16"/>
  <c r="AG17" i="16"/>
  <c r="AG16" i="16"/>
  <c r="AG15" i="16"/>
  <c r="AG14" i="16"/>
  <c r="AG13" i="16"/>
  <c r="AG12" i="16"/>
  <c r="AG11" i="16"/>
  <c r="AG10" i="16"/>
  <c r="AG9" i="16"/>
  <c r="AG8" i="16"/>
  <c r="AG7" i="16"/>
  <c r="AG6" i="16"/>
  <c r="AG5" i="16"/>
  <c r="AG4" i="16"/>
  <c r="AG3" i="16"/>
  <c r="K20" i="1574"/>
  <c r="K18" i="1574"/>
  <c r="K16" i="1574"/>
  <c r="K14" i="1574"/>
  <c r="K12" i="1574"/>
  <c r="K11" i="1574"/>
  <c r="K10" i="1574"/>
  <c r="K9" i="1574"/>
  <c r="AD21" i="1575" l="1"/>
  <c r="AE15" i="1575" s="1"/>
  <c r="A74" i="1574"/>
  <c r="A75" i="1574" s="1"/>
  <c r="A76" i="1574" s="1"/>
  <c r="A77" i="1574" s="1"/>
  <c r="A78" i="1574" s="1"/>
  <c r="A79" i="1574" s="1"/>
  <c r="A80" i="1574" s="1"/>
  <c r="A81" i="1574" s="1"/>
  <c r="AF60" i="1574"/>
  <c r="AF62" i="1574" s="1"/>
  <c r="AF59" i="1574"/>
  <c r="AA21" i="1574"/>
  <c r="Z21" i="1574"/>
  <c r="Y21" i="1574"/>
  <c r="X21" i="1574"/>
  <c r="W21" i="1574"/>
  <c r="V21" i="1574"/>
  <c r="U21" i="1574"/>
  <c r="T21" i="1574"/>
  <c r="S21" i="1574"/>
  <c r="R21" i="1574"/>
  <c r="N21" i="1574"/>
  <c r="J21" i="1574"/>
  <c r="I21" i="1574"/>
  <c r="AF20" i="1574"/>
  <c r="Q20" i="1574"/>
  <c r="P20" i="1574" s="1"/>
  <c r="AC20" i="1574" s="1"/>
  <c r="O20" i="1574"/>
  <c r="AF19" i="1574"/>
  <c r="Q19" i="1574"/>
  <c r="O19" i="1574"/>
  <c r="AB19" i="1574"/>
  <c r="AF18" i="1574"/>
  <c r="AB18" i="1574"/>
  <c r="Q18" i="1574"/>
  <c r="P18" i="1574" s="1"/>
  <c r="AC18" i="1574" s="1"/>
  <c r="O18" i="1574"/>
  <c r="M18" i="1574"/>
  <c r="AF17" i="1574"/>
  <c r="Q17" i="1574"/>
  <c r="P17" i="1574" s="1"/>
  <c r="AC17" i="1574" s="1"/>
  <c r="AF16" i="1574"/>
  <c r="Q16" i="1574"/>
  <c r="P16" i="1574"/>
  <c r="AC16" i="1574" s="1"/>
  <c r="O16" i="1574"/>
  <c r="AF15" i="1574"/>
  <c r="AB15" i="1574"/>
  <c r="Q15" i="1574"/>
  <c r="P15" i="1574"/>
  <c r="AC15" i="1574" s="1"/>
  <c r="O15" i="1574"/>
  <c r="M15" i="1574"/>
  <c r="K15" i="1574"/>
  <c r="AF14" i="1574"/>
  <c r="Q14" i="1574"/>
  <c r="P14" i="1574"/>
  <c r="AC14" i="1574" s="1"/>
  <c r="AF13" i="1574"/>
  <c r="Q13" i="1574"/>
  <c r="P13" i="1574" s="1"/>
  <c r="AC13" i="1574" s="1"/>
  <c r="O13" i="1574"/>
  <c r="AF12" i="1574"/>
  <c r="AB12" i="1574"/>
  <c r="Q12" i="1574"/>
  <c r="P12" i="1574" s="1"/>
  <c r="AC12" i="1574" s="1"/>
  <c r="O12" i="1574"/>
  <c r="M12" i="1574"/>
  <c r="AF11" i="1574"/>
  <c r="AB11" i="1574"/>
  <c r="Q11" i="1574"/>
  <c r="P11" i="1574"/>
  <c r="AC11" i="1574" s="1"/>
  <c r="O11" i="1574"/>
  <c r="M11" i="1574"/>
  <c r="AF10" i="1574"/>
  <c r="Q10" i="1574"/>
  <c r="P10" i="1574" s="1"/>
  <c r="AC10" i="1574" s="1"/>
  <c r="O10" i="1574"/>
  <c r="AB10" i="1574"/>
  <c r="AF9" i="1574"/>
  <c r="AB9" i="1574"/>
  <c r="Q9" i="1574"/>
  <c r="P9" i="1574" s="1"/>
  <c r="AC9" i="1574" s="1"/>
  <c r="O9" i="1574"/>
  <c r="M9" i="1574"/>
  <c r="AF8" i="1574"/>
  <c r="Q8" i="1574"/>
  <c r="P8" i="1574" s="1"/>
  <c r="AC8" i="1574" s="1"/>
  <c r="AF7" i="1574"/>
  <c r="AB7" i="1574"/>
  <c r="Q7" i="1574"/>
  <c r="P7" i="1574"/>
  <c r="AC7" i="1574" s="1"/>
  <c r="O7" i="1574"/>
  <c r="M7" i="1574"/>
  <c r="K7" i="1574"/>
  <c r="AF6" i="1574"/>
  <c r="AC6" i="1574"/>
  <c r="AB6" i="1574"/>
  <c r="Q6" i="1574"/>
  <c r="P6" i="1574"/>
  <c r="O6" i="1574"/>
  <c r="M6" i="1574"/>
  <c r="K6" i="1574"/>
  <c r="AE12" i="1575" l="1"/>
  <c r="AE8" i="1575"/>
  <c r="AE18" i="1575"/>
  <c r="AE10" i="1575"/>
  <c r="AE9" i="1575"/>
  <c r="AE14" i="1575"/>
  <c r="AE16" i="1575"/>
  <c r="AE13" i="1575"/>
  <c r="AE17" i="1575"/>
  <c r="AE20" i="1575"/>
  <c r="AE19" i="1575"/>
  <c r="AE11" i="1575"/>
  <c r="AE7" i="1575"/>
  <c r="AE6" i="1575"/>
  <c r="AD9" i="1574"/>
  <c r="AD12" i="1574"/>
  <c r="AD7" i="1574"/>
  <c r="Q21" i="1574"/>
  <c r="AD18" i="1574"/>
  <c r="AD15" i="1574"/>
  <c r="AD11" i="1574"/>
  <c r="AD10" i="1574"/>
  <c r="M8" i="1574"/>
  <c r="AB8" i="1574"/>
  <c r="M14" i="1574"/>
  <c r="AB14" i="1574"/>
  <c r="M17" i="1574"/>
  <c r="AB17" i="1574"/>
  <c r="P19" i="1574"/>
  <c r="AC19" i="1574" s="1"/>
  <c r="AD19" i="1574" s="1"/>
  <c r="AD6" i="1574"/>
  <c r="O8" i="1574"/>
  <c r="M13" i="1574"/>
  <c r="AB13" i="1574"/>
  <c r="AD13" i="1574" s="1"/>
  <c r="O14" i="1574"/>
  <c r="M16" i="1574"/>
  <c r="AB16" i="1574"/>
  <c r="AD16" i="1574" s="1"/>
  <c r="O17" i="1574"/>
  <c r="M20" i="1574"/>
  <c r="AB20" i="1574"/>
  <c r="AD20" i="1574" s="1"/>
  <c r="L21" i="1574"/>
  <c r="O21" i="1574" s="1"/>
  <c r="K21" i="1574"/>
  <c r="M10" i="1574"/>
  <c r="M19" i="1574"/>
  <c r="AD8" i="1574" l="1"/>
  <c r="M21" i="1574"/>
  <c r="AD14" i="1574"/>
  <c r="AD17" i="1574"/>
  <c r="AB21" i="1574"/>
  <c r="AC21" i="1574"/>
  <c r="P21" i="1574"/>
  <c r="AD21" i="1574" l="1"/>
  <c r="AE17" i="1574" s="1"/>
  <c r="AE10" i="1574" l="1"/>
  <c r="AE12" i="1574"/>
  <c r="AE16" i="1574"/>
  <c r="AE20" i="1574"/>
  <c r="AE6" i="1574"/>
  <c r="AE14" i="1574"/>
  <c r="AE18" i="1574"/>
  <c r="AE7" i="1574"/>
  <c r="AE8" i="1574"/>
  <c r="AE15" i="1574"/>
  <c r="AE9" i="1574"/>
  <c r="AE13" i="1574"/>
  <c r="AE11" i="1574"/>
  <c r="AE19" i="1574"/>
</calcChain>
</file>

<file path=xl/sharedStrings.xml><?xml version="1.0" encoding="utf-8"?>
<sst xmlns="http://schemas.openxmlformats.org/spreadsheetml/2006/main" count="6462" uniqueCount="634">
  <si>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</si>
  <si>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</si>
  <si>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</si>
  <si>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</si>
  <si>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</si>
  <si>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</si>
  <si>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</si>
  <si>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</si>
  <si>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</si>
  <si>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</si>
  <si>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</si>
  <si>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</si>
  <si>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</si>
  <si>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</si>
  <si>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</si>
  <si>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</si>
  <si>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</si>
  <si>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</si>
  <si>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</si>
  <si>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</si>
  <si>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</si>
  <si>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</si>
  <si>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</si>
  <si>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</si>
  <si>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</si>
  <si>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</si>
  <si>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</si>
  <si>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</si>
  <si>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</si>
  <si>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</si>
  <si>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</si>
  <si>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</si>
  <si>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</si>
  <si>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</si>
  <si>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</si>
  <si>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</si>
  <si>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</si>
  <si>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</si>
  <si>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</si>
  <si>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</si>
  <si>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</si>
  <si>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</si>
  <si>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</si>
  <si>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</si>
  <si>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</si>
  <si>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</si>
  <si>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</si>
  <si>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</si>
  <si>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</si>
  <si>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</si>
  <si>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</si>
  <si>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</si>
  <si>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</si>
  <si>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</si>
  <si>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</si>
  <si>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</si>
  <si>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</si>
  <si>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</si>
  <si>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</si>
  <si>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</si>
  <si>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</si>
  <si>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</si>
  <si>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</si>
  <si>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</si>
  <si>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</si>
  <si>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</si>
  <si>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</si>
  <si>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</si>
  <si>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</si>
  <si>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</si>
  <si>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</si>
  <si>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</si>
  <si>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</si>
  <si>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14호기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</si>
  <si>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</si>
  <si>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</si>
  <si>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</si>
  <si>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</si>
  <si>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</si>
  <si>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</si>
  <si>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</si>
  <si>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</si>
  <si>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</si>
  <si>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</si>
  <si>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</si>
  <si>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</si>
  <si>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</si>
  <si>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</si>
  <si>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</si>
  <si>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</si>
  <si>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</si>
  <si>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</si>
  <si>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</si>
  <si>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</si>
  <si>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</si>
  <si>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</si>
  <si>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</si>
  <si>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</si>
  <si>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</si>
  <si>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</si>
  <si>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</si>
  <si>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</si>
  <si>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</si>
  <si>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</si>
  <si>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</si>
  <si>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</si>
  <si>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</si>
  <si>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</si>
  <si>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</si>
  <si>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</si>
  <si>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</si>
  <si>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15호기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</si>
  <si>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</si>
  <si>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</si>
  <si>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</si>
  <si>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</si>
  <si>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</si>
  <si>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</si>
  <si>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AMB0114H-JAA-R1</t>
    <phoneticPr fontId="2" type="noConversion"/>
  </si>
  <si>
    <t>BODY</t>
    <phoneticPr fontId="2" type="noConversion"/>
  </si>
  <si>
    <t>발주분양산</t>
    <phoneticPr fontId="2" type="noConversion"/>
  </si>
  <si>
    <t>SGF2033</t>
    <phoneticPr fontId="2" type="noConversion"/>
  </si>
  <si>
    <t>STOPPER</t>
    <phoneticPr fontId="2" type="noConversion"/>
  </si>
  <si>
    <t>SF2255</t>
    <phoneticPr fontId="2" type="noConversion"/>
  </si>
  <si>
    <t>SST</t>
    <phoneticPr fontId="2" type="noConversion"/>
  </si>
  <si>
    <t>COVER</t>
    <phoneticPr fontId="2" type="noConversion"/>
  </si>
  <si>
    <t>SGF2050</t>
    <phoneticPr fontId="2" type="noConversion"/>
  </si>
  <si>
    <t>BR88-127A1-1</t>
    <phoneticPr fontId="2" type="noConversion"/>
  </si>
  <si>
    <t>HICON</t>
    <phoneticPr fontId="2" type="noConversion"/>
  </si>
  <si>
    <t>88P</t>
    <phoneticPr fontId="2" type="noConversion"/>
  </si>
  <si>
    <t>가스</t>
    <phoneticPr fontId="2" type="noConversion"/>
  </si>
  <si>
    <t>4</t>
    <phoneticPr fontId="2" type="noConversion"/>
  </si>
  <si>
    <t>6</t>
    <phoneticPr fontId="2" type="noConversion"/>
  </si>
  <si>
    <t>SF2255 I/V</t>
    <phoneticPr fontId="2" type="noConversion"/>
  </si>
  <si>
    <t>22P</t>
    <phoneticPr fontId="2" type="noConversion"/>
  </si>
  <si>
    <t>ADAPTER</t>
    <phoneticPr fontId="2" type="noConversion"/>
  </si>
  <si>
    <t>2*1</t>
    <phoneticPr fontId="2" type="noConversion"/>
  </si>
  <si>
    <t>9</t>
    <phoneticPr fontId="2" type="noConversion"/>
  </si>
  <si>
    <t>AYE</t>
    <phoneticPr fontId="2" type="noConversion"/>
  </si>
  <si>
    <t>SP</t>
    <phoneticPr fontId="2" type="noConversion"/>
  </si>
  <si>
    <t>S475</t>
    <phoneticPr fontId="2" type="noConversion"/>
  </si>
  <si>
    <t>SGF2030</t>
    <phoneticPr fontId="2" type="noConversion"/>
  </si>
  <si>
    <t>ACTUATOR</t>
    <phoneticPr fontId="2" type="noConversion"/>
  </si>
  <si>
    <t>KR6170-GM436QA</t>
    <phoneticPr fontId="2" type="noConversion"/>
  </si>
  <si>
    <t>AMB0167A-KAA-R3</t>
    <phoneticPr fontId="2" type="noConversion"/>
  </si>
  <si>
    <t>AMB1926A-KAA-R3</t>
    <phoneticPr fontId="2" type="noConversion"/>
  </si>
  <si>
    <t>NP599-290-002#SP-1/2</t>
    <phoneticPr fontId="2" type="noConversion"/>
  </si>
  <si>
    <t>AMB0236A-KAA-R2</t>
    <phoneticPr fontId="2" type="noConversion"/>
  </si>
  <si>
    <t>KR6156-GBA162AA</t>
    <phoneticPr fontId="2" type="noConversion"/>
  </si>
  <si>
    <t>AMB0349A-KAA-R2</t>
    <phoneticPr fontId="2" type="noConversion"/>
  </si>
  <si>
    <t>7</t>
    <phoneticPr fontId="2" type="noConversion"/>
  </si>
  <si>
    <t>BC05-29H1</t>
    <phoneticPr fontId="2" type="noConversion"/>
  </si>
  <si>
    <t>HOUSING</t>
    <phoneticPr fontId="2" type="noConversion"/>
  </si>
  <si>
    <t>K-JR01918-B484CWA</t>
    <phoneticPr fontId="2" type="noConversion"/>
  </si>
  <si>
    <t>SST</t>
    <phoneticPr fontId="2" type="noConversion"/>
  </si>
  <si>
    <t>5</t>
    <phoneticPr fontId="2" type="noConversion"/>
  </si>
  <si>
    <t>SP-1/2</t>
    <phoneticPr fontId="2" type="noConversion"/>
  </si>
  <si>
    <t>수리후양산</t>
    <phoneticPr fontId="2" type="noConversion"/>
  </si>
  <si>
    <t>KR6197AB841CB</t>
    <phoneticPr fontId="2" type="noConversion"/>
  </si>
  <si>
    <t>LEAD IN</t>
    <phoneticPr fontId="2" type="noConversion"/>
  </si>
  <si>
    <t>K-JR01936-M01ABA</t>
    <phoneticPr fontId="2" type="noConversion"/>
  </si>
  <si>
    <t>SGF2030 N/P</t>
    <phoneticPr fontId="2" type="noConversion"/>
  </si>
  <si>
    <t>수정</t>
    <phoneticPr fontId="2" type="noConversion"/>
  </si>
  <si>
    <t>12</t>
    <phoneticPr fontId="2" type="noConversion"/>
  </si>
  <si>
    <t>6</t>
    <phoneticPr fontId="2" type="noConversion"/>
  </si>
  <si>
    <t>K-JR01936-B153AWA</t>
    <phoneticPr fontId="2" type="noConversion"/>
  </si>
  <si>
    <r>
      <t>2019년 11월 01일 일일생산현황</t>
    </r>
    <r>
      <rPr>
        <b/>
        <sz val="14"/>
        <color indexed="8"/>
        <rFont val="굴림체"/>
        <family val="3"/>
        <charset val="129"/>
      </rPr>
      <t>(02일 09시 현재)</t>
    </r>
    <phoneticPr fontId="2" type="noConversion"/>
  </si>
  <si>
    <t>11월 호기별 가동현황</t>
    <phoneticPr fontId="2" type="noConversion"/>
  </si>
  <si>
    <t>K-JR01936-C01AWA</t>
    <phoneticPr fontId="2" type="noConversion"/>
  </si>
  <si>
    <t>전일 ISSUE 사항(01일)</t>
    <phoneticPr fontId="2" type="noConversion"/>
  </si>
  <si>
    <t>3</t>
    <phoneticPr fontId="2" type="noConversion"/>
  </si>
  <si>
    <t>14</t>
    <phoneticPr fontId="2" type="noConversion"/>
  </si>
  <si>
    <t>KR6197AB841CB</t>
    <phoneticPr fontId="2" type="noConversion"/>
  </si>
  <si>
    <t>발주분양산-&gt;코아파손수리</t>
    <phoneticPr fontId="2" type="noConversion"/>
  </si>
  <si>
    <t>수리후양산-&gt;코아파손정지</t>
    <phoneticPr fontId="2" type="noConversion"/>
  </si>
  <si>
    <t>당일 진행 사항(02일)</t>
    <phoneticPr fontId="2" type="noConversion"/>
  </si>
  <si>
    <t>ACTUATOR</t>
    <phoneticPr fontId="2" type="noConversion"/>
  </si>
  <si>
    <t>AMB1926A-KAA-R3</t>
    <phoneticPr fontId="2" type="noConversion"/>
  </si>
  <si>
    <t>수리후양산-&gt;뜯김정지</t>
    <phoneticPr fontId="2" type="noConversion"/>
  </si>
  <si>
    <t>8</t>
    <phoneticPr fontId="2" type="noConversion"/>
  </si>
  <si>
    <t>K-JR01918-B484CWA</t>
    <phoneticPr fontId="2" type="noConversion"/>
  </si>
  <si>
    <t>SAMPLE 진행 사항(01일)</t>
    <phoneticPr fontId="2" type="noConversion"/>
  </si>
  <si>
    <t>AMB0174A-KAA-R1</t>
    <phoneticPr fontId="2" type="noConversion"/>
  </si>
  <si>
    <t>SLIDER</t>
    <phoneticPr fontId="2" type="noConversion"/>
  </si>
  <si>
    <t>KR6414-A291PDA</t>
    <phoneticPr fontId="2" type="noConversion"/>
  </si>
  <si>
    <t>SGF2050 N/P</t>
    <phoneticPr fontId="2" type="noConversion"/>
  </si>
  <si>
    <t>KR6414-A167PDA</t>
    <phoneticPr fontId="2" type="noConversion"/>
  </si>
  <si>
    <t>HICON</t>
    <phoneticPr fontId="2" type="noConversion"/>
  </si>
  <si>
    <t>BASE</t>
    <phoneticPr fontId="2" type="noConversion"/>
  </si>
  <si>
    <t>HDB08-M01A1</t>
    <phoneticPr fontId="2" type="noConversion"/>
  </si>
  <si>
    <t>SGF2041</t>
    <phoneticPr fontId="2" type="noConversion"/>
  </si>
  <si>
    <t>증작</t>
    <phoneticPr fontId="2" type="noConversion"/>
  </si>
  <si>
    <t>3</t>
    <phoneticPr fontId="2" type="noConversion"/>
  </si>
  <si>
    <t>상측박힘2회 작업안됨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</si>
  <si>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</si>
  <si>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</si>
  <si>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r>
      <t>2019년 11월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</si>
  <si>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전일 ISSUE 사항(02일)</t>
    <phoneticPr fontId="2" type="noConversion"/>
  </si>
  <si>
    <t>발주분양산-&gt;코아파손-&gt;뜯김3회정지</t>
    <phoneticPr fontId="2" type="noConversion"/>
  </si>
  <si>
    <t>코아파손정지</t>
    <phoneticPr fontId="2" type="noConversion"/>
  </si>
  <si>
    <t>당일 진행 사항(03일)</t>
    <phoneticPr fontId="2" type="noConversion"/>
  </si>
  <si>
    <t>AMB0341A-KAA-R6</t>
    <phoneticPr fontId="2" type="noConversion"/>
  </si>
  <si>
    <t>SAMPLE 진행 사항(02일)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</si>
  <si>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</si>
  <si>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</si>
  <si>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2019년 11월 03일(주간) 일일생산현황</t>
    </r>
    <r>
      <rPr>
        <b/>
        <sz val="14"/>
        <color indexed="8"/>
        <rFont val="굴림체"/>
        <family val="3"/>
        <charset val="129"/>
      </rPr>
      <t>(04일 09시 현재)</t>
    </r>
    <phoneticPr fontId="2" type="noConversion"/>
  </si>
  <si>
    <t>JD4901</t>
    <phoneticPr fontId="2" type="noConversion"/>
  </si>
  <si>
    <t>전일 ISSUE 사항(03일)</t>
    <phoneticPr fontId="2" type="noConversion"/>
  </si>
  <si>
    <t>수리후양산-&gt;코아파손-&gt;뜯김3회정지</t>
    <phoneticPr fontId="2" type="noConversion"/>
  </si>
  <si>
    <t>코아파손수리</t>
    <phoneticPr fontId="2" type="noConversion"/>
  </si>
  <si>
    <t>당일 진행 사항(04일)</t>
    <phoneticPr fontId="2" type="noConversion"/>
  </si>
  <si>
    <t>AMS08155A-KBB-R1</t>
    <phoneticPr fontId="2" type="noConversion"/>
  </si>
  <si>
    <t>CONN</t>
    <phoneticPr fontId="2" type="noConversion"/>
  </si>
  <si>
    <t>SAMPLE 진행 사항(03일)</t>
    <phoneticPr fontId="2" type="noConversion"/>
  </si>
  <si>
    <t>프라임텍</t>
    <phoneticPr fontId="2" type="noConversion"/>
  </si>
  <si>
    <t>3종</t>
    <phoneticPr fontId="2" type="noConversion"/>
  </si>
  <si>
    <t>신작</t>
    <phoneticPr fontId="2" type="noConversion"/>
  </si>
  <si>
    <t>10</t>
    <phoneticPr fontId="2" type="noConversion"/>
  </si>
  <si>
    <t>상측박힘 2회진행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</si>
  <si>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</si>
  <si>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</si>
  <si>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2019년 11월 04일 일일생산현황</t>
    </r>
    <r>
      <rPr>
        <b/>
        <sz val="14"/>
        <color indexed="8"/>
        <rFont val="굴림체"/>
        <family val="3"/>
        <charset val="129"/>
      </rPr>
      <t>(05일 09시 현재)</t>
    </r>
    <phoneticPr fontId="2" type="noConversion"/>
  </si>
  <si>
    <t>M2</t>
    <phoneticPr fontId="2" type="noConversion"/>
  </si>
  <si>
    <t>AMB0158A-KAA-R1</t>
    <phoneticPr fontId="2" type="noConversion"/>
  </si>
  <si>
    <t>KR6422CB589CA</t>
    <phoneticPr fontId="2" type="noConversion"/>
  </si>
  <si>
    <t>전일 ISSUE 사항(04일)</t>
    <phoneticPr fontId="2" type="noConversion"/>
  </si>
  <si>
    <t>코아파손2회수리</t>
    <phoneticPr fontId="2" type="noConversion"/>
  </si>
  <si>
    <t>수리후양산-&gt;코아파손</t>
    <phoneticPr fontId="2" type="noConversion"/>
  </si>
  <si>
    <t>코아파손</t>
    <phoneticPr fontId="2" type="noConversion"/>
  </si>
  <si>
    <t>발주분양산-&gt;코아파손정지</t>
    <phoneticPr fontId="2" type="noConversion"/>
  </si>
  <si>
    <t>발주분양산-&gt;칼퀴없음-&gt;BURR=&gt;코아파손정지</t>
    <phoneticPr fontId="2" type="noConversion"/>
  </si>
  <si>
    <t>수리후양산-&gt;부식수리후양산</t>
    <phoneticPr fontId="2" type="noConversion"/>
  </si>
  <si>
    <t>당일 진행 사항(05일)</t>
    <phoneticPr fontId="2" type="noConversion"/>
  </si>
  <si>
    <t>수리후양산-&gt;BURR-&gt;코아파손정지</t>
    <phoneticPr fontId="2" type="noConversion"/>
  </si>
  <si>
    <t>13</t>
    <phoneticPr fontId="2" type="noConversion"/>
  </si>
  <si>
    <t>KR6422-B589CA</t>
    <phoneticPr fontId="2" type="noConversion"/>
  </si>
  <si>
    <t>AMB0450A-KAA-R2</t>
    <phoneticPr fontId="2" type="noConversion"/>
  </si>
  <si>
    <t>F/ADAPTER</t>
    <phoneticPr fontId="2" type="noConversion"/>
  </si>
  <si>
    <t>AMB07P2A-KAA-R1</t>
    <phoneticPr fontId="2" type="noConversion"/>
  </si>
  <si>
    <t>발주분양산-&gt;BURR2회정지</t>
    <phoneticPr fontId="2" type="noConversion"/>
  </si>
  <si>
    <t>ANB0158A-KAA-R1</t>
    <phoneticPr fontId="2" type="noConversion"/>
  </si>
  <si>
    <t>SAMPLE 진행 사항(04일)</t>
    <phoneticPr fontId="2" type="noConversion"/>
  </si>
  <si>
    <t>AMB0168C-KAA-R1</t>
    <phoneticPr fontId="2" type="noConversion"/>
  </si>
  <si>
    <t>LG35</t>
    <phoneticPr fontId="2" type="noConversion"/>
  </si>
  <si>
    <t>상측박힘 작업안됨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</si>
  <si>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</si>
  <si>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</si>
  <si>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2019년 11월 05일 일일생산현황</t>
    </r>
    <r>
      <rPr>
        <b/>
        <sz val="14"/>
        <color indexed="8"/>
        <rFont val="굴림체"/>
        <family val="3"/>
        <charset val="129"/>
      </rPr>
      <t>(06일 09시 현재)</t>
    </r>
    <phoneticPr fontId="2" type="noConversion"/>
  </si>
  <si>
    <t>7301</t>
    <phoneticPr fontId="2" type="noConversion"/>
  </si>
  <si>
    <t>8301</t>
    <phoneticPr fontId="2" type="noConversion"/>
  </si>
  <si>
    <t>전일 ISSUE 사항(05일)</t>
    <phoneticPr fontId="2" type="noConversion"/>
  </si>
  <si>
    <t>수리후양산-&gt;코아파손2회정지</t>
    <phoneticPr fontId="2" type="noConversion"/>
  </si>
  <si>
    <t>발주분양산-&gt;BURR정지</t>
    <phoneticPr fontId="2" type="noConversion"/>
  </si>
  <si>
    <t>수리후양산-&gt;BURR-&gt;밀핀높음정지</t>
    <phoneticPr fontId="2" type="noConversion"/>
  </si>
  <si>
    <t>수리후양산-&gt;코아파손-&gt;슬라이드파손-&gt;뜯김정지</t>
    <phoneticPr fontId="2" type="noConversion"/>
  </si>
  <si>
    <t>수리후양산-&gt;코아파손2회수리</t>
    <phoneticPr fontId="2" type="noConversion"/>
  </si>
  <si>
    <t>당일 진행 사항(06일)</t>
    <phoneticPr fontId="2" type="noConversion"/>
  </si>
  <si>
    <t>SAMPLE 진행 사항(05일)</t>
    <phoneticPr fontId="2" type="noConversion"/>
  </si>
  <si>
    <t>AAM0818D-KAB-R1</t>
    <phoneticPr fontId="2" type="noConversion"/>
  </si>
  <si>
    <t>GN2330</t>
    <phoneticPr fontId="2" type="noConversion"/>
  </si>
  <si>
    <r>
      <t>2019년 11월 06일 일일생산현황</t>
    </r>
    <r>
      <rPr>
        <b/>
        <sz val="14"/>
        <color indexed="8"/>
        <rFont val="굴림체"/>
        <family val="3"/>
        <charset val="129"/>
      </rPr>
      <t>(07일 09시 현재)</t>
    </r>
    <phoneticPr fontId="2" type="noConversion"/>
  </si>
  <si>
    <t>AAM0840A-KAB-R2</t>
    <phoneticPr fontId="2" type="noConversion"/>
  </si>
  <si>
    <t>PA9T</t>
    <phoneticPr fontId="2" type="noConversion"/>
  </si>
  <si>
    <t>3*1</t>
    <phoneticPr fontId="2" type="noConversion"/>
  </si>
  <si>
    <t>AMB0177A-KAA-R1</t>
    <phoneticPr fontId="2" type="noConversion"/>
  </si>
  <si>
    <t>AMB0157C-KAA-R1</t>
    <phoneticPr fontId="2" type="noConversion"/>
  </si>
  <si>
    <t>K-KR01928-B01AZD</t>
    <phoneticPr fontId="2" type="noConversion"/>
  </si>
  <si>
    <t>SGP2020R</t>
    <phoneticPr fontId="2" type="noConversion"/>
  </si>
  <si>
    <t>30P</t>
    <phoneticPr fontId="2" type="noConversion"/>
  </si>
  <si>
    <t>전일 ISSUE 사항(06일)</t>
    <phoneticPr fontId="2" type="noConversion"/>
  </si>
  <si>
    <t>코아파손3회수리</t>
    <phoneticPr fontId="2" type="noConversion"/>
  </si>
  <si>
    <t>K-JR01928-B01AZD</t>
    <phoneticPr fontId="2" type="noConversion"/>
  </si>
  <si>
    <t>SAMPLE 진행 사항(06일)</t>
    <phoneticPr fontId="2" type="noConversion"/>
  </si>
  <si>
    <t>AMB07T4B-KAA-R1</t>
    <phoneticPr fontId="2" type="noConversion"/>
  </si>
  <si>
    <t>4C</t>
    <phoneticPr fontId="2" type="noConversion"/>
  </si>
  <si>
    <t>상측박힘 2회진행 작업안됨</t>
    <phoneticPr fontId="2" type="noConversion"/>
  </si>
  <si>
    <t>각50EA</t>
    <phoneticPr fontId="2" type="noConversion"/>
  </si>
  <si>
    <t>밀핀이상,상측박힘2회</t>
    <phoneticPr fontId="2" type="noConversion"/>
  </si>
  <si>
    <t>테스트원재료</t>
    <phoneticPr fontId="2" type="noConversion"/>
  </si>
  <si>
    <t>원재료 3종 테스트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</si>
  <si>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</si>
  <si>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</si>
  <si>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</si>
  <si>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</si>
  <si>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2019년 11월 07일 일일생산현황</t>
    </r>
    <r>
      <rPr>
        <b/>
        <sz val="14"/>
        <color indexed="8"/>
        <rFont val="굴림체"/>
        <family val="3"/>
        <charset val="129"/>
      </rPr>
      <t>(08일 09시 현재)</t>
    </r>
    <phoneticPr fontId="2" type="noConversion"/>
  </si>
  <si>
    <t>SHAFT</t>
    <phoneticPr fontId="2" type="noConversion"/>
  </si>
  <si>
    <t>KR6408-01PA</t>
    <phoneticPr fontId="2" type="noConversion"/>
  </si>
  <si>
    <t>KR6404DA436YA</t>
    <phoneticPr fontId="2" type="noConversion"/>
  </si>
  <si>
    <t>OKINS</t>
    <phoneticPr fontId="2" type="noConversion"/>
  </si>
  <si>
    <t>56T1-05-T2-AA-1</t>
    <phoneticPr fontId="2" type="noConversion"/>
  </si>
  <si>
    <t>AAM0840A-KAA-R2</t>
    <phoneticPr fontId="2" type="noConversion"/>
  </si>
  <si>
    <t>AMB0349A-KAA-R3</t>
    <phoneticPr fontId="2" type="noConversion"/>
  </si>
  <si>
    <t>전일 ISSUE 사항(07일)</t>
    <phoneticPr fontId="2" type="noConversion"/>
  </si>
  <si>
    <t>수리후양산-&gt;코아파손수리</t>
    <phoneticPr fontId="2" type="noConversion"/>
  </si>
  <si>
    <t>슬라이드파손-&gt;뜯김수리</t>
    <phoneticPr fontId="2" type="noConversion"/>
  </si>
  <si>
    <t>11</t>
    <phoneticPr fontId="2" type="noConversion"/>
  </si>
  <si>
    <t>수정후양산</t>
    <phoneticPr fontId="2" type="noConversion"/>
  </si>
  <si>
    <t>AMM0840A-KAA-R2</t>
    <phoneticPr fontId="2" type="noConversion"/>
  </si>
  <si>
    <t>당일 진행 사항(08일)</t>
    <phoneticPr fontId="2" type="noConversion"/>
  </si>
  <si>
    <t>세척후양산</t>
    <phoneticPr fontId="2" type="noConversion"/>
  </si>
  <si>
    <t>KR6422AA496YA</t>
    <phoneticPr fontId="2" type="noConversion"/>
  </si>
  <si>
    <t>수리후양산-&gt;코아파손3회정지</t>
    <phoneticPr fontId="2" type="noConversion"/>
  </si>
  <si>
    <t>SAMPLE 진행 사항(07일)</t>
    <phoneticPr fontId="2" type="noConversion"/>
  </si>
  <si>
    <t>K-JR01933-C01AXX</t>
    <phoneticPr fontId="2" type="noConversion"/>
  </si>
  <si>
    <t>AMB1927C-KAA-R1(4C)</t>
    <phoneticPr fontId="2" type="noConversion"/>
  </si>
  <si>
    <t>2829-BASE</t>
    <phoneticPr fontId="2" type="noConversion"/>
  </si>
  <si>
    <t>옵션</t>
    <phoneticPr fontId="2" type="noConversion"/>
  </si>
  <si>
    <t>2829-BOTTOM</t>
    <phoneticPr fontId="2" type="noConversion"/>
  </si>
  <si>
    <t>2829-FLOATING</t>
    <phoneticPr fontId="2" type="noConversion"/>
  </si>
  <si>
    <t>KR6197-GN345XX</t>
    <phoneticPr fontId="2" type="noConversion"/>
  </si>
  <si>
    <t>HDB08-M01A2(4C)</t>
    <phoneticPr fontId="2" type="noConversion"/>
  </si>
  <si>
    <t>4CAV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</si>
  <si>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</si>
  <si>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</si>
  <si>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2019년 11월 08일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</si>
  <si>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FLOATING</t>
    <phoneticPr fontId="2" type="noConversion"/>
  </si>
  <si>
    <t>72P</t>
    <phoneticPr fontId="2" type="noConversion"/>
  </si>
  <si>
    <t>전일 ISSUE 사항(08일)</t>
    <phoneticPr fontId="2" type="noConversion"/>
  </si>
  <si>
    <t>세척후양산-&gt;고객사정지</t>
    <phoneticPr fontId="2" type="noConversion"/>
  </si>
  <si>
    <t>각인수정</t>
    <phoneticPr fontId="2" type="noConversion"/>
  </si>
  <si>
    <t>발주분양산-&gt;밀핀수리</t>
    <phoneticPr fontId="2" type="noConversion"/>
  </si>
  <si>
    <t>BURR수리-&gt;OVERFLOW파손정지</t>
    <phoneticPr fontId="2" type="noConversion"/>
  </si>
  <si>
    <t>승인후양산</t>
    <phoneticPr fontId="2" type="noConversion"/>
  </si>
  <si>
    <t>K-JR01933-C01AWA</t>
    <phoneticPr fontId="2" type="noConversion"/>
  </si>
  <si>
    <t>발주분양산-&gt;하측박힘정지</t>
    <phoneticPr fontId="2" type="noConversion"/>
  </si>
  <si>
    <t>당일 진행 사항(09일)</t>
    <phoneticPr fontId="2" type="noConversion"/>
  </si>
  <si>
    <t>NP628-1056-001#IN-A</t>
    <phoneticPr fontId="2" type="noConversion"/>
  </si>
  <si>
    <t>NP628-1056-001#IN-B</t>
    <phoneticPr fontId="2" type="noConversion"/>
  </si>
  <si>
    <t>SAMPLE 진행 사항(08일)</t>
    <phoneticPr fontId="2" type="noConversion"/>
  </si>
  <si>
    <t>KR6197FA345XX</t>
    <phoneticPr fontId="2" type="noConversion"/>
  </si>
  <si>
    <t>KR6197CA432YA</t>
    <phoneticPr fontId="2" type="noConversion"/>
  </si>
  <si>
    <t>요청</t>
    <phoneticPr fontId="2" type="noConversion"/>
  </si>
  <si>
    <t>OK75SSD-050-T32-BX</t>
    <phoneticPr fontId="2" type="noConversion"/>
  </si>
  <si>
    <t>BOTTOM 3종</t>
    <phoneticPr fontId="2" type="noConversion"/>
  </si>
  <si>
    <t>각100EA</t>
    <phoneticPr fontId="2" type="noConversion"/>
  </si>
  <si>
    <t>TOP/BOTTOM</t>
    <phoneticPr fontId="2" type="noConversion"/>
  </si>
  <si>
    <t>각400EA</t>
    <phoneticPr fontId="2" type="noConversion"/>
  </si>
  <si>
    <t>HSB05-M007B4</t>
    <phoneticPr fontId="2" type="noConversion"/>
  </si>
  <si>
    <t>NP636-2406-001#LB</t>
    <phoneticPr fontId="2" type="noConversion"/>
  </si>
  <si>
    <t>SGP2030R N/P</t>
    <phoneticPr fontId="2" type="noConversion"/>
  </si>
  <si>
    <t>HSCB65-M02A1-04B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</si>
  <si>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</si>
  <si>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</si>
  <si>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2019년 11월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</si>
  <si>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BODY/LID</t>
    <phoneticPr fontId="2" type="noConversion"/>
  </si>
  <si>
    <t>HL072-10M3/4</t>
    <phoneticPr fontId="2" type="noConversion"/>
  </si>
  <si>
    <t>전일 ISSUE 사항(09일)</t>
    <phoneticPr fontId="2" type="noConversion"/>
  </si>
  <si>
    <t>게이트수리,코아파손수리</t>
    <phoneticPr fontId="2" type="noConversion"/>
  </si>
  <si>
    <t>수리후양산-&gt;하측박힘정지</t>
    <phoneticPr fontId="2" type="noConversion"/>
  </si>
  <si>
    <t>수리후양산-&gt;OVERFLOW파손정지</t>
    <phoneticPr fontId="2" type="noConversion"/>
  </si>
  <si>
    <t>당일 진행 사항(10일)</t>
    <phoneticPr fontId="2" type="noConversion"/>
  </si>
  <si>
    <t>발주분양산-&gt;상판볼트파손수리</t>
    <phoneticPr fontId="2" type="noConversion"/>
  </si>
  <si>
    <t>LATCH</t>
    <phoneticPr fontId="2" type="noConversion"/>
  </si>
  <si>
    <t>HL072-10M5</t>
    <phoneticPr fontId="2" type="noConversion"/>
  </si>
  <si>
    <t>SAMPLE 진행 사항(09일)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</si>
  <si>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</si>
  <si>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</si>
  <si>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2019년 11월 10일(주간)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</si>
  <si>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>전일 ISSUE 사항(10일)</t>
    <phoneticPr fontId="2" type="noConversion"/>
  </si>
  <si>
    <t>당일 진행 사항(11일)</t>
    <phoneticPr fontId="2" type="noConversion"/>
  </si>
  <si>
    <t>K-JR01933-B01AZC</t>
    <phoneticPr fontId="2" type="noConversion"/>
  </si>
  <si>
    <t>SAMPLE 진행 사항(10일)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</si>
  <si>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</si>
  <si>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</si>
  <si>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2019년 11월 11일 일일생산현황</t>
    </r>
    <r>
      <rPr>
        <b/>
        <sz val="14"/>
        <color indexed="8"/>
        <rFont val="굴림체"/>
        <family val="3"/>
        <charset val="129"/>
      </rPr>
      <t>(12일 09시 현재)</t>
    </r>
    <phoneticPr fontId="2" type="noConversion"/>
  </si>
  <si>
    <t>plunger</t>
    <phoneticPr fontId="2" type="noConversion"/>
  </si>
  <si>
    <t>전일 ISSUE 사항(11일)</t>
    <phoneticPr fontId="2" type="noConversion"/>
  </si>
  <si>
    <t>수리후양산-&gt;하측뜯김-&gt;밀핀파손정지</t>
    <phoneticPr fontId="2" type="noConversion"/>
  </si>
  <si>
    <t>뜯김-&gt;코아파손정지</t>
    <phoneticPr fontId="2" type="noConversion"/>
  </si>
  <si>
    <t>OV파손-&gt;코아파손2회정지</t>
    <phoneticPr fontId="2" type="noConversion"/>
  </si>
  <si>
    <t>발주분양산-&gt;코아파손3회정지</t>
    <phoneticPr fontId="2" type="noConversion"/>
  </si>
  <si>
    <t>15</t>
    <phoneticPr fontId="2" type="noConversion"/>
  </si>
  <si>
    <t>당일 진행 사항(12일)</t>
    <phoneticPr fontId="2" type="noConversion"/>
  </si>
  <si>
    <t>AM0148A-K-R2</t>
    <phoneticPr fontId="2" type="noConversion"/>
  </si>
  <si>
    <t>HSB05-M007A1</t>
    <phoneticPr fontId="2" type="noConversion"/>
  </si>
  <si>
    <t>SAMPLE 진행 사항(11일)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</si>
  <si>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</si>
  <si>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</si>
  <si>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2019년 11월 12일 일일생산현황</t>
    </r>
    <r>
      <rPr>
        <b/>
        <sz val="14"/>
        <color indexed="8"/>
        <rFont val="굴림체"/>
        <family val="3"/>
        <charset val="129"/>
      </rPr>
      <t>(13일 09시 현재)</t>
    </r>
    <phoneticPr fontId="2" type="noConversion"/>
  </si>
  <si>
    <t>LID/BASE</t>
    <phoneticPr fontId="2" type="noConversion"/>
  </si>
  <si>
    <t>HRCS-00C14/15</t>
    <phoneticPr fontId="2" type="noConversion"/>
  </si>
  <si>
    <t>RJR</t>
    <phoneticPr fontId="2" type="noConversion"/>
  </si>
  <si>
    <t>TRAY</t>
    <phoneticPr fontId="2" type="noConversion"/>
  </si>
  <si>
    <t>CR02</t>
    <phoneticPr fontId="2" type="noConversion"/>
  </si>
  <si>
    <t>IC GUIDE</t>
    <phoneticPr fontId="2" type="noConversion"/>
  </si>
  <si>
    <t>HRCS-03C16</t>
    <phoneticPr fontId="2" type="noConversion"/>
  </si>
  <si>
    <t>전일 ISSUE 사항(12일)</t>
    <phoneticPr fontId="2" type="noConversion"/>
  </si>
  <si>
    <t>게이트수리</t>
    <phoneticPr fontId="2" type="noConversion"/>
  </si>
  <si>
    <t>발주분양산-&gt;런너박힘정지</t>
    <phoneticPr fontId="2" type="noConversion"/>
  </si>
  <si>
    <t>발주분양산-&gt;오조립수리</t>
    <phoneticPr fontId="2" type="noConversion"/>
  </si>
  <si>
    <t>코아파손3회,밀핀높음 수리</t>
    <phoneticPr fontId="2" type="noConversion"/>
  </si>
  <si>
    <t>당일 진행 사항(13일)</t>
    <phoneticPr fontId="2" type="noConversion"/>
  </si>
  <si>
    <t>AM0148E-K-R2</t>
    <phoneticPr fontId="2" type="noConversion"/>
  </si>
  <si>
    <t>KR6422AB589CA</t>
    <phoneticPr fontId="2" type="noConversion"/>
  </si>
  <si>
    <t>SAMPLE 진행 사항(12일)</t>
    <phoneticPr fontId="2" type="noConversion"/>
  </si>
  <si>
    <t>LEAD GUIDE</t>
    <phoneticPr fontId="2" type="noConversion"/>
  </si>
  <si>
    <t>AMC1201A-KAA-R1</t>
    <phoneticPr fontId="2" type="noConversion"/>
  </si>
  <si>
    <t>HDB08-M01A1(2C)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</si>
  <si>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</si>
  <si>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</si>
  <si>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2019년 11월 13일 일일생산현황</t>
    </r>
    <r>
      <rPr>
        <b/>
        <sz val="14"/>
        <color indexed="8"/>
        <rFont val="굴림체"/>
        <family val="3"/>
        <charset val="129"/>
      </rPr>
      <t>(14일 09시 현재)</t>
    </r>
    <phoneticPr fontId="2" type="noConversion"/>
  </si>
  <si>
    <t>NP612-352-002#CV</t>
    <phoneticPr fontId="2" type="noConversion"/>
  </si>
  <si>
    <t>2829-FLOAT</t>
    <phoneticPr fontId="2" type="noConversion"/>
  </si>
  <si>
    <t>전일 ISSUE 사항(13일)</t>
    <phoneticPr fontId="2" type="noConversion"/>
  </si>
  <si>
    <t>AMB1936A-KAA-R3</t>
    <phoneticPr fontId="2" type="noConversion"/>
  </si>
  <si>
    <t>세척후양산-&gt;금형노즐수리</t>
    <phoneticPr fontId="2" type="noConversion"/>
  </si>
  <si>
    <t>당일 진행 사항(14일)</t>
    <phoneticPr fontId="2" type="noConversion"/>
  </si>
  <si>
    <t>치수확인후양산</t>
    <phoneticPr fontId="2" type="noConversion"/>
  </si>
  <si>
    <t>NP612-316-003#LB</t>
    <phoneticPr fontId="2" type="noConversion"/>
  </si>
  <si>
    <t>SAMPLE 진행 사항(13일)</t>
    <phoneticPr fontId="2" type="noConversion"/>
  </si>
  <si>
    <t>AMC0821A-KAA-R1</t>
    <phoneticPr fontId="2" type="noConversion"/>
  </si>
  <si>
    <t>4C작업안됨-&gt;2C만진행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</si>
  <si>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</si>
  <si>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</si>
  <si>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2019년 11월 14일 일일생산현황</t>
    </r>
    <r>
      <rPr>
        <b/>
        <sz val="14"/>
        <color indexed="8"/>
        <rFont val="굴림체"/>
        <family val="3"/>
        <charset val="129"/>
      </rPr>
      <t>(15일 09시 현재)</t>
    </r>
    <phoneticPr fontId="2" type="noConversion"/>
  </si>
  <si>
    <t>AM0314C-K</t>
    <phoneticPr fontId="2" type="noConversion"/>
  </si>
  <si>
    <t>NP612-352-002#IN-B</t>
    <phoneticPr fontId="2" type="noConversion"/>
  </si>
  <si>
    <t>SGP2030R</t>
    <phoneticPr fontId="2" type="noConversion"/>
  </si>
  <si>
    <t>전일 ISSUE 사항(14일)</t>
    <phoneticPr fontId="2" type="noConversion"/>
  </si>
  <si>
    <t>치수NG부수정</t>
    <phoneticPr fontId="2" type="noConversion"/>
  </si>
  <si>
    <t>수리후양산-&gt;밀핀파손2회정지</t>
    <phoneticPr fontId="2" type="noConversion"/>
  </si>
  <si>
    <t>발주분양산-&gt;밀핀파손정지</t>
    <phoneticPr fontId="2" type="noConversion"/>
  </si>
  <si>
    <t>OVER FLOW눌림정지</t>
    <phoneticPr fontId="2" type="noConversion"/>
  </si>
  <si>
    <t>당일 진행 사항(15일)</t>
    <phoneticPr fontId="2" type="noConversion"/>
  </si>
  <si>
    <t>NP595-877-014#SP-A/B</t>
    <phoneticPr fontId="2" type="noConversion"/>
  </si>
  <si>
    <t>SAMPLE 진행 사항(14일)</t>
    <phoneticPr fontId="2" type="noConversion"/>
  </si>
  <si>
    <t>NP413-187-092#IN-B</t>
    <phoneticPr fontId="2" type="noConversion"/>
  </si>
  <si>
    <t>상측박힘,뜯김</t>
    <phoneticPr fontId="2" type="noConversion"/>
  </si>
  <si>
    <t>AMB0341A-KAA-R7</t>
    <phoneticPr fontId="2" type="noConversion"/>
  </si>
  <si>
    <t>KR6197-GN345QA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</si>
  <si>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</si>
  <si>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</si>
  <si>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2019년 11월 15일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</si>
  <si>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SP-A/B</t>
    <phoneticPr fontId="2" type="noConversion"/>
  </si>
  <si>
    <t>전일 ISSUE 사항(15일)</t>
    <phoneticPr fontId="2" type="noConversion"/>
  </si>
  <si>
    <t>수리후양산-&gt;밀핀파손수리</t>
    <phoneticPr fontId="2" type="noConversion"/>
  </si>
  <si>
    <t>BURR수리-&gt;밀핀높음-&gt;치수NG정지</t>
    <phoneticPr fontId="2" type="noConversion"/>
  </si>
  <si>
    <t>밀핀파손2회정지</t>
    <phoneticPr fontId="2" type="noConversion"/>
  </si>
  <si>
    <t>코아파손2회수리-&gt;밀핀높음정지</t>
    <phoneticPr fontId="2" type="noConversion"/>
  </si>
  <si>
    <t>발주분양산-&gt;가스,코아파손정지</t>
    <phoneticPr fontId="2" type="noConversion"/>
  </si>
  <si>
    <t>당일 진행 사항(16일)</t>
    <phoneticPr fontId="2" type="noConversion"/>
  </si>
  <si>
    <t>AMB2071A-KAA-R2</t>
    <phoneticPr fontId="2" type="noConversion"/>
  </si>
  <si>
    <t>SAMPLE 진행 사항(15일)</t>
    <phoneticPr fontId="2" type="noConversion"/>
  </si>
  <si>
    <t>FLOAT</t>
    <phoneticPr fontId="2" type="noConversion"/>
  </si>
  <si>
    <t>K-JR01936-A153AWA</t>
    <phoneticPr fontId="2" type="noConversion"/>
  </si>
  <si>
    <t>HOOK박힘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</si>
  <si>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</si>
  <si>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</si>
  <si>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2019년 11월 16일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</si>
  <si>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F/A</t>
    <phoneticPr fontId="2" type="noConversion"/>
  </si>
  <si>
    <t>전일 ISSUE 사항(16일)</t>
    <phoneticPr fontId="2" type="noConversion"/>
  </si>
  <si>
    <t>수리후양산-코아휨 2회정지</t>
    <phoneticPr fontId="2" type="noConversion"/>
  </si>
  <si>
    <t>수리후양산-코아파손4회정지</t>
    <phoneticPr fontId="2" type="noConversion"/>
  </si>
  <si>
    <t>이물제거양산</t>
    <phoneticPr fontId="2" type="noConversion"/>
  </si>
  <si>
    <t>수리후양산-코아파손5회정지</t>
    <phoneticPr fontId="2" type="noConversion"/>
  </si>
  <si>
    <t>당일 진행 사항(17일)</t>
    <phoneticPr fontId="2" type="noConversion"/>
  </si>
  <si>
    <t>SAMPLE 진행 사항(16일)</t>
    <phoneticPr fontId="2" type="noConversion"/>
  </si>
  <si>
    <t>BLUE</t>
    <phoneticPr fontId="2" type="noConversion"/>
  </si>
  <si>
    <t>설비 점검 내역(16일)</t>
    <phoneticPr fontId="2" type="noConversion"/>
  </si>
  <si>
    <t>금형 수리 내역(16일)</t>
    <phoneticPr fontId="2" type="noConversion"/>
  </si>
  <si>
    <r>
      <t>2019년 11월 17일(주간) 일일생산현황</t>
    </r>
    <r>
      <rPr>
        <b/>
        <sz val="14"/>
        <color indexed="8"/>
        <rFont val="굴림체"/>
        <family val="3"/>
        <charset val="129"/>
      </rPr>
      <t>(18일 09시 현재)</t>
    </r>
    <phoneticPr fontId="2" type="noConversion"/>
  </si>
  <si>
    <t>SP-A</t>
    <phoneticPr fontId="2" type="noConversion"/>
  </si>
  <si>
    <t>NP595-877-014#SP-A</t>
    <phoneticPr fontId="2" type="noConversion"/>
  </si>
  <si>
    <t>전일 ISSUE 사항(17일)</t>
    <phoneticPr fontId="2" type="noConversion"/>
  </si>
  <si>
    <t>수리후양산-코아휨-&gt;A만양산</t>
    <phoneticPr fontId="2" type="noConversion"/>
  </si>
  <si>
    <t>수리후양산-코아파손-&gt;BURR수리</t>
    <phoneticPr fontId="2" type="noConversion"/>
  </si>
  <si>
    <t>게이트파손정지</t>
    <phoneticPr fontId="2" type="noConversion"/>
  </si>
  <si>
    <t>수리후양산-코아파손수리후양산</t>
    <phoneticPr fontId="2" type="noConversion"/>
  </si>
  <si>
    <t>뜯김수리후양산</t>
    <phoneticPr fontId="2" type="noConversion"/>
  </si>
  <si>
    <t>당일 진행 사항(18일)</t>
    <phoneticPr fontId="2" type="noConversion"/>
  </si>
  <si>
    <t>KR6197-06KA</t>
    <phoneticPr fontId="2" type="noConversion"/>
  </si>
  <si>
    <t>SAMPLE 진행 사항(17일)</t>
    <phoneticPr fontId="2" type="noConversion"/>
  </si>
  <si>
    <t>AMM0827A-KAA-R2</t>
    <phoneticPr fontId="2" type="noConversion"/>
  </si>
  <si>
    <t>B뜯김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</si>
  <si>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</si>
  <si>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</si>
  <si>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2019년 11월 18일 일일생산현황</t>
    </r>
    <r>
      <rPr>
        <b/>
        <sz val="14"/>
        <color indexed="8"/>
        <rFont val="굴림체"/>
        <family val="3"/>
        <charset val="129"/>
      </rPr>
      <t>(19일 09시 현재)</t>
    </r>
    <phoneticPr fontId="2" type="noConversion"/>
  </si>
  <si>
    <t>JCL3030</t>
    <phoneticPr fontId="2" type="noConversion"/>
  </si>
  <si>
    <t>NEXT</t>
    <phoneticPr fontId="2" type="noConversion"/>
  </si>
  <si>
    <t>1D COVER</t>
    <phoneticPr fontId="2" type="noConversion"/>
  </si>
  <si>
    <t>8D COVER</t>
    <phoneticPr fontId="2" type="noConversion"/>
  </si>
  <si>
    <t>전일 ISSUE 사항(18일)</t>
    <phoneticPr fontId="2" type="noConversion"/>
  </si>
  <si>
    <t>수리후양산-&gt;게이트막힘2회수리</t>
    <phoneticPr fontId="2" type="noConversion"/>
  </si>
  <si>
    <t>단차2회수리후양산</t>
    <phoneticPr fontId="2" type="noConversion"/>
  </si>
  <si>
    <t>이물제거후양산-&gt;이물정지</t>
    <phoneticPr fontId="2" type="noConversion"/>
  </si>
  <si>
    <t>당일 진행 사항(19일)</t>
    <phoneticPr fontId="2" type="noConversion"/>
  </si>
  <si>
    <t>K-JR01920-E01AWA</t>
    <phoneticPr fontId="2" type="noConversion"/>
  </si>
  <si>
    <t>이물제거후양산</t>
    <phoneticPr fontId="2" type="noConversion"/>
  </si>
  <si>
    <t>SAMPLE 진행 사항(18일)</t>
    <phoneticPr fontId="2" type="noConversion"/>
  </si>
  <si>
    <t>288C84A-B122D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</si>
  <si>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</si>
  <si>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</si>
  <si>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r>
      <t>2019년 11월 19일 일일생산현황</t>
    </r>
    <r>
      <rPr>
        <b/>
        <sz val="14"/>
        <color indexed="8"/>
        <rFont val="굴림체"/>
        <family val="3"/>
        <charset val="129"/>
      </rPr>
      <t>(20일 09시 현재)</t>
    </r>
    <phoneticPr fontId="2" type="noConversion"/>
  </si>
  <si>
    <t>스테츠</t>
    <phoneticPr fontId="2" type="noConversion"/>
  </si>
  <si>
    <t>LID-0084</t>
    <phoneticPr fontId="2" type="noConversion"/>
  </si>
  <si>
    <t>S475 N/P</t>
    <phoneticPr fontId="2" type="noConversion"/>
  </si>
  <si>
    <t>AMB0114B-JAA-R6</t>
    <phoneticPr fontId="2" type="noConversion"/>
  </si>
  <si>
    <t>전일 ISSUE 사항(19일)</t>
    <phoneticPr fontId="2" type="noConversion"/>
  </si>
  <si>
    <t>수리후양산-&gt;게이트막힘수리-&gt;코아파손2회정지</t>
    <phoneticPr fontId="2" type="noConversion"/>
  </si>
  <si>
    <t>BURR수리후양산</t>
    <phoneticPr fontId="2" type="noConversion"/>
  </si>
  <si>
    <t>수정후양산-&gt;밀핀수리</t>
    <phoneticPr fontId="2" type="noConversion"/>
  </si>
  <si>
    <t>NP595-877-014#SP-B</t>
    <phoneticPr fontId="2" type="noConversion"/>
  </si>
  <si>
    <t>수리후양산-&gt;밀핀높음정지</t>
    <phoneticPr fontId="2" type="noConversion"/>
  </si>
  <si>
    <t>당일 진행 사항(20일)</t>
    <phoneticPr fontId="2" type="noConversion"/>
  </si>
  <si>
    <t>AMB1926A-KAA-R1</t>
    <phoneticPr fontId="2" type="noConversion"/>
  </si>
  <si>
    <t>SAMPLE 진행 사항(19일)</t>
    <phoneticPr fontId="2" type="noConversion"/>
  </si>
  <si>
    <t>발주분양산-&gt;치수NG정지</t>
    <phoneticPr fontId="2" type="noConversion"/>
  </si>
  <si>
    <t>AMB20E4A-KAA-R2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</si>
  <si>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</si>
  <si>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</si>
  <si>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2019년 11월 20일 일일생산현황</t>
    </r>
    <r>
      <rPr>
        <b/>
        <sz val="14"/>
        <color indexed="8"/>
        <rFont val="굴림체"/>
        <family val="3"/>
        <charset val="129"/>
      </rPr>
      <t>(21일 09시 현재)</t>
    </r>
    <phoneticPr fontId="2" type="noConversion"/>
  </si>
  <si>
    <t>전일 ISSUE 사항(20일)</t>
    <phoneticPr fontId="2" type="noConversion"/>
  </si>
  <si>
    <t>세척후양산-&gt;코아파손수리</t>
    <phoneticPr fontId="2" type="noConversion"/>
  </si>
  <si>
    <t>BURR정지</t>
    <phoneticPr fontId="2" type="noConversion"/>
  </si>
  <si>
    <t>코아파손3회정지</t>
    <phoneticPr fontId="2" type="noConversion"/>
  </si>
  <si>
    <t>당일 진행 사항(21일)</t>
    <phoneticPr fontId="2" type="noConversion"/>
  </si>
  <si>
    <t>SAMPLE 진행 사항(20일)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</si>
  <si>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</si>
  <si>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</si>
  <si>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2019년 11월 21일 일일생산현황</t>
    </r>
    <r>
      <rPr>
        <b/>
        <sz val="14"/>
        <color indexed="8"/>
        <rFont val="굴림체"/>
        <family val="3"/>
        <charset val="129"/>
      </rPr>
      <t>(22일 09시 현재)</t>
    </r>
    <phoneticPr fontId="2" type="noConversion"/>
  </si>
  <si>
    <t>BOTTOM</t>
    <phoneticPr fontId="2" type="noConversion"/>
  </si>
  <si>
    <t>HL072-10M2</t>
    <phoneticPr fontId="2" type="noConversion"/>
  </si>
  <si>
    <t>전일 ISSUE 사항(21일)</t>
    <phoneticPr fontId="2" type="noConversion"/>
  </si>
  <si>
    <t>미성형정지</t>
    <phoneticPr fontId="2" type="noConversion"/>
  </si>
  <si>
    <t>발주분양산-&gt;상측뜯김2회수리</t>
    <phoneticPr fontId="2" type="noConversion"/>
  </si>
  <si>
    <t>당일 진행 사항(22일)</t>
    <phoneticPr fontId="2" type="noConversion"/>
  </si>
  <si>
    <t>HL100-08A15</t>
    <phoneticPr fontId="2" type="noConversion"/>
  </si>
  <si>
    <t>SAMPLE 진행 사항(21일)</t>
    <phoneticPr fontId="2" type="noConversion"/>
  </si>
  <si>
    <t>2C BASE</t>
    <phoneticPr fontId="2" type="noConversion"/>
  </si>
  <si>
    <t>AMC0821C-KAA-R1</t>
    <phoneticPr fontId="2" type="noConversion"/>
  </si>
  <si>
    <t>뜯김2회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</si>
  <si>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</si>
  <si>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</si>
  <si>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2019년 11월 22일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</si>
  <si>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전일 ISSUE 사항(22일)</t>
    <phoneticPr fontId="2" type="noConversion"/>
  </si>
  <si>
    <t>뜯김수리-&gt;코아파손정지</t>
    <phoneticPr fontId="2" type="noConversion"/>
  </si>
  <si>
    <t>수리후양산-&gt;수정정지</t>
    <phoneticPr fontId="2" type="noConversion"/>
  </si>
  <si>
    <t>코아파손2회-&gt;코아파손진행</t>
    <phoneticPr fontId="2" type="noConversion"/>
  </si>
  <si>
    <t>PLUNGER</t>
    <phoneticPr fontId="2" type="noConversion"/>
  </si>
  <si>
    <t>당일 진행 사항(23일)</t>
    <phoneticPr fontId="2" type="noConversion"/>
  </si>
  <si>
    <t>NP620-464-001#CV</t>
    <phoneticPr fontId="2" type="noConversion"/>
  </si>
  <si>
    <t>NP636-2406-001#SP-A/B</t>
    <phoneticPr fontId="2" type="noConversion"/>
  </si>
  <si>
    <t>AMB0160A-KAA-R1</t>
    <phoneticPr fontId="2" type="noConversion"/>
  </si>
  <si>
    <t>SAMPLE 진행 사항(22일)</t>
    <phoneticPr fontId="2" type="noConversion"/>
  </si>
  <si>
    <t>AMB0178A-KAA-R3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</si>
  <si>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</si>
  <si>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</si>
  <si>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2019년 11월 23일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</si>
  <si>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t>전일 ISSUE 사항(23일)</t>
    <phoneticPr fontId="2" type="noConversion"/>
  </si>
  <si>
    <t>가스정지</t>
    <phoneticPr fontId="2" type="noConversion"/>
  </si>
  <si>
    <t>수리후양산-&gt;BURR</t>
    <phoneticPr fontId="2" type="noConversion"/>
  </si>
  <si>
    <t>당일 진행 사항(25일)</t>
    <phoneticPr fontId="2" type="noConversion"/>
  </si>
  <si>
    <t>SAMPLE 진행 사항(23일)</t>
    <phoneticPr fontId="2" type="noConversion"/>
  </si>
  <si>
    <t>SGF2041A</t>
    <phoneticPr fontId="2" type="noConversion"/>
  </si>
  <si>
    <t>4C,오조립2회진행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</si>
  <si>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</si>
  <si>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</si>
  <si>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2019년 11월 25일 일일생산현황</t>
    </r>
    <r>
      <rPr>
        <b/>
        <sz val="14"/>
        <color indexed="8"/>
        <rFont val="굴림체"/>
        <family val="3"/>
        <charset val="129"/>
      </rPr>
      <t>(26일 09시 현재)</t>
    </r>
    <phoneticPr fontId="2" type="noConversion"/>
  </si>
  <si>
    <t>FRONT/REAR</t>
    <phoneticPr fontId="2" type="noConversion"/>
  </si>
  <si>
    <t>2*2</t>
    <phoneticPr fontId="2" type="noConversion"/>
  </si>
  <si>
    <t>전일 ISSUE 사항(25일)</t>
    <phoneticPr fontId="2" type="noConversion"/>
  </si>
  <si>
    <t>수리후양산-&gt;게이트 3회수리</t>
    <phoneticPr fontId="2" type="noConversion"/>
  </si>
  <si>
    <t>수리후양산-&gt;코아파손4회정지</t>
    <phoneticPr fontId="2" type="noConversion"/>
  </si>
  <si>
    <t>수리후양산-&gt;BURR수리</t>
    <phoneticPr fontId="2" type="noConversion"/>
  </si>
  <si>
    <t>코아파손2회-&gt;수정정지</t>
    <phoneticPr fontId="2" type="noConversion"/>
  </si>
  <si>
    <t>수리후양산-&gt;BURR2회-&gt;에젝타2회수리 4C양산</t>
    <phoneticPr fontId="2" type="noConversion"/>
  </si>
  <si>
    <t>당일 진행 사항(26일)</t>
    <phoneticPr fontId="2" type="noConversion"/>
  </si>
  <si>
    <t>K-JR01920-L01AWA</t>
    <phoneticPr fontId="2" type="noConversion"/>
  </si>
  <si>
    <t>LATCH PLATE</t>
    <phoneticPr fontId="2" type="noConversion"/>
  </si>
  <si>
    <t>HDB08-M01A1(4C)</t>
    <phoneticPr fontId="2" type="noConversion"/>
  </si>
  <si>
    <t>SAMPLE 진행 사항(25일)</t>
    <phoneticPr fontId="2" type="noConversion"/>
  </si>
  <si>
    <t>SPACER A/B</t>
    <phoneticPr fontId="2" type="noConversion"/>
  </si>
  <si>
    <t>KR6451-K048XX/KA048XX</t>
    <phoneticPr fontId="2" type="noConversion"/>
  </si>
  <si>
    <t>SF225XX</t>
    <phoneticPr fontId="2" type="noConversion"/>
  </si>
  <si>
    <t>원재료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</si>
  <si>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</si>
  <si>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</si>
  <si>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r>
      <t>2019년 11월 26일 일일생산현황</t>
    </r>
    <r>
      <rPr>
        <b/>
        <sz val="14"/>
        <color indexed="8"/>
        <rFont val="굴림체"/>
        <family val="3"/>
        <charset val="129"/>
      </rPr>
      <t>(27일 09시 현재)</t>
    </r>
    <phoneticPr fontId="2" type="noConversion"/>
  </si>
  <si>
    <t>전일 ISSUE 사항(26일)</t>
    <phoneticPr fontId="2" type="noConversion"/>
  </si>
  <si>
    <t>게이트수리-&gt;코아파손3회수리</t>
    <phoneticPr fontId="2" type="noConversion"/>
  </si>
  <si>
    <t>수리후양산-&gt;코아파손6회정지</t>
    <phoneticPr fontId="2" type="noConversion"/>
  </si>
  <si>
    <t>수리후양산-&gt;BURR-&gt;코아파손-&gt;수지박힘정지</t>
    <phoneticPr fontId="2" type="noConversion"/>
  </si>
  <si>
    <t>발주분양산-&gt;미성형수리</t>
    <phoneticPr fontId="2" type="noConversion"/>
  </si>
  <si>
    <t>에젝타수리후양산</t>
    <phoneticPr fontId="2" type="noConversion"/>
  </si>
  <si>
    <t>당일 진행 사항(27일)</t>
    <phoneticPr fontId="2" type="noConversion"/>
  </si>
  <si>
    <t>K-JR01920-C01AWA</t>
    <phoneticPr fontId="2" type="noConversion"/>
  </si>
  <si>
    <t>SAMPLE 진행 사항(26일)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</si>
  <si>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</si>
  <si>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</si>
  <si>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2019년 11월 27일 일일생산현황</t>
    </r>
    <r>
      <rPr>
        <b/>
        <sz val="14"/>
        <color indexed="8"/>
        <rFont val="굴림체"/>
        <family val="3"/>
        <charset val="129"/>
      </rPr>
      <t>(28일 09시 현재)</t>
    </r>
    <phoneticPr fontId="2" type="noConversion"/>
  </si>
  <si>
    <t>AMB0236A-KAA-R3</t>
    <phoneticPr fontId="2" type="noConversion"/>
  </si>
  <si>
    <t>전일 ISSUE 사항(27일)</t>
    <phoneticPr fontId="2" type="noConversion"/>
  </si>
  <si>
    <t>L/P</t>
    <phoneticPr fontId="2" type="noConversion"/>
  </si>
  <si>
    <t>BURR수리</t>
    <phoneticPr fontId="2" type="noConversion"/>
  </si>
  <si>
    <t>수리후양산-&gt;오조립-&gt;코아파손3회수리</t>
    <phoneticPr fontId="2" type="noConversion"/>
  </si>
  <si>
    <t>수지박힘2회-&gt;코아파손2회수리</t>
    <phoneticPr fontId="2" type="noConversion"/>
  </si>
  <si>
    <t>미성형수리</t>
    <phoneticPr fontId="2" type="noConversion"/>
  </si>
  <si>
    <t>수리후양산-&gt;코아파손5회정지</t>
    <phoneticPr fontId="2" type="noConversion"/>
  </si>
  <si>
    <t>당일 진행 사항(28일)</t>
    <phoneticPr fontId="2" type="noConversion"/>
  </si>
  <si>
    <t>SAMPLE 진행 사항(27일)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</si>
  <si>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</si>
  <si>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</si>
  <si>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2019년 11월 28일 일일생산현황</t>
    </r>
    <r>
      <rPr>
        <b/>
        <sz val="14"/>
        <color indexed="8"/>
        <rFont val="굴림체"/>
        <family val="3"/>
        <charset val="129"/>
      </rPr>
      <t>(29일 09시 현재)</t>
    </r>
    <phoneticPr fontId="2" type="noConversion"/>
  </si>
  <si>
    <t>전일 ISSUE 사항(28일)</t>
    <phoneticPr fontId="2" type="noConversion"/>
  </si>
  <si>
    <t>세척-&gt;코아파손2회수리</t>
    <phoneticPr fontId="2" type="noConversion"/>
  </si>
  <si>
    <t>수리후양산-&gt;코아파손5회-&gt;BURR수리</t>
    <phoneticPr fontId="2" type="noConversion"/>
  </si>
  <si>
    <t>당일 진행 사항(29일)</t>
    <phoneticPr fontId="2" type="noConversion"/>
  </si>
  <si>
    <t>SAMPLE 진행 사항(28일)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</si>
  <si>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</si>
  <si>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</si>
  <si>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2019년 11월 29일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</si>
  <si>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HOLDER</t>
    <phoneticPr fontId="2" type="noConversion"/>
  </si>
  <si>
    <t>K-JR01860-D01AZB</t>
    <phoneticPr fontId="2" type="noConversion"/>
  </si>
  <si>
    <t>전일 ISSUE 사항(29일)</t>
    <phoneticPr fontId="2" type="noConversion"/>
  </si>
  <si>
    <t>뜯김수리</t>
    <phoneticPr fontId="2" type="noConversion"/>
  </si>
  <si>
    <t>설비이상정지</t>
    <phoneticPr fontId="2" type="noConversion"/>
  </si>
  <si>
    <t>당일 진행 사항(30일)</t>
    <phoneticPr fontId="2" type="noConversion"/>
  </si>
  <si>
    <t>SAMPLE 진행 사항(29일)</t>
    <phoneticPr fontId="2" type="noConversion"/>
  </si>
  <si>
    <t>KR6451-GA380XX</t>
    <phoneticPr fontId="2" type="noConversion"/>
  </si>
  <si>
    <t>뜯김2회진행</t>
    <phoneticPr fontId="2" type="noConversion"/>
  </si>
  <si>
    <t>KR6451-EP01XX</t>
    <phoneticPr fontId="2" type="noConversion"/>
  </si>
  <si>
    <t>JD4901 N/P</t>
    <phoneticPr fontId="2" type="noConversion"/>
  </si>
  <si>
    <t>KR6451-F2304XX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</si>
  <si>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</si>
  <si>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</si>
  <si>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r>
      <t>2019년 11월 30일 일일생산현황</t>
    </r>
    <r>
      <rPr>
        <b/>
        <sz val="14"/>
        <color indexed="8"/>
        <rFont val="굴림체"/>
        <family val="3"/>
        <charset val="129"/>
      </rPr>
      <t>(01일 09시 현재)</t>
    </r>
    <phoneticPr fontId="2" type="noConversion"/>
  </si>
  <si>
    <t>전일 ISSUE 사항(30일)</t>
    <phoneticPr fontId="2" type="noConversion"/>
  </si>
  <si>
    <t>코아파손2회정지</t>
    <phoneticPr fontId="2" type="noConversion"/>
  </si>
  <si>
    <t>당일 진행 사항(01일)</t>
    <phoneticPr fontId="2" type="noConversion"/>
  </si>
  <si>
    <t>SAMPLE 진행 사항(30일)</t>
    <phoneticPr fontId="2" type="noConversion"/>
  </si>
  <si>
    <t>TOP 3종</t>
    <phoneticPr fontId="2" type="noConversion"/>
  </si>
  <si>
    <t xml:space="preserve">SF2255 </t>
    <phoneticPr fontId="2" type="noConversion"/>
  </si>
  <si>
    <t>금형 수리 내역(30일)</t>
    <phoneticPr fontId="2" type="noConversion"/>
  </si>
  <si>
    <t>설비 점검 내역(30일)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</si>
</sst>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80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3" borderId="9" xfId="8" applyFont="1" applyFill="1" applyBorder="1" applyAlignment="1">
      <alignment horizontal="center" vertical="center"/>
    </xf>
    <xf numFmtId="9" fontId="7" fillId="3" borderId="12" xfId="8" applyFont="1" applyFill="1" applyBorder="1" applyAlignment="1">
      <alignment horizontal="center" vertical="center"/>
    </xf>
    <xf numFmtId="9" fontId="7" fillId="3" borderId="51" xfId="8" applyFont="1" applyFill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7" fillId="3" borderId="24" xfId="8" applyFont="1" applyFill="1" applyBorder="1" applyAlignment="1">
      <alignment horizontal="center" vertical="center"/>
    </xf>
    <xf numFmtId="9" fontId="7" fillId="3" borderId="31" xfId="8" applyFont="1" applyFill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9" fontId="7" fillId="3" borderId="53" xfId="8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3" borderId="38" xfId="8" applyFont="1" applyFill="1" applyBorder="1" applyAlignment="1">
      <alignment horizontal="center" vertical="center"/>
    </xf>
    <xf numFmtId="9" fontId="7" fillId="3" borderId="11" xfId="8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3" borderId="33" xfId="8" applyFont="1" applyFill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30" borderId="8" xfId="2" applyFont="1" applyFill="1" applyBorder="1" applyAlignment="1">
      <alignment horizontal="center" vertical="center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49" fontId="13" fillId="0" borderId="17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9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3" fillId="0" borderId="9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49" fontId="13" fillId="0" borderId="9" xfId="2" applyNumberFormat="1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left" vertical="center" shrinkToFit="1"/>
    </xf>
    <xf numFmtId="0" fontId="13" fillId="0" borderId="12" xfId="2" applyFont="1" applyBorder="1" applyAlignment="1">
      <alignment horizontal="center" vertical="center" wrapText="1"/>
    </xf>
    <xf numFmtId="0" fontId="13" fillId="0" borderId="26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3" fillId="0" borderId="12" xfId="2" applyFont="1" applyBorder="1" applyAlignment="1">
      <alignment horizontal="center" vertical="center"/>
    </xf>
    <xf numFmtId="49" fontId="13" fillId="0" borderId="12" xfId="2" applyNumberFormat="1" applyFont="1" applyBorder="1" applyAlignment="1">
      <alignment horizontal="center" vertical="center"/>
    </xf>
    <xf numFmtId="49" fontId="13" fillId="0" borderId="11" xfId="2" applyNumberFormat="1" applyFont="1" applyBorder="1" applyAlignment="1">
      <alignment horizontal="center" vertical="center"/>
    </xf>
    <xf numFmtId="41" fontId="13" fillId="0" borderId="12" xfId="4" applyFont="1" applyBorder="1" applyAlignment="1">
      <alignment horizontal="center" vertical="center"/>
    </xf>
    <xf numFmtId="41" fontId="13" fillId="0" borderId="11" xfId="4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11" xfId="2" applyNumberFormat="1" applyFont="1" applyBorder="1" applyAlignment="1">
      <alignment horizontal="left" vertical="center" shrinkToFit="1"/>
    </xf>
    <xf numFmtId="0" fontId="13" fillId="0" borderId="26" xfId="2" applyFont="1" applyBorder="1" applyAlignment="1">
      <alignment horizontal="center" vertical="center"/>
    </xf>
    <xf numFmtId="0" fontId="13" fillId="0" borderId="60" xfId="2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54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26" xfId="2" applyNumberFormat="1" applyFont="1" applyBorder="1" applyAlignment="1">
      <alignment horizontal="center" vertical="center" shrinkToFit="1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2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10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1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1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_rels/chart1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9.xml"/></Relationships>
</file>

<file path=xl/charts/_rels/chart1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1.xml"/></Relationships>
</file>

<file path=xl/charts/_rels/chart1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3.xml"/></Relationships>
</file>

<file path=xl/charts/_rels/chart1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5.xml"/></Relationships>
</file>

<file path=xl/charts/_rels/chart1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7.xml"/></Relationships>
</file>

<file path=xl/charts/_rels/chart1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11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320477502295683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11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총괄!$A$3:$A$17</c:f>
              <c:strCache>
                <c:ptCount val="15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</c:strCache>
            </c:strRef>
          </c:cat>
          <c:val>
            <c:numRef>
              <c:f>총괄!$AG$3:$AG$17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0.69722222222222219</c:v>
                </c:pt>
                <c:pt idx="3">
                  <c:v>0.68333333333333346</c:v>
                </c:pt>
                <c:pt idx="4">
                  <c:v>0.61079750530785559</c:v>
                </c:pt>
                <c:pt idx="5">
                  <c:v>0.45</c:v>
                </c:pt>
                <c:pt idx="6">
                  <c:v>0.46767345190125514</c:v>
                </c:pt>
                <c:pt idx="7">
                  <c:v>0.41388888888888886</c:v>
                </c:pt>
                <c:pt idx="8">
                  <c:v>6.6666666666666666E-2</c:v>
                </c:pt>
                <c:pt idx="9">
                  <c:v>0.2013888888888889</c:v>
                </c:pt>
                <c:pt idx="10">
                  <c:v>0.6083333333333335</c:v>
                </c:pt>
                <c:pt idx="11">
                  <c:v>0.40416666666666673</c:v>
                </c:pt>
                <c:pt idx="12">
                  <c:v>0.47916666666666674</c:v>
                </c:pt>
                <c:pt idx="13">
                  <c:v>0.59587330135891281</c:v>
                </c:pt>
                <c:pt idx="14">
                  <c:v>0.47083333333333333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'01'!$L$6:$L$20</c:f>
              <c:numCache>
                <c:formatCode>_(* #,##0_);_(* \(#,##0\);_(* "-"_);_(@_)</c:formatCode>
                <c:ptCount val="15"/>
                <c:pt idx="2">
                  <c:v>1235</c:v>
                </c:pt>
                <c:pt idx="3">
                  <c:v>4639</c:v>
                </c:pt>
                <c:pt idx="4">
                  <c:v>7270</c:v>
                </c:pt>
                <c:pt idx="5">
                  <c:v>3270</c:v>
                </c:pt>
                <c:pt idx="6">
                  <c:v>3958</c:v>
                </c:pt>
                <c:pt idx="7">
                  <c:v>4050</c:v>
                </c:pt>
                <c:pt idx="10">
                  <c:v>5344</c:v>
                </c:pt>
                <c:pt idx="11">
                  <c:v>2981</c:v>
                </c:pt>
                <c:pt idx="12">
                  <c:v>5240</c:v>
                </c:pt>
                <c:pt idx="13">
                  <c:v>2932</c:v>
                </c:pt>
                <c:pt idx="14">
                  <c:v>40484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C1-4F78-8CAA-14D2CC68A8A2}"/>
            </c:ext>
          </c:extLst>
        </c:ser>
        <c:ser>
          <c:idx val="1"/>
          <c:order val="1"/>
          <c:tx>
            <c:v>계획</c:v>
          </c:tx>
          <c:cat>
            <c:strRef>
              <c:f>'01'!$D$6:$D$20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1235</c:v>
                </c:pt>
                <c:pt idx="3">
                  <c:v>4639</c:v>
                </c:pt>
                <c:pt idx="4">
                  <c:v>7270</c:v>
                </c:pt>
                <c:pt idx="5">
                  <c:v>3270</c:v>
                </c:pt>
                <c:pt idx="6">
                  <c:v>3958</c:v>
                </c:pt>
                <c:pt idx="7">
                  <c:v>4050</c:v>
                </c:pt>
                <c:pt idx="8">
                  <c:v>3411</c:v>
                </c:pt>
                <c:pt idx="9">
                  <c:v>2517</c:v>
                </c:pt>
                <c:pt idx="10">
                  <c:v>5344</c:v>
                </c:pt>
                <c:pt idx="11">
                  <c:v>2981</c:v>
                </c:pt>
                <c:pt idx="12">
                  <c:v>5240</c:v>
                </c:pt>
                <c:pt idx="13">
                  <c:v>2932</c:v>
                </c:pt>
                <c:pt idx="14">
                  <c:v>40484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C1-4F78-8CAA-14D2CC68A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33%</c:v>
                </c:pt>
                <c:pt idx="3">
                  <c:v>88%</c:v>
                </c:pt>
                <c:pt idx="4">
                  <c:v>88%</c:v>
                </c:pt>
                <c:pt idx="5">
                  <c:v>33%</c:v>
                </c:pt>
                <c:pt idx="6">
                  <c:v>88%</c:v>
                </c:pt>
                <c:pt idx="7">
                  <c:v>92%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58%</c:v>
                </c:pt>
                <c:pt idx="12">
                  <c:v>100%</c:v>
                </c:pt>
                <c:pt idx="13">
                  <c:v>63%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0.875</c:v>
                </c:pt>
                <c:pt idx="4">
                  <c:v>0.875</c:v>
                </c:pt>
                <c:pt idx="5">
                  <c:v>0.33333333333333331</c:v>
                </c:pt>
                <c:pt idx="6">
                  <c:v>0.875</c:v>
                </c:pt>
                <c:pt idx="7">
                  <c:v>0.91666666666666663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0.58333333333333337</c:v>
                </c:pt>
                <c:pt idx="12">
                  <c:v>1</c:v>
                </c:pt>
                <c:pt idx="13">
                  <c:v>0.625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16-41BB-B414-7418EE583D3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116-41BB-B414-7418EE583D3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'01'!$AE$6:$AE$20</c:f>
              <c:numCache>
                <c:formatCode>0%</c:formatCode>
                <c:ptCount val="15"/>
                <c:pt idx="0">
                  <c:v>0.53333333333333333</c:v>
                </c:pt>
                <c:pt idx="1">
                  <c:v>0.53333333333333333</c:v>
                </c:pt>
                <c:pt idx="2">
                  <c:v>0.53333333333333333</c:v>
                </c:pt>
                <c:pt idx="3">
                  <c:v>0.53333333333333333</c:v>
                </c:pt>
                <c:pt idx="4">
                  <c:v>0.53333333333333333</c:v>
                </c:pt>
                <c:pt idx="5">
                  <c:v>0.53333333333333333</c:v>
                </c:pt>
                <c:pt idx="6">
                  <c:v>0.53333333333333333</c:v>
                </c:pt>
                <c:pt idx="7">
                  <c:v>0.53333333333333333</c:v>
                </c:pt>
                <c:pt idx="8">
                  <c:v>0.53333333333333333</c:v>
                </c:pt>
                <c:pt idx="9">
                  <c:v>0.53333333333333333</c:v>
                </c:pt>
                <c:pt idx="10">
                  <c:v>0.53333333333333333</c:v>
                </c:pt>
                <c:pt idx="11">
                  <c:v>0.53333333333333333</c:v>
                </c:pt>
                <c:pt idx="12">
                  <c:v>0.53333333333333333</c:v>
                </c:pt>
                <c:pt idx="13">
                  <c:v>0.53333333333333333</c:v>
                </c:pt>
                <c:pt idx="14">
                  <c:v>0.53333333333333333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16-41BB-B414-7418EE583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'01'!$L$6:$L$20</c:f>
              <c:numCache>
                <c:formatCode>_(* #,##0_);_(* \(#,##0\);_(* "-"_);_(@_)</c:formatCode>
                <c:ptCount val="15"/>
                <c:pt idx="2">
                  <c:v>1235</c:v>
                </c:pt>
                <c:pt idx="3">
                  <c:v>4639</c:v>
                </c:pt>
                <c:pt idx="4">
                  <c:v>7270</c:v>
                </c:pt>
                <c:pt idx="5">
                  <c:v>3270</c:v>
                </c:pt>
                <c:pt idx="6">
                  <c:v>3958</c:v>
                </c:pt>
                <c:pt idx="7">
                  <c:v>4050</c:v>
                </c:pt>
                <c:pt idx="10">
                  <c:v>5344</c:v>
                </c:pt>
                <c:pt idx="11">
                  <c:v>2981</c:v>
                </c:pt>
                <c:pt idx="12">
                  <c:v>5240</c:v>
                </c:pt>
                <c:pt idx="13">
                  <c:v>2932</c:v>
                </c:pt>
                <c:pt idx="14">
                  <c:v>40484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D7-4FAC-8F31-D1A3EE95D8BB}"/>
            </c:ext>
          </c:extLst>
        </c:ser>
        <c:ser>
          <c:idx val="1"/>
          <c:order val="1"/>
          <c:tx>
            <c:v>계획</c:v>
          </c:tx>
          <c:cat>
            <c:strRef>
              <c:f>'01'!$D$6:$D$20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1235</c:v>
                </c:pt>
                <c:pt idx="3">
                  <c:v>4639</c:v>
                </c:pt>
                <c:pt idx="4">
                  <c:v>7270</c:v>
                </c:pt>
                <c:pt idx="5">
                  <c:v>3270</c:v>
                </c:pt>
                <c:pt idx="6">
                  <c:v>3958</c:v>
                </c:pt>
                <c:pt idx="7">
                  <c:v>4050</c:v>
                </c:pt>
                <c:pt idx="8">
                  <c:v>3411</c:v>
                </c:pt>
                <c:pt idx="9">
                  <c:v>2517</c:v>
                </c:pt>
                <c:pt idx="10">
                  <c:v>5344</c:v>
                </c:pt>
                <c:pt idx="11">
                  <c:v>2981</c:v>
                </c:pt>
                <c:pt idx="12">
                  <c:v>5240</c:v>
                </c:pt>
                <c:pt idx="13">
                  <c:v>2932</c:v>
                </c:pt>
                <c:pt idx="14">
                  <c:v>40484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D7-4FAC-8F31-D1A3EE95D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33%</c:v>
                </c:pt>
                <c:pt idx="3">
                  <c:v>88%</c:v>
                </c:pt>
                <c:pt idx="4">
                  <c:v>88%</c:v>
                </c:pt>
                <c:pt idx="5">
                  <c:v>33%</c:v>
                </c:pt>
                <c:pt idx="6">
                  <c:v>88%</c:v>
                </c:pt>
                <c:pt idx="7">
                  <c:v>92%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58%</c:v>
                </c:pt>
                <c:pt idx="12">
                  <c:v>100%</c:v>
                </c:pt>
                <c:pt idx="13">
                  <c:v>63%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0.875</c:v>
                </c:pt>
                <c:pt idx="4">
                  <c:v>0.875</c:v>
                </c:pt>
                <c:pt idx="5">
                  <c:v>0.33333333333333331</c:v>
                </c:pt>
                <c:pt idx="6">
                  <c:v>0.875</c:v>
                </c:pt>
                <c:pt idx="7">
                  <c:v>0.91666666666666663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0.58333333333333337</c:v>
                </c:pt>
                <c:pt idx="12">
                  <c:v>1</c:v>
                </c:pt>
                <c:pt idx="13">
                  <c:v>0.625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7-451B-AB9F-D27A92462AC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357-451B-AB9F-D27A92462AC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'01'!$AE$6:$AE$20</c:f>
              <c:numCache>
                <c:formatCode>0%</c:formatCode>
                <c:ptCount val="15"/>
                <c:pt idx="0">
                  <c:v>0.53333333333333333</c:v>
                </c:pt>
                <c:pt idx="1">
                  <c:v>0.53333333333333333</c:v>
                </c:pt>
                <c:pt idx="2">
                  <c:v>0.53333333333333333</c:v>
                </c:pt>
                <c:pt idx="3">
                  <c:v>0.53333333333333333</c:v>
                </c:pt>
                <c:pt idx="4">
                  <c:v>0.53333333333333333</c:v>
                </c:pt>
                <c:pt idx="5">
                  <c:v>0.53333333333333333</c:v>
                </c:pt>
                <c:pt idx="6">
                  <c:v>0.53333333333333333</c:v>
                </c:pt>
                <c:pt idx="7">
                  <c:v>0.53333333333333333</c:v>
                </c:pt>
                <c:pt idx="8">
                  <c:v>0.53333333333333333</c:v>
                </c:pt>
                <c:pt idx="9">
                  <c:v>0.53333333333333333</c:v>
                </c:pt>
                <c:pt idx="10">
                  <c:v>0.53333333333333333</c:v>
                </c:pt>
                <c:pt idx="11">
                  <c:v>0.53333333333333333</c:v>
                </c:pt>
                <c:pt idx="12">
                  <c:v>0.53333333333333333</c:v>
                </c:pt>
                <c:pt idx="13">
                  <c:v>0.53333333333333333</c:v>
                </c:pt>
                <c:pt idx="14">
                  <c:v>0.53333333333333333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57-451B-AB9F-D27A92462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18B-4A4D-884C-AE77AFB610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8B-4A4D-884C-AE77AFB61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18B-4A4D-884C-AE77AFB6101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8B-4A4D-884C-AE77AFB61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'02'!$L$6:$L$20</c:f>
              <c:numCache>
                <c:formatCode>_(* #,##0_);_(* \(#,##0\);_(* "-"_);_(@_)</c:formatCode>
                <c:ptCount val="15"/>
                <c:pt idx="2">
                  <c:v>5044</c:v>
                </c:pt>
                <c:pt idx="3">
                  <c:v>2951</c:v>
                </c:pt>
                <c:pt idx="4">
                  <c:v>3769</c:v>
                </c:pt>
                <c:pt idx="5">
                  <c:v>380</c:v>
                </c:pt>
                <c:pt idx="6">
                  <c:v>1875</c:v>
                </c:pt>
                <c:pt idx="10">
                  <c:v>5134</c:v>
                </c:pt>
                <c:pt idx="11">
                  <c:v>5786</c:v>
                </c:pt>
                <c:pt idx="12">
                  <c:v>5066</c:v>
                </c:pt>
                <c:pt idx="13">
                  <c:v>4731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35-4883-B298-E5674B628870}"/>
            </c:ext>
          </c:extLst>
        </c:ser>
        <c:ser>
          <c:idx val="1"/>
          <c:order val="1"/>
          <c:tx>
            <c:v>계획</c:v>
          </c:tx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5044</c:v>
                </c:pt>
                <c:pt idx="3">
                  <c:v>2951</c:v>
                </c:pt>
                <c:pt idx="4">
                  <c:v>3769</c:v>
                </c:pt>
                <c:pt idx="5">
                  <c:v>380</c:v>
                </c:pt>
                <c:pt idx="6">
                  <c:v>1875</c:v>
                </c:pt>
                <c:pt idx="7">
                  <c:v>4050</c:v>
                </c:pt>
                <c:pt idx="8">
                  <c:v>3411</c:v>
                </c:pt>
                <c:pt idx="9">
                  <c:v>2517</c:v>
                </c:pt>
                <c:pt idx="10">
                  <c:v>5134</c:v>
                </c:pt>
                <c:pt idx="11">
                  <c:v>5786</c:v>
                </c:pt>
                <c:pt idx="12">
                  <c:v>5066</c:v>
                </c:pt>
                <c:pt idx="13">
                  <c:v>4731</c:v>
                </c:pt>
                <c:pt idx="14">
                  <c:v>40484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35-4883-B298-E5674B628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50%</c:v>
                </c:pt>
                <c:pt idx="3">
                  <c:v>63%</c:v>
                </c:pt>
                <c:pt idx="4">
                  <c:v>58%</c:v>
                </c:pt>
                <c:pt idx="5">
                  <c:v>13%</c:v>
                </c:pt>
                <c:pt idx="6">
                  <c:v>46%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100%</c:v>
                </c:pt>
                <c:pt idx="13">
                  <c:v>88%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0.625</c:v>
                </c:pt>
                <c:pt idx="4">
                  <c:v>0.58333333333333337</c:v>
                </c:pt>
                <c:pt idx="5">
                  <c:v>0.125</c:v>
                </c:pt>
                <c:pt idx="6">
                  <c:v>0.45833333333333331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0.875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39-4096-BBEC-7B965087AF8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139-4096-BBEC-7B965087AF8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'02'!$AE$6:$AE$20</c:f>
              <c:numCache>
                <c:formatCode>0%</c:formatCode>
                <c:ptCount val="15"/>
                <c:pt idx="0">
                  <c:v>0.41111111111111115</c:v>
                </c:pt>
                <c:pt idx="1">
                  <c:v>0.41111111111111115</c:v>
                </c:pt>
                <c:pt idx="2">
                  <c:v>0.41111111111111115</c:v>
                </c:pt>
                <c:pt idx="3">
                  <c:v>0.41111111111111115</c:v>
                </c:pt>
                <c:pt idx="4">
                  <c:v>0.41111111111111115</c:v>
                </c:pt>
                <c:pt idx="5">
                  <c:v>0.41111111111111115</c:v>
                </c:pt>
                <c:pt idx="6">
                  <c:v>0.41111111111111115</c:v>
                </c:pt>
                <c:pt idx="7">
                  <c:v>0.41111111111111115</c:v>
                </c:pt>
                <c:pt idx="8">
                  <c:v>0.41111111111111115</c:v>
                </c:pt>
                <c:pt idx="9">
                  <c:v>0.41111111111111115</c:v>
                </c:pt>
                <c:pt idx="10">
                  <c:v>0.41111111111111115</c:v>
                </c:pt>
                <c:pt idx="11">
                  <c:v>0.41111111111111115</c:v>
                </c:pt>
                <c:pt idx="12">
                  <c:v>0.41111111111111115</c:v>
                </c:pt>
                <c:pt idx="13">
                  <c:v>0.41111111111111115</c:v>
                </c:pt>
                <c:pt idx="14">
                  <c:v>0.41111111111111115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39-4096-BBEC-7B965087A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'02'!$L$6:$L$20</c:f>
              <c:numCache>
                <c:formatCode>_(* #,##0_);_(* \(#,##0\);_(* "-"_);_(@_)</c:formatCode>
                <c:ptCount val="15"/>
                <c:pt idx="2">
                  <c:v>5044</c:v>
                </c:pt>
                <c:pt idx="3">
                  <c:v>2951</c:v>
                </c:pt>
                <c:pt idx="4">
                  <c:v>3769</c:v>
                </c:pt>
                <c:pt idx="5">
                  <c:v>380</c:v>
                </c:pt>
                <c:pt idx="6">
                  <c:v>1875</c:v>
                </c:pt>
                <c:pt idx="10">
                  <c:v>5134</c:v>
                </c:pt>
                <c:pt idx="11">
                  <c:v>5786</c:v>
                </c:pt>
                <c:pt idx="12">
                  <c:v>5066</c:v>
                </c:pt>
                <c:pt idx="13">
                  <c:v>4731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B6-455C-870D-3523087550DA}"/>
            </c:ext>
          </c:extLst>
        </c:ser>
        <c:ser>
          <c:idx val="1"/>
          <c:order val="1"/>
          <c:tx>
            <c:v>계획</c:v>
          </c:tx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5044</c:v>
                </c:pt>
                <c:pt idx="3">
                  <c:v>2951</c:v>
                </c:pt>
                <c:pt idx="4">
                  <c:v>3769</c:v>
                </c:pt>
                <c:pt idx="5">
                  <c:v>380</c:v>
                </c:pt>
                <c:pt idx="6">
                  <c:v>1875</c:v>
                </c:pt>
                <c:pt idx="7">
                  <c:v>4050</c:v>
                </c:pt>
                <c:pt idx="8">
                  <c:v>3411</c:v>
                </c:pt>
                <c:pt idx="9">
                  <c:v>2517</c:v>
                </c:pt>
                <c:pt idx="10">
                  <c:v>5134</c:v>
                </c:pt>
                <c:pt idx="11">
                  <c:v>5786</c:v>
                </c:pt>
                <c:pt idx="12">
                  <c:v>5066</c:v>
                </c:pt>
                <c:pt idx="13">
                  <c:v>4731</c:v>
                </c:pt>
                <c:pt idx="14">
                  <c:v>40484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B6-455C-870D-352308755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50%</c:v>
                </c:pt>
                <c:pt idx="3">
                  <c:v>63%</c:v>
                </c:pt>
                <c:pt idx="4">
                  <c:v>58%</c:v>
                </c:pt>
                <c:pt idx="5">
                  <c:v>13%</c:v>
                </c:pt>
                <c:pt idx="6">
                  <c:v>46%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100%</c:v>
                </c:pt>
                <c:pt idx="13">
                  <c:v>88%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0.625</c:v>
                </c:pt>
                <c:pt idx="4">
                  <c:v>0.58333333333333337</c:v>
                </c:pt>
                <c:pt idx="5">
                  <c:v>0.125</c:v>
                </c:pt>
                <c:pt idx="6">
                  <c:v>0.45833333333333331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0.875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3D-432B-9179-8DDE4A88210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83D-432B-9179-8DDE4A88210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'02'!$AE$6:$AE$20</c:f>
              <c:numCache>
                <c:formatCode>0%</c:formatCode>
                <c:ptCount val="15"/>
                <c:pt idx="0">
                  <c:v>0.41111111111111115</c:v>
                </c:pt>
                <c:pt idx="1">
                  <c:v>0.41111111111111115</c:v>
                </c:pt>
                <c:pt idx="2">
                  <c:v>0.41111111111111115</c:v>
                </c:pt>
                <c:pt idx="3">
                  <c:v>0.41111111111111115</c:v>
                </c:pt>
                <c:pt idx="4">
                  <c:v>0.41111111111111115</c:v>
                </c:pt>
                <c:pt idx="5">
                  <c:v>0.41111111111111115</c:v>
                </c:pt>
                <c:pt idx="6">
                  <c:v>0.41111111111111115</c:v>
                </c:pt>
                <c:pt idx="7">
                  <c:v>0.41111111111111115</c:v>
                </c:pt>
                <c:pt idx="8">
                  <c:v>0.41111111111111115</c:v>
                </c:pt>
                <c:pt idx="9">
                  <c:v>0.41111111111111115</c:v>
                </c:pt>
                <c:pt idx="10">
                  <c:v>0.41111111111111115</c:v>
                </c:pt>
                <c:pt idx="11">
                  <c:v>0.41111111111111115</c:v>
                </c:pt>
                <c:pt idx="12">
                  <c:v>0.41111111111111115</c:v>
                </c:pt>
                <c:pt idx="13">
                  <c:v>0.41111111111111115</c:v>
                </c:pt>
                <c:pt idx="14">
                  <c:v>0.41111111111111115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3D-432B-9179-8DDE4A882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01C-4F52-9573-30239D32E8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1C-4F52-9573-30239D32E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01C-4F52-9573-30239D32E88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1C-4F52-9573-30239D32E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'03'!$L$6:$L$20</c:f>
              <c:numCache>
                <c:formatCode>_(* #,##0_);_(* \(#,##0\);_(* "-"_);_(@_)</c:formatCode>
                <c:ptCount val="15"/>
                <c:pt idx="2">
                  <c:v>2327</c:v>
                </c:pt>
                <c:pt idx="3">
                  <c:v>2392</c:v>
                </c:pt>
                <c:pt idx="4">
                  <c:v>2517</c:v>
                </c:pt>
                <c:pt idx="5">
                  <c:v>291</c:v>
                </c:pt>
                <c:pt idx="7">
                  <c:v>1594</c:v>
                </c:pt>
                <c:pt idx="10">
                  <c:v>2370</c:v>
                </c:pt>
                <c:pt idx="11">
                  <c:v>2690</c:v>
                </c:pt>
                <c:pt idx="12">
                  <c:v>2357</c:v>
                </c:pt>
                <c:pt idx="13">
                  <c:v>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6B-4A64-B63E-DA2A5C73EF18}"/>
            </c:ext>
          </c:extLst>
        </c:ser>
        <c:ser>
          <c:idx val="1"/>
          <c:order val="1"/>
          <c:tx>
            <c:v>계획</c:v>
          </c:tx>
          <c:cat>
            <c:strRef>
              <c:f>'03'!$D$6:$D$20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2327</c:v>
                </c:pt>
                <c:pt idx="3">
                  <c:v>2392</c:v>
                </c:pt>
                <c:pt idx="4">
                  <c:v>2517</c:v>
                </c:pt>
                <c:pt idx="5">
                  <c:v>291</c:v>
                </c:pt>
                <c:pt idx="6">
                  <c:v>1875</c:v>
                </c:pt>
                <c:pt idx="7">
                  <c:v>1594</c:v>
                </c:pt>
                <c:pt idx="8">
                  <c:v>3411</c:v>
                </c:pt>
                <c:pt idx="9">
                  <c:v>2517</c:v>
                </c:pt>
                <c:pt idx="10">
                  <c:v>2370</c:v>
                </c:pt>
                <c:pt idx="11">
                  <c:v>2690</c:v>
                </c:pt>
                <c:pt idx="12">
                  <c:v>2357</c:v>
                </c:pt>
                <c:pt idx="13">
                  <c:v>742</c:v>
                </c:pt>
                <c:pt idx="14">
                  <c:v>40484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6B-4A64-B63E-DA2A5C73E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42%</c:v>
                </c:pt>
                <c:pt idx="4">
                  <c:v>42%</c:v>
                </c:pt>
                <c:pt idx="5">
                  <c:v>8%</c:v>
                </c:pt>
                <c:pt idx="6">
                  <c:v>0%</c:v>
                </c:pt>
                <c:pt idx="7">
                  <c:v>33%</c:v>
                </c:pt>
                <c:pt idx="8">
                  <c:v>0%</c:v>
                </c:pt>
                <c:pt idx="9">
                  <c:v>0%</c:v>
                </c:pt>
                <c:pt idx="10">
                  <c:v>42%</c:v>
                </c:pt>
                <c:pt idx="11">
                  <c:v>42%</c:v>
                </c:pt>
                <c:pt idx="12">
                  <c:v>42%</c:v>
                </c:pt>
                <c:pt idx="13">
                  <c:v>21%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0.41666666666666669</c:v>
                </c:pt>
                <c:pt idx="4">
                  <c:v>0.41666666666666669</c:v>
                </c:pt>
                <c:pt idx="5">
                  <c:v>8.3333333333333329E-2</c:v>
                </c:pt>
                <c:pt idx="6">
                  <c:v>0</c:v>
                </c:pt>
                <c:pt idx="7">
                  <c:v>0.33333333333333331</c:v>
                </c:pt>
                <c:pt idx="8">
                  <c:v>0</c:v>
                </c:pt>
                <c:pt idx="9">
                  <c:v>0</c:v>
                </c:pt>
                <c:pt idx="10">
                  <c:v>0.41666666666666669</c:v>
                </c:pt>
                <c:pt idx="11">
                  <c:v>0.41666666666666669</c:v>
                </c:pt>
                <c:pt idx="12">
                  <c:v>0.41666666666666669</c:v>
                </c:pt>
                <c:pt idx="13">
                  <c:v>0.20833333333333334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A7-4D65-80F0-1B9B27C5EE3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7A7-4D65-80F0-1B9B27C5EE3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'03'!$AE$6:$AE$20</c:f>
              <c:numCache>
                <c:formatCode>0%</c:formatCode>
                <c:ptCount val="15"/>
                <c:pt idx="0">
                  <c:v>0.20833333333333331</c:v>
                </c:pt>
                <c:pt idx="1">
                  <c:v>0.20833333333333331</c:v>
                </c:pt>
                <c:pt idx="2">
                  <c:v>0.20833333333333331</c:v>
                </c:pt>
                <c:pt idx="3">
                  <c:v>0.20833333333333331</c:v>
                </c:pt>
                <c:pt idx="4">
                  <c:v>0.20833333333333331</c:v>
                </c:pt>
                <c:pt idx="5">
                  <c:v>0.20833333333333331</c:v>
                </c:pt>
                <c:pt idx="6">
                  <c:v>0.20833333333333331</c:v>
                </c:pt>
                <c:pt idx="7">
                  <c:v>0.20833333333333331</c:v>
                </c:pt>
                <c:pt idx="8">
                  <c:v>0.20833333333333331</c:v>
                </c:pt>
                <c:pt idx="9">
                  <c:v>0.20833333333333331</c:v>
                </c:pt>
                <c:pt idx="10">
                  <c:v>0.20833333333333331</c:v>
                </c:pt>
                <c:pt idx="11">
                  <c:v>0.20833333333333331</c:v>
                </c:pt>
                <c:pt idx="12">
                  <c:v>0.20833333333333331</c:v>
                </c:pt>
                <c:pt idx="13">
                  <c:v>0.20833333333333331</c:v>
                </c:pt>
                <c:pt idx="14">
                  <c:v>0.20833333333333331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A7-4D65-80F0-1B9B27C5E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'03'!$L$6:$L$20</c:f>
              <c:numCache>
                <c:formatCode>_(* #,##0_);_(* \(#,##0\);_(* "-"_);_(@_)</c:formatCode>
                <c:ptCount val="15"/>
                <c:pt idx="2">
                  <c:v>2327</c:v>
                </c:pt>
                <c:pt idx="3">
                  <c:v>2392</c:v>
                </c:pt>
                <c:pt idx="4">
                  <c:v>2517</c:v>
                </c:pt>
                <c:pt idx="5">
                  <c:v>291</c:v>
                </c:pt>
                <c:pt idx="7">
                  <c:v>1594</c:v>
                </c:pt>
                <c:pt idx="10">
                  <c:v>2370</c:v>
                </c:pt>
                <c:pt idx="11">
                  <c:v>2690</c:v>
                </c:pt>
                <c:pt idx="12">
                  <c:v>2357</c:v>
                </c:pt>
                <c:pt idx="13">
                  <c:v>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1-4BF3-AFDA-2266DCAA6D16}"/>
            </c:ext>
          </c:extLst>
        </c:ser>
        <c:ser>
          <c:idx val="1"/>
          <c:order val="1"/>
          <c:tx>
            <c:v>계획</c:v>
          </c:tx>
          <c:cat>
            <c:strRef>
              <c:f>'03'!$D$6:$D$20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2327</c:v>
                </c:pt>
                <c:pt idx="3">
                  <c:v>2392</c:v>
                </c:pt>
                <c:pt idx="4">
                  <c:v>2517</c:v>
                </c:pt>
                <c:pt idx="5">
                  <c:v>291</c:v>
                </c:pt>
                <c:pt idx="6">
                  <c:v>1875</c:v>
                </c:pt>
                <c:pt idx="7">
                  <c:v>1594</c:v>
                </c:pt>
                <c:pt idx="8">
                  <c:v>3411</c:v>
                </c:pt>
                <c:pt idx="9">
                  <c:v>2517</c:v>
                </c:pt>
                <c:pt idx="10">
                  <c:v>2370</c:v>
                </c:pt>
                <c:pt idx="11">
                  <c:v>2690</c:v>
                </c:pt>
                <c:pt idx="12">
                  <c:v>2357</c:v>
                </c:pt>
                <c:pt idx="13">
                  <c:v>742</c:v>
                </c:pt>
                <c:pt idx="14">
                  <c:v>40484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61-4BF3-AFDA-2266DCAA6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42%</c:v>
                </c:pt>
                <c:pt idx="4">
                  <c:v>42%</c:v>
                </c:pt>
                <c:pt idx="5">
                  <c:v>8%</c:v>
                </c:pt>
                <c:pt idx="6">
                  <c:v>0%</c:v>
                </c:pt>
                <c:pt idx="7">
                  <c:v>33%</c:v>
                </c:pt>
                <c:pt idx="8">
                  <c:v>0%</c:v>
                </c:pt>
                <c:pt idx="9">
                  <c:v>0%</c:v>
                </c:pt>
                <c:pt idx="10">
                  <c:v>42%</c:v>
                </c:pt>
                <c:pt idx="11">
                  <c:v>42%</c:v>
                </c:pt>
                <c:pt idx="12">
                  <c:v>42%</c:v>
                </c:pt>
                <c:pt idx="13">
                  <c:v>21%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0.41666666666666669</c:v>
                </c:pt>
                <c:pt idx="4">
                  <c:v>0.41666666666666669</c:v>
                </c:pt>
                <c:pt idx="5">
                  <c:v>8.3333333333333329E-2</c:v>
                </c:pt>
                <c:pt idx="6">
                  <c:v>0</c:v>
                </c:pt>
                <c:pt idx="7">
                  <c:v>0.33333333333333331</c:v>
                </c:pt>
                <c:pt idx="8">
                  <c:v>0</c:v>
                </c:pt>
                <c:pt idx="9">
                  <c:v>0</c:v>
                </c:pt>
                <c:pt idx="10">
                  <c:v>0.41666666666666669</c:v>
                </c:pt>
                <c:pt idx="11">
                  <c:v>0.41666666666666669</c:v>
                </c:pt>
                <c:pt idx="12">
                  <c:v>0.41666666666666669</c:v>
                </c:pt>
                <c:pt idx="13">
                  <c:v>0.20833333333333334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3-4477-BAA3-33C0F64952F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BC3-4477-BAA3-33C0F64952F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COVER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'03'!$AE$6:$AE$20</c:f>
              <c:numCache>
                <c:formatCode>0%</c:formatCode>
                <c:ptCount val="15"/>
                <c:pt idx="0">
                  <c:v>0.20833333333333331</c:v>
                </c:pt>
                <c:pt idx="1">
                  <c:v>0.20833333333333331</c:v>
                </c:pt>
                <c:pt idx="2">
                  <c:v>0.20833333333333331</c:v>
                </c:pt>
                <c:pt idx="3">
                  <c:v>0.20833333333333331</c:v>
                </c:pt>
                <c:pt idx="4">
                  <c:v>0.20833333333333331</c:v>
                </c:pt>
                <c:pt idx="5">
                  <c:v>0.20833333333333331</c:v>
                </c:pt>
                <c:pt idx="6">
                  <c:v>0.20833333333333331</c:v>
                </c:pt>
                <c:pt idx="7">
                  <c:v>0.20833333333333331</c:v>
                </c:pt>
                <c:pt idx="8">
                  <c:v>0.20833333333333331</c:v>
                </c:pt>
                <c:pt idx="9">
                  <c:v>0.20833333333333331</c:v>
                </c:pt>
                <c:pt idx="10">
                  <c:v>0.20833333333333331</c:v>
                </c:pt>
                <c:pt idx="11">
                  <c:v>0.20833333333333331</c:v>
                </c:pt>
                <c:pt idx="12">
                  <c:v>0.20833333333333331</c:v>
                </c:pt>
                <c:pt idx="13">
                  <c:v>0.20833333333333331</c:v>
                </c:pt>
                <c:pt idx="14">
                  <c:v>0.20833333333333331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3-4477-BAA3-33C0F6495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A10-47F9-9ABA-D18CF54659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10-47F9-9ABA-D18CF5465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A10-47F9-9ABA-D18CF54659A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10-47F9-9ABA-D18CF5465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'04'!$L$6:$L$20</c:f>
              <c:numCache>
                <c:formatCode>_(* #,##0_);_(* \(#,##0\);_(* "-"_);_(@_)</c:formatCode>
                <c:ptCount val="15"/>
                <c:pt idx="2">
                  <c:v>1392</c:v>
                </c:pt>
                <c:pt idx="3">
                  <c:v>2902</c:v>
                </c:pt>
                <c:pt idx="4">
                  <c:v>6249</c:v>
                </c:pt>
                <c:pt idx="6">
                  <c:v>401</c:v>
                </c:pt>
                <c:pt idx="10">
                  <c:v>5096</c:v>
                </c:pt>
                <c:pt idx="12">
                  <c:v>1993</c:v>
                </c:pt>
                <c:pt idx="13">
                  <c:v>1487</c:v>
                </c:pt>
                <c:pt idx="14">
                  <c:v>64016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D3-4B27-AA7A-A7BC587AFA76}"/>
            </c:ext>
          </c:extLst>
        </c:ser>
        <c:ser>
          <c:idx val="1"/>
          <c:order val="1"/>
          <c:tx>
            <c:v>계획</c:v>
          </c:tx>
          <c:cat>
            <c:strRef>
              <c:f>'04'!$D$6:$D$20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'04'!$J$6:$J$20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1392</c:v>
                </c:pt>
                <c:pt idx="3">
                  <c:v>2902</c:v>
                </c:pt>
                <c:pt idx="4">
                  <c:v>6249</c:v>
                </c:pt>
                <c:pt idx="5">
                  <c:v>291</c:v>
                </c:pt>
                <c:pt idx="6">
                  <c:v>401</c:v>
                </c:pt>
                <c:pt idx="7">
                  <c:v>1594</c:v>
                </c:pt>
                <c:pt idx="8">
                  <c:v>3411</c:v>
                </c:pt>
                <c:pt idx="9">
                  <c:v>2517</c:v>
                </c:pt>
                <c:pt idx="10">
                  <c:v>5096</c:v>
                </c:pt>
                <c:pt idx="11">
                  <c:v>2690</c:v>
                </c:pt>
                <c:pt idx="12">
                  <c:v>1993</c:v>
                </c:pt>
                <c:pt idx="13">
                  <c:v>1487</c:v>
                </c:pt>
                <c:pt idx="14">
                  <c:v>64016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D3-4B27-AA7A-A7BC587AF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38%</c:v>
                </c:pt>
                <c:pt idx="3">
                  <c:v>58%</c:v>
                </c:pt>
                <c:pt idx="4">
                  <c:v>79%</c:v>
                </c:pt>
                <c:pt idx="5">
                  <c:v>0%</c:v>
                </c:pt>
                <c:pt idx="6">
                  <c:v>13%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38%</c:v>
                </c:pt>
                <c:pt idx="13">
                  <c:v>33%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0.375</c:v>
                </c:pt>
                <c:pt idx="3">
                  <c:v>0.58333333333333337</c:v>
                </c:pt>
                <c:pt idx="4">
                  <c:v>0.79166666666666663</c:v>
                </c:pt>
                <c:pt idx="5">
                  <c:v>0</c:v>
                </c:pt>
                <c:pt idx="6">
                  <c:v>0.125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0.375</c:v>
                </c:pt>
                <c:pt idx="13">
                  <c:v>0.33333333333333331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D1-42CA-A49A-0B12B588133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BD1-42CA-A49A-0B12B588133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'04'!$AE$6:$AE$20</c:f>
              <c:numCache>
                <c:formatCode>0%</c:formatCode>
                <c:ptCount val="15"/>
                <c:pt idx="0">
                  <c:v>0.30555555555555558</c:v>
                </c:pt>
                <c:pt idx="1">
                  <c:v>0.30555555555555558</c:v>
                </c:pt>
                <c:pt idx="2">
                  <c:v>0.30555555555555558</c:v>
                </c:pt>
                <c:pt idx="3">
                  <c:v>0.30555555555555558</c:v>
                </c:pt>
                <c:pt idx="4">
                  <c:v>0.30555555555555558</c:v>
                </c:pt>
                <c:pt idx="5">
                  <c:v>0.30555555555555558</c:v>
                </c:pt>
                <c:pt idx="6">
                  <c:v>0.30555555555555558</c:v>
                </c:pt>
                <c:pt idx="7">
                  <c:v>0.30555555555555558</c:v>
                </c:pt>
                <c:pt idx="8">
                  <c:v>0.30555555555555558</c:v>
                </c:pt>
                <c:pt idx="9">
                  <c:v>0.30555555555555558</c:v>
                </c:pt>
                <c:pt idx="10">
                  <c:v>0.30555555555555558</c:v>
                </c:pt>
                <c:pt idx="11">
                  <c:v>0.30555555555555558</c:v>
                </c:pt>
                <c:pt idx="12">
                  <c:v>0.30555555555555558</c:v>
                </c:pt>
                <c:pt idx="13">
                  <c:v>0.30555555555555558</c:v>
                </c:pt>
                <c:pt idx="14">
                  <c:v>0.30555555555555558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D1-42CA-A49A-0B12B5881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'04'!$L$6:$L$20</c:f>
              <c:numCache>
                <c:formatCode>_(* #,##0_);_(* \(#,##0\);_(* "-"_);_(@_)</c:formatCode>
                <c:ptCount val="15"/>
                <c:pt idx="2">
                  <c:v>1392</c:v>
                </c:pt>
                <c:pt idx="3">
                  <c:v>2902</c:v>
                </c:pt>
                <c:pt idx="4">
                  <c:v>6249</c:v>
                </c:pt>
                <c:pt idx="6">
                  <c:v>401</c:v>
                </c:pt>
                <c:pt idx="10">
                  <c:v>5096</c:v>
                </c:pt>
                <c:pt idx="12">
                  <c:v>1993</c:v>
                </c:pt>
                <c:pt idx="13">
                  <c:v>1487</c:v>
                </c:pt>
                <c:pt idx="14">
                  <c:v>64016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10-45D8-940C-9FFB46B76DFD}"/>
            </c:ext>
          </c:extLst>
        </c:ser>
        <c:ser>
          <c:idx val="1"/>
          <c:order val="1"/>
          <c:tx>
            <c:v>계획</c:v>
          </c:tx>
          <c:cat>
            <c:strRef>
              <c:f>'04'!$D$6:$D$20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'04'!$J$6:$J$20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1392</c:v>
                </c:pt>
                <c:pt idx="3">
                  <c:v>2902</c:v>
                </c:pt>
                <c:pt idx="4">
                  <c:v>6249</c:v>
                </c:pt>
                <c:pt idx="5">
                  <c:v>291</c:v>
                </c:pt>
                <c:pt idx="6">
                  <c:v>401</c:v>
                </c:pt>
                <c:pt idx="7">
                  <c:v>1594</c:v>
                </c:pt>
                <c:pt idx="8">
                  <c:v>3411</c:v>
                </c:pt>
                <c:pt idx="9">
                  <c:v>2517</c:v>
                </c:pt>
                <c:pt idx="10">
                  <c:v>5096</c:v>
                </c:pt>
                <c:pt idx="11">
                  <c:v>2690</c:v>
                </c:pt>
                <c:pt idx="12">
                  <c:v>1993</c:v>
                </c:pt>
                <c:pt idx="13">
                  <c:v>1487</c:v>
                </c:pt>
                <c:pt idx="14">
                  <c:v>64016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10-45D8-940C-9FFB46B76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38%</c:v>
                </c:pt>
                <c:pt idx="3">
                  <c:v>58%</c:v>
                </c:pt>
                <c:pt idx="4">
                  <c:v>79%</c:v>
                </c:pt>
                <c:pt idx="5">
                  <c:v>0%</c:v>
                </c:pt>
                <c:pt idx="6">
                  <c:v>13%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38%</c:v>
                </c:pt>
                <c:pt idx="13">
                  <c:v>33%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0.375</c:v>
                </c:pt>
                <c:pt idx="3">
                  <c:v>0.58333333333333337</c:v>
                </c:pt>
                <c:pt idx="4">
                  <c:v>0.79166666666666663</c:v>
                </c:pt>
                <c:pt idx="5">
                  <c:v>0</c:v>
                </c:pt>
                <c:pt idx="6">
                  <c:v>0.125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0.375</c:v>
                </c:pt>
                <c:pt idx="13">
                  <c:v>0.33333333333333331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05-4FC0-92E8-033F471D53D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A05-4FC0-92E8-033F471D53D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LEAD IN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'04'!$AE$6:$AE$20</c:f>
              <c:numCache>
                <c:formatCode>0%</c:formatCode>
                <c:ptCount val="15"/>
                <c:pt idx="0">
                  <c:v>0.30555555555555558</c:v>
                </c:pt>
                <c:pt idx="1">
                  <c:v>0.30555555555555558</c:v>
                </c:pt>
                <c:pt idx="2">
                  <c:v>0.30555555555555558</c:v>
                </c:pt>
                <c:pt idx="3">
                  <c:v>0.30555555555555558</c:v>
                </c:pt>
                <c:pt idx="4">
                  <c:v>0.30555555555555558</c:v>
                </c:pt>
                <c:pt idx="5">
                  <c:v>0.30555555555555558</c:v>
                </c:pt>
                <c:pt idx="6">
                  <c:v>0.30555555555555558</c:v>
                </c:pt>
                <c:pt idx="7">
                  <c:v>0.30555555555555558</c:v>
                </c:pt>
                <c:pt idx="8">
                  <c:v>0.30555555555555558</c:v>
                </c:pt>
                <c:pt idx="9">
                  <c:v>0.30555555555555558</c:v>
                </c:pt>
                <c:pt idx="10">
                  <c:v>0.30555555555555558</c:v>
                </c:pt>
                <c:pt idx="11">
                  <c:v>0.30555555555555558</c:v>
                </c:pt>
                <c:pt idx="12">
                  <c:v>0.30555555555555558</c:v>
                </c:pt>
                <c:pt idx="13">
                  <c:v>0.30555555555555558</c:v>
                </c:pt>
                <c:pt idx="14">
                  <c:v>0.30555555555555558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05-4FC0-92E8-033F471D5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7AE-44F6-BE3D-C58DFBF9A7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AE-44F6-BE3D-C58DFBF9A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7AE-44F6-BE3D-C58DFBF9A74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AE-44F6-BE3D-C58DFBF9A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2">
                  <c:v>945</c:v>
                </c:pt>
                <c:pt idx="3">
                  <c:v>2784</c:v>
                </c:pt>
                <c:pt idx="4">
                  <c:v>6681</c:v>
                </c:pt>
                <c:pt idx="5">
                  <c:v>677</c:v>
                </c:pt>
                <c:pt idx="6">
                  <c:v>3155</c:v>
                </c:pt>
                <c:pt idx="7">
                  <c:v>720</c:v>
                </c:pt>
                <c:pt idx="10">
                  <c:v>5101</c:v>
                </c:pt>
                <c:pt idx="11">
                  <c:v>713</c:v>
                </c:pt>
                <c:pt idx="12">
                  <c:v>544</c:v>
                </c:pt>
                <c:pt idx="13">
                  <c:v>532</c:v>
                </c:pt>
                <c:pt idx="14">
                  <c:v>73208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93-4BE8-842F-8A26248AD7C2}"/>
            </c:ext>
          </c:extLst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945</c:v>
                </c:pt>
                <c:pt idx="3">
                  <c:v>2784</c:v>
                </c:pt>
                <c:pt idx="4">
                  <c:v>6681</c:v>
                </c:pt>
                <c:pt idx="5">
                  <c:v>677</c:v>
                </c:pt>
                <c:pt idx="6">
                  <c:v>3155</c:v>
                </c:pt>
                <c:pt idx="7">
                  <c:v>720</c:v>
                </c:pt>
                <c:pt idx="8">
                  <c:v>3411</c:v>
                </c:pt>
                <c:pt idx="9">
                  <c:v>2517</c:v>
                </c:pt>
                <c:pt idx="10">
                  <c:v>5101</c:v>
                </c:pt>
                <c:pt idx="11">
                  <c:v>713</c:v>
                </c:pt>
                <c:pt idx="12">
                  <c:v>544</c:v>
                </c:pt>
                <c:pt idx="13">
                  <c:v>532</c:v>
                </c:pt>
                <c:pt idx="14">
                  <c:v>73208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93-4BE8-842F-8A26248AD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25%</c:v>
                </c:pt>
                <c:pt idx="3">
                  <c:v>63%</c:v>
                </c:pt>
                <c:pt idx="4">
                  <c:v>92%</c:v>
                </c:pt>
                <c:pt idx="5">
                  <c:v>17%</c:v>
                </c:pt>
                <c:pt idx="6">
                  <c:v>71%</c:v>
                </c:pt>
                <c:pt idx="7">
                  <c:v>25%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21%</c:v>
                </c:pt>
                <c:pt idx="12">
                  <c:v>17%</c:v>
                </c:pt>
                <c:pt idx="13">
                  <c:v>17%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0.625</c:v>
                </c:pt>
                <c:pt idx="4">
                  <c:v>0.91666666666666663</c:v>
                </c:pt>
                <c:pt idx="5">
                  <c:v>0.16666666666666666</c:v>
                </c:pt>
                <c:pt idx="6">
                  <c:v>0.70833333333333337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0.20833333333333334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C5-4FE5-952D-B72DAF43876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4C5-4FE5-952D-B72DAF43876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0.36388888888888893</c:v>
                </c:pt>
                <c:pt idx="1">
                  <c:v>0.36388888888888893</c:v>
                </c:pt>
                <c:pt idx="2">
                  <c:v>0.36388888888888893</c:v>
                </c:pt>
                <c:pt idx="3">
                  <c:v>0.36388888888888893</c:v>
                </c:pt>
                <c:pt idx="4">
                  <c:v>0.36388888888888893</c:v>
                </c:pt>
                <c:pt idx="5">
                  <c:v>0.36388888888888893</c:v>
                </c:pt>
                <c:pt idx="6">
                  <c:v>0.36388888888888893</c:v>
                </c:pt>
                <c:pt idx="7">
                  <c:v>0.36388888888888893</c:v>
                </c:pt>
                <c:pt idx="8">
                  <c:v>0.36388888888888893</c:v>
                </c:pt>
                <c:pt idx="9">
                  <c:v>0.36388888888888893</c:v>
                </c:pt>
                <c:pt idx="10">
                  <c:v>0.36388888888888893</c:v>
                </c:pt>
                <c:pt idx="11">
                  <c:v>0.36388888888888893</c:v>
                </c:pt>
                <c:pt idx="12">
                  <c:v>0.36388888888888893</c:v>
                </c:pt>
                <c:pt idx="13">
                  <c:v>0.36388888888888893</c:v>
                </c:pt>
                <c:pt idx="14">
                  <c:v>0.36388888888888893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C5-4FE5-952D-B72DAF438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2">
                  <c:v>945</c:v>
                </c:pt>
                <c:pt idx="3">
                  <c:v>2784</c:v>
                </c:pt>
                <c:pt idx="4">
                  <c:v>6681</c:v>
                </c:pt>
                <c:pt idx="5">
                  <c:v>677</c:v>
                </c:pt>
                <c:pt idx="6">
                  <c:v>3155</c:v>
                </c:pt>
                <c:pt idx="7">
                  <c:v>720</c:v>
                </c:pt>
                <c:pt idx="10">
                  <c:v>5101</c:v>
                </c:pt>
                <c:pt idx="11">
                  <c:v>713</c:v>
                </c:pt>
                <c:pt idx="12">
                  <c:v>544</c:v>
                </c:pt>
                <c:pt idx="13">
                  <c:v>532</c:v>
                </c:pt>
                <c:pt idx="14">
                  <c:v>73208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5D-4056-9E61-FBDEC11C29EB}"/>
            </c:ext>
          </c:extLst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945</c:v>
                </c:pt>
                <c:pt idx="3">
                  <c:v>2784</c:v>
                </c:pt>
                <c:pt idx="4">
                  <c:v>6681</c:v>
                </c:pt>
                <c:pt idx="5">
                  <c:v>677</c:v>
                </c:pt>
                <c:pt idx="6">
                  <c:v>3155</c:v>
                </c:pt>
                <c:pt idx="7">
                  <c:v>720</c:v>
                </c:pt>
                <c:pt idx="8">
                  <c:v>3411</c:v>
                </c:pt>
                <c:pt idx="9">
                  <c:v>2517</c:v>
                </c:pt>
                <c:pt idx="10">
                  <c:v>5101</c:v>
                </c:pt>
                <c:pt idx="11">
                  <c:v>713</c:v>
                </c:pt>
                <c:pt idx="12">
                  <c:v>544</c:v>
                </c:pt>
                <c:pt idx="13">
                  <c:v>532</c:v>
                </c:pt>
                <c:pt idx="14">
                  <c:v>73208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5D-4056-9E61-FBDEC11C2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25%</c:v>
                </c:pt>
                <c:pt idx="3">
                  <c:v>63%</c:v>
                </c:pt>
                <c:pt idx="4">
                  <c:v>92%</c:v>
                </c:pt>
                <c:pt idx="5">
                  <c:v>17%</c:v>
                </c:pt>
                <c:pt idx="6">
                  <c:v>71%</c:v>
                </c:pt>
                <c:pt idx="7">
                  <c:v>25%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21%</c:v>
                </c:pt>
                <c:pt idx="12">
                  <c:v>17%</c:v>
                </c:pt>
                <c:pt idx="13">
                  <c:v>17%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0.625</c:v>
                </c:pt>
                <c:pt idx="4">
                  <c:v>0.91666666666666663</c:v>
                </c:pt>
                <c:pt idx="5">
                  <c:v>0.16666666666666666</c:v>
                </c:pt>
                <c:pt idx="6">
                  <c:v>0.70833333333333337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0.20833333333333334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6-401A-9A85-A8D41166F76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16-401A-9A85-A8D41166F76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0.36388888888888893</c:v>
                </c:pt>
                <c:pt idx="1">
                  <c:v>0.36388888888888893</c:v>
                </c:pt>
                <c:pt idx="2">
                  <c:v>0.36388888888888893</c:v>
                </c:pt>
                <c:pt idx="3">
                  <c:v>0.36388888888888893</c:v>
                </c:pt>
                <c:pt idx="4">
                  <c:v>0.36388888888888893</c:v>
                </c:pt>
                <c:pt idx="5">
                  <c:v>0.36388888888888893</c:v>
                </c:pt>
                <c:pt idx="6">
                  <c:v>0.36388888888888893</c:v>
                </c:pt>
                <c:pt idx="7">
                  <c:v>0.36388888888888893</c:v>
                </c:pt>
                <c:pt idx="8">
                  <c:v>0.36388888888888893</c:v>
                </c:pt>
                <c:pt idx="9">
                  <c:v>0.36388888888888893</c:v>
                </c:pt>
                <c:pt idx="10">
                  <c:v>0.36388888888888893</c:v>
                </c:pt>
                <c:pt idx="11">
                  <c:v>0.36388888888888893</c:v>
                </c:pt>
                <c:pt idx="12">
                  <c:v>0.36388888888888893</c:v>
                </c:pt>
                <c:pt idx="13">
                  <c:v>0.36388888888888893</c:v>
                </c:pt>
                <c:pt idx="14">
                  <c:v>0.36388888888888893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16-401A-9A85-A8D41166F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7B8-43C9-B733-4613795CF3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B8-43C9-B733-4613795CF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7B8-43C9-B733-4613795CF3E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B8-43C9-B733-4613795CF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'06'!$L$6:$L$21</c:f>
              <c:numCache>
                <c:formatCode>_(* #,##0_);_(* \(#,##0\);_(* "-"_);_(@_)</c:formatCode>
                <c:ptCount val="16"/>
                <c:pt idx="2">
                  <c:v>2815</c:v>
                </c:pt>
                <c:pt idx="3">
                  <c:v>3566</c:v>
                </c:pt>
                <c:pt idx="4">
                  <c:v>2799</c:v>
                </c:pt>
                <c:pt idx="6">
                  <c:v>4199</c:v>
                </c:pt>
                <c:pt idx="8">
                  <c:v>220</c:v>
                </c:pt>
                <c:pt idx="9">
                  <c:v>1350</c:v>
                </c:pt>
                <c:pt idx="10">
                  <c:v>2916</c:v>
                </c:pt>
                <c:pt idx="12">
                  <c:v>2968</c:v>
                </c:pt>
                <c:pt idx="13">
                  <c:v>853</c:v>
                </c:pt>
                <c:pt idx="14">
                  <c:v>1918</c:v>
                </c:pt>
                <c:pt idx="15">
                  <c:v>33696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B1-4467-8B4A-F3DF40C5775A}"/>
            </c:ext>
          </c:extLst>
        </c:ser>
        <c:ser>
          <c:idx val="1"/>
          <c:order val="1"/>
          <c:tx>
            <c:v>계획</c:v>
          </c:tx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'06'!$J$6:$J$21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2815</c:v>
                </c:pt>
                <c:pt idx="3">
                  <c:v>3566</c:v>
                </c:pt>
                <c:pt idx="4">
                  <c:v>2799</c:v>
                </c:pt>
                <c:pt idx="5">
                  <c:v>677</c:v>
                </c:pt>
                <c:pt idx="6">
                  <c:v>4199</c:v>
                </c:pt>
                <c:pt idx="7">
                  <c:v>720</c:v>
                </c:pt>
                <c:pt idx="8">
                  <c:v>220</c:v>
                </c:pt>
                <c:pt idx="9">
                  <c:v>1350</c:v>
                </c:pt>
                <c:pt idx="10">
                  <c:v>2916</c:v>
                </c:pt>
                <c:pt idx="11">
                  <c:v>713</c:v>
                </c:pt>
                <c:pt idx="12">
                  <c:v>2968</c:v>
                </c:pt>
                <c:pt idx="13">
                  <c:v>853</c:v>
                </c:pt>
                <c:pt idx="14">
                  <c:v>1918</c:v>
                </c:pt>
                <c:pt idx="15">
                  <c:v>33696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B1-4467-8B4A-F3DF40C57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67%</c:v>
                </c:pt>
                <c:pt idx="3">
                  <c:v>75%</c:v>
                </c:pt>
                <c:pt idx="4">
                  <c:v>38%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17%</c:v>
                </c:pt>
                <c:pt idx="9">
                  <c:v>42%</c:v>
                </c:pt>
                <c:pt idx="10">
                  <c:v>67%</c:v>
                </c:pt>
                <c:pt idx="11">
                  <c:v>0%</c:v>
                </c:pt>
                <c:pt idx="12">
                  <c:v>63%</c:v>
                </c:pt>
                <c:pt idx="13">
                  <c:v>21%</c:v>
                </c:pt>
                <c:pt idx="14">
                  <c:v>46%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0.375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0.16666666666666666</c:v>
                </c:pt>
                <c:pt idx="9">
                  <c:v>0.41666666666666669</c:v>
                </c:pt>
                <c:pt idx="10">
                  <c:v>0.66666666666666663</c:v>
                </c:pt>
                <c:pt idx="11">
                  <c:v>0</c:v>
                </c:pt>
                <c:pt idx="12">
                  <c:v>0.625</c:v>
                </c:pt>
                <c:pt idx="13">
                  <c:v>0.20833333333333334</c:v>
                </c:pt>
                <c:pt idx="14">
                  <c:v>0.45833333333333331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FA-4863-BA38-69832368D62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1FA-4863-BA38-69832368D62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'06'!$AE$6:$AE$21</c:f>
              <c:numCache>
                <c:formatCode>0%</c:formatCode>
                <c:ptCount val="16"/>
                <c:pt idx="0">
                  <c:v>0.38611111111111102</c:v>
                </c:pt>
                <c:pt idx="1">
                  <c:v>0.38611111111111102</c:v>
                </c:pt>
                <c:pt idx="2">
                  <c:v>0.38611111111111102</c:v>
                </c:pt>
                <c:pt idx="3">
                  <c:v>0.38611111111111102</c:v>
                </c:pt>
                <c:pt idx="4">
                  <c:v>0.38611111111111102</c:v>
                </c:pt>
                <c:pt idx="5">
                  <c:v>0.38611111111111102</c:v>
                </c:pt>
                <c:pt idx="6">
                  <c:v>0.38611111111111102</c:v>
                </c:pt>
                <c:pt idx="7">
                  <c:v>0.38611111111111102</c:v>
                </c:pt>
                <c:pt idx="8">
                  <c:v>0.38611111111111102</c:v>
                </c:pt>
                <c:pt idx="9">
                  <c:v>0.38611111111111102</c:v>
                </c:pt>
                <c:pt idx="10">
                  <c:v>0.38611111111111102</c:v>
                </c:pt>
                <c:pt idx="11">
                  <c:v>0.38611111111111102</c:v>
                </c:pt>
                <c:pt idx="12">
                  <c:v>0.38611111111111102</c:v>
                </c:pt>
                <c:pt idx="13">
                  <c:v>0.38611111111111102</c:v>
                </c:pt>
                <c:pt idx="14">
                  <c:v>0.38611111111111102</c:v>
                </c:pt>
                <c:pt idx="15">
                  <c:v>0.38611111111111102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FA-4863-BA38-69832368D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'06'!$L$6:$L$21</c:f>
              <c:numCache>
                <c:formatCode>_(* #,##0_);_(* \(#,##0\);_(* "-"_);_(@_)</c:formatCode>
                <c:ptCount val="16"/>
                <c:pt idx="2">
                  <c:v>2815</c:v>
                </c:pt>
                <c:pt idx="3">
                  <c:v>3566</c:v>
                </c:pt>
                <c:pt idx="4">
                  <c:v>2799</c:v>
                </c:pt>
                <c:pt idx="6">
                  <c:v>4199</c:v>
                </c:pt>
                <c:pt idx="8">
                  <c:v>220</c:v>
                </c:pt>
                <c:pt idx="9">
                  <c:v>1350</c:v>
                </c:pt>
                <c:pt idx="10">
                  <c:v>2916</c:v>
                </c:pt>
                <c:pt idx="12">
                  <c:v>2968</c:v>
                </c:pt>
                <c:pt idx="13">
                  <c:v>853</c:v>
                </c:pt>
                <c:pt idx="14">
                  <c:v>1918</c:v>
                </c:pt>
                <c:pt idx="15">
                  <c:v>33696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3F-4BC5-9342-BDF7363E1AD1}"/>
            </c:ext>
          </c:extLst>
        </c:ser>
        <c:ser>
          <c:idx val="1"/>
          <c:order val="1"/>
          <c:tx>
            <c:v>계획</c:v>
          </c:tx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'06'!$J$6:$J$21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2815</c:v>
                </c:pt>
                <c:pt idx="3">
                  <c:v>3566</c:v>
                </c:pt>
                <c:pt idx="4">
                  <c:v>2799</c:v>
                </c:pt>
                <c:pt idx="5">
                  <c:v>677</c:v>
                </c:pt>
                <c:pt idx="6">
                  <c:v>4199</c:v>
                </c:pt>
                <c:pt idx="7">
                  <c:v>720</c:v>
                </c:pt>
                <c:pt idx="8">
                  <c:v>220</c:v>
                </c:pt>
                <c:pt idx="9">
                  <c:v>1350</c:v>
                </c:pt>
                <c:pt idx="10">
                  <c:v>2916</c:v>
                </c:pt>
                <c:pt idx="11">
                  <c:v>713</c:v>
                </c:pt>
                <c:pt idx="12">
                  <c:v>2968</c:v>
                </c:pt>
                <c:pt idx="13">
                  <c:v>853</c:v>
                </c:pt>
                <c:pt idx="14">
                  <c:v>1918</c:v>
                </c:pt>
                <c:pt idx="15">
                  <c:v>33696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3F-4BC5-9342-BDF7363E1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67%</c:v>
                </c:pt>
                <c:pt idx="3">
                  <c:v>75%</c:v>
                </c:pt>
                <c:pt idx="4">
                  <c:v>38%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17%</c:v>
                </c:pt>
                <c:pt idx="9">
                  <c:v>42%</c:v>
                </c:pt>
                <c:pt idx="10">
                  <c:v>67%</c:v>
                </c:pt>
                <c:pt idx="11">
                  <c:v>0%</c:v>
                </c:pt>
                <c:pt idx="12">
                  <c:v>63%</c:v>
                </c:pt>
                <c:pt idx="13">
                  <c:v>21%</c:v>
                </c:pt>
                <c:pt idx="14">
                  <c:v>46%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0.375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0.16666666666666666</c:v>
                </c:pt>
                <c:pt idx="9">
                  <c:v>0.41666666666666669</c:v>
                </c:pt>
                <c:pt idx="10">
                  <c:v>0.66666666666666663</c:v>
                </c:pt>
                <c:pt idx="11">
                  <c:v>0</c:v>
                </c:pt>
                <c:pt idx="12">
                  <c:v>0.625</c:v>
                </c:pt>
                <c:pt idx="13">
                  <c:v>0.20833333333333334</c:v>
                </c:pt>
                <c:pt idx="14">
                  <c:v>0.45833333333333331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BE-4B04-8401-B0A0EB626F4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8BE-4B04-8401-B0A0EB626F4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SP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'06'!$AE$6:$AE$21</c:f>
              <c:numCache>
                <c:formatCode>0%</c:formatCode>
                <c:ptCount val="16"/>
                <c:pt idx="0">
                  <c:v>0.38611111111111102</c:v>
                </c:pt>
                <c:pt idx="1">
                  <c:v>0.38611111111111102</c:v>
                </c:pt>
                <c:pt idx="2">
                  <c:v>0.38611111111111102</c:v>
                </c:pt>
                <c:pt idx="3">
                  <c:v>0.38611111111111102</c:v>
                </c:pt>
                <c:pt idx="4">
                  <c:v>0.38611111111111102</c:v>
                </c:pt>
                <c:pt idx="5">
                  <c:v>0.38611111111111102</c:v>
                </c:pt>
                <c:pt idx="6">
                  <c:v>0.38611111111111102</c:v>
                </c:pt>
                <c:pt idx="7">
                  <c:v>0.38611111111111102</c:v>
                </c:pt>
                <c:pt idx="8">
                  <c:v>0.38611111111111102</c:v>
                </c:pt>
                <c:pt idx="9">
                  <c:v>0.38611111111111102</c:v>
                </c:pt>
                <c:pt idx="10">
                  <c:v>0.38611111111111102</c:v>
                </c:pt>
                <c:pt idx="11">
                  <c:v>0.38611111111111102</c:v>
                </c:pt>
                <c:pt idx="12">
                  <c:v>0.38611111111111102</c:v>
                </c:pt>
                <c:pt idx="13">
                  <c:v>0.38611111111111102</c:v>
                </c:pt>
                <c:pt idx="14">
                  <c:v>0.38611111111111102</c:v>
                </c:pt>
                <c:pt idx="15">
                  <c:v>0.38611111111111102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BE-4B04-8401-B0A0EB626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A64-4E0A-97FE-8C72E0A30A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64-4E0A-97FE-8C72E0A30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A64-4E0A-97FE-8C72E0A30A5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64-4E0A-97FE-8C72E0A30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'07'!$D$6:$D$22</c:f>
              <c:strCache>
                <c:ptCount val="16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'07'!$L$6:$L$22</c:f>
              <c:numCache>
                <c:formatCode>_(* #,##0_);_(* \(#,##0\);_(* "-"_);_(@_)</c:formatCode>
                <c:ptCount val="17"/>
                <c:pt idx="2">
                  <c:v>4038</c:v>
                </c:pt>
                <c:pt idx="3">
                  <c:v>4110</c:v>
                </c:pt>
                <c:pt idx="4">
                  <c:v>164120</c:v>
                </c:pt>
                <c:pt idx="5">
                  <c:v>2180</c:v>
                </c:pt>
                <c:pt idx="6">
                  <c:v>2859</c:v>
                </c:pt>
                <c:pt idx="7">
                  <c:v>150</c:v>
                </c:pt>
                <c:pt idx="8">
                  <c:v>300</c:v>
                </c:pt>
                <c:pt idx="10">
                  <c:v>901</c:v>
                </c:pt>
                <c:pt idx="11">
                  <c:v>629</c:v>
                </c:pt>
                <c:pt idx="12">
                  <c:v>2222</c:v>
                </c:pt>
                <c:pt idx="14">
                  <c:v>3617</c:v>
                </c:pt>
                <c:pt idx="15">
                  <c:v>4120</c:v>
                </c:pt>
                <c:pt idx="16">
                  <c:v>46737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54-4CCE-8C51-6E97703DE178}"/>
            </c:ext>
          </c:extLst>
        </c:ser>
        <c:ser>
          <c:idx val="1"/>
          <c:order val="1"/>
          <c:tx>
            <c:v>계획</c:v>
          </c:tx>
          <c:cat>
            <c:strRef>
              <c:f>'07'!$D$6:$D$22</c:f>
              <c:strCache>
                <c:ptCount val="16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'07'!$J$6:$J$22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4038</c:v>
                </c:pt>
                <c:pt idx="3">
                  <c:v>4110</c:v>
                </c:pt>
                <c:pt idx="4">
                  <c:v>164120</c:v>
                </c:pt>
                <c:pt idx="5">
                  <c:v>2180</c:v>
                </c:pt>
                <c:pt idx="6">
                  <c:v>2859</c:v>
                </c:pt>
                <c:pt idx="7">
                  <c:v>150</c:v>
                </c:pt>
                <c:pt idx="8">
                  <c:v>300</c:v>
                </c:pt>
                <c:pt idx="9">
                  <c:v>1350</c:v>
                </c:pt>
                <c:pt idx="10">
                  <c:v>901</c:v>
                </c:pt>
                <c:pt idx="11">
                  <c:v>629</c:v>
                </c:pt>
                <c:pt idx="12">
                  <c:v>2222</c:v>
                </c:pt>
                <c:pt idx="13">
                  <c:v>713</c:v>
                </c:pt>
                <c:pt idx="14">
                  <c:v>3617</c:v>
                </c:pt>
                <c:pt idx="15">
                  <c:v>4120</c:v>
                </c:pt>
                <c:pt idx="16">
                  <c:v>46737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54-4CCE-8C51-6E97703DE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83%</c:v>
                </c:pt>
                <c:pt idx="4">
                  <c:v>96%</c:v>
                </c:pt>
                <c:pt idx="5">
                  <c:v>46%</c:v>
                </c:pt>
                <c:pt idx="6">
                  <c:v>63%</c:v>
                </c:pt>
                <c:pt idx="7">
                  <c:v>17%</c:v>
                </c:pt>
                <c:pt idx="8">
                  <c:v>21%</c:v>
                </c:pt>
                <c:pt idx="9">
                  <c:v>0%</c:v>
                </c:pt>
                <c:pt idx="10">
                  <c:v>21%</c:v>
                </c:pt>
                <c:pt idx="11">
                  <c:v>17%</c:v>
                </c:pt>
                <c:pt idx="12">
                  <c:v>46%</c:v>
                </c:pt>
                <c:pt idx="13">
                  <c:v>0%</c:v>
                </c:pt>
                <c:pt idx="14">
                  <c:v>79%</c:v>
                </c:pt>
                <c:pt idx="15">
                  <c:v>100%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'07'!$D$6:$D$22</c:f>
              <c:strCache>
                <c:ptCount val="16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'07'!$AD$6:$AD$22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0.83333333333333337</c:v>
                </c:pt>
                <c:pt idx="4">
                  <c:v>0.95833333333333337</c:v>
                </c:pt>
                <c:pt idx="5">
                  <c:v>0.45833333333333331</c:v>
                </c:pt>
                <c:pt idx="6">
                  <c:v>0.625</c:v>
                </c:pt>
                <c:pt idx="7">
                  <c:v>0.16666666666666666</c:v>
                </c:pt>
                <c:pt idx="8">
                  <c:v>0.20833333333333334</c:v>
                </c:pt>
                <c:pt idx="9">
                  <c:v>0</c:v>
                </c:pt>
                <c:pt idx="10">
                  <c:v>0.20833333333333334</c:v>
                </c:pt>
                <c:pt idx="11">
                  <c:v>0.16666666666666666</c:v>
                </c:pt>
                <c:pt idx="12">
                  <c:v>0.45833333333333331</c:v>
                </c:pt>
                <c:pt idx="13">
                  <c:v>0</c:v>
                </c:pt>
                <c:pt idx="14">
                  <c:v>0.79166666666666663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28-4C32-8F67-7B9D244E574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B28-4C32-8F67-7B9D244E574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'07'!$D$6:$D$22</c:f>
              <c:strCache>
                <c:ptCount val="16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'07'!$AE$6:$AE$22</c:f>
              <c:numCache>
                <c:formatCode>0%</c:formatCode>
                <c:ptCount val="17"/>
                <c:pt idx="0">
                  <c:v>0.51944444444444449</c:v>
                </c:pt>
                <c:pt idx="1">
                  <c:v>0.51944444444444449</c:v>
                </c:pt>
                <c:pt idx="2">
                  <c:v>0.51944444444444449</c:v>
                </c:pt>
                <c:pt idx="3">
                  <c:v>0.51944444444444449</c:v>
                </c:pt>
                <c:pt idx="4">
                  <c:v>0.51944444444444449</c:v>
                </c:pt>
                <c:pt idx="5">
                  <c:v>0.51944444444444449</c:v>
                </c:pt>
                <c:pt idx="6">
                  <c:v>0.51944444444444449</c:v>
                </c:pt>
                <c:pt idx="7">
                  <c:v>0.51944444444444449</c:v>
                </c:pt>
                <c:pt idx="8">
                  <c:v>0.51944444444444449</c:v>
                </c:pt>
                <c:pt idx="9">
                  <c:v>0.51944444444444449</c:v>
                </c:pt>
                <c:pt idx="10">
                  <c:v>0.51944444444444449</c:v>
                </c:pt>
                <c:pt idx="11">
                  <c:v>0.51944444444444449</c:v>
                </c:pt>
                <c:pt idx="12">
                  <c:v>0.51944444444444449</c:v>
                </c:pt>
                <c:pt idx="13">
                  <c:v>0.51944444444444449</c:v>
                </c:pt>
                <c:pt idx="14">
                  <c:v>0.51944444444444449</c:v>
                </c:pt>
                <c:pt idx="15">
                  <c:v>0.51944444444444449</c:v>
                </c:pt>
                <c:pt idx="16">
                  <c:v>0.51944444444444449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28-4C32-8F67-7B9D244E5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'07'!$D$6:$D$22</c:f>
              <c:strCache>
                <c:ptCount val="16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'07'!$L$6:$L$22</c:f>
              <c:numCache>
                <c:formatCode>_(* #,##0_);_(* \(#,##0\);_(* "-"_);_(@_)</c:formatCode>
                <c:ptCount val="17"/>
                <c:pt idx="2">
                  <c:v>4038</c:v>
                </c:pt>
                <c:pt idx="3">
                  <c:v>4110</c:v>
                </c:pt>
                <c:pt idx="4">
                  <c:v>164120</c:v>
                </c:pt>
                <c:pt idx="5">
                  <c:v>2180</c:v>
                </c:pt>
                <c:pt idx="6">
                  <c:v>2859</c:v>
                </c:pt>
                <c:pt idx="7">
                  <c:v>150</c:v>
                </c:pt>
                <c:pt idx="8">
                  <c:v>300</c:v>
                </c:pt>
                <c:pt idx="10">
                  <c:v>901</c:v>
                </c:pt>
                <c:pt idx="11">
                  <c:v>629</c:v>
                </c:pt>
                <c:pt idx="12">
                  <c:v>2222</c:v>
                </c:pt>
                <c:pt idx="14">
                  <c:v>3617</c:v>
                </c:pt>
                <c:pt idx="15">
                  <c:v>4120</c:v>
                </c:pt>
                <c:pt idx="16">
                  <c:v>46737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64-447B-95FF-B0144271DE21}"/>
            </c:ext>
          </c:extLst>
        </c:ser>
        <c:ser>
          <c:idx val="1"/>
          <c:order val="1"/>
          <c:tx>
            <c:v>계획</c:v>
          </c:tx>
          <c:cat>
            <c:strRef>
              <c:f>'07'!$D$6:$D$22</c:f>
              <c:strCache>
                <c:ptCount val="16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'07'!$J$6:$J$22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4038</c:v>
                </c:pt>
                <c:pt idx="3">
                  <c:v>4110</c:v>
                </c:pt>
                <c:pt idx="4">
                  <c:v>164120</c:v>
                </c:pt>
                <c:pt idx="5">
                  <c:v>2180</c:v>
                </c:pt>
                <c:pt idx="6">
                  <c:v>2859</c:v>
                </c:pt>
                <c:pt idx="7">
                  <c:v>150</c:v>
                </c:pt>
                <c:pt idx="8">
                  <c:v>300</c:v>
                </c:pt>
                <c:pt idx="9">
                  <c:v>1350</c:v>
                </c:pt>
                <c:pt idx="10">
                  <c:v>901</c:v>
                </c:pt>
                <c:pt idx="11">
                  <c:v>629</c:v>
                </c:pt>
                <c:pt idx="12">
                  <c:v>2222</c:v>
                </c:pt>
                <c:pt idx="13">
                  <c:v>713</c:v>
                </c:pt>
                <c:pt idx="14">
                  <c:v>3617</c:v>
                </c:pt>
                <c:pt idx="15">
                  <c:v>4120</c:v>
                </c:pt>
                <c:pt idx="16">
                  <c:v>46737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64-447B-95FF-B0144271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83%</c:v>
                </c:pt>
                <c:pt idx="4">
                  <c:v>96%</c:v>
                </c:pt>
                <c:pt idx="5">
                  <c:v>46%</c:v>
                </c:pt>
                <c:pt idx="6">
                  <c:v>63%</c:v>
                </c:pt>
                <c:pt idx="7">
                  <c:v>17%</c:v>
                </c:pt>
                <c:pt idx="8">
                  <c:v>21%</c:v>
                </c:pt>
                <c:pt idx="9">
                  <c:v>0%</c:v>
                </c:pt>
                <c:pt idx="10">
                  <c:v>21%</c:v>
                </c:pt>
                <c:pt idx="11">
                  <c:v>17%</c:v>
                </c:pt>
                <c:pt idx="12">
                  <c:v>46%</c:v>
                </c:pt>
                <c:pt idx="13">
                  <c:v>0%</c:v>
                </c:pt>
                <c:pt idx="14">
                  <c:v>79%</c:v>
                </c:pt>
                <c:pt idx="15">
                  <c:v>100%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'07'!$D$6:$D$22</c:f>
              <c:strCache>
                <c:ptCount val="16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'07'!$AD$6:$AD$22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0.83333333333333337</c:v>
                </c:pt>
                <c:pt idx="4">
                  <c:v>0.95833333333333337</c:v>
                </c:pt>
                <c:pt idx="5">
                  <c:v>0.45833333333333331</c:v>
                </c:pt>
                <c:pt idx="6">
                  <c:v>0.625</c:v>
                </c:pt>
                <c:pt idx="7">
                  <c:v>0.16666666666666666</c:v>
                </c:pt>
                <c:pt idx="8">
                  <c:v>0.20833333333333334</c:v>
                </c:pt>
                <c:pt idx="9">
                  <c:v>0</c:v>
                </c:pt>
                <c:pt idx="10">
                  <c:v>0.20833333333333334</c:v>
                </c:pt>
                <c:pt idx="11">
                  <c:v>0.16666666666666666</c:v>
                </c:pt>
                <c:pt idx="12">
                  <c:v>0.45833333333333331</c:v>
                </c:pt>
                <c:pt idx="13">
                  <c:v>0</c:v>
                </c:pt>
                <c:pt idx="14">
                  <c:v>0.79166666666666663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E7-44DC-BD2A-87B614EAB53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6E7-44DC-BD2A-87B614EAB5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'07'!$D$6:$D$22</c:f>
              <c:strCache>
                <c:ptCount val="16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'07'!$AE$6:$AE$22</c:f>
              <c:numCache>
                <c:formatCode>0%</c:formatCode>
                <c:ptCount val="17"/>
                <c:pt idx="0">
                  <c:v>0.51944444444444449</c:v>
                </c:pt>
                <c:pt idx="1">
                  <c:v>0.51944444444444449</c:v>
                </c:pt>
                <c:pt idx="2">
                  <c:v>0.51944444444444449</c:v>
                </c:pt>
                <c:pt idx="3">
                  <c:v>0.51944444444444449</c:v>
                </c:pt>
                <c:pt idx="4">
                  <c:v>0.51944444444444449</c:v>
                </c:pt>
                <c:pt idx="5">
                  <c:v>0.51944444444444449</c:v>
                </c:pt>
                <c:pt idx="6">
                  <c:v>0.51944444444444449</c:v>
                </c:pt>
                <c:pt idx="7">
                  <c:v>0.51944444444444449</c:v>
                </c:pt>
                <c:pt idx="8">
                  <c:v>0.51944444444444449</c:v>
                </c:pt>
                <c:pt idx="9">
                  <c:v>0.51944444444444449</c:v>
                </c:pt>
                <c:pt idx="10">
                  <c:v>0.51944444444444449</c:v>
                </c:pt>
                <c:pt idx="11">
                  <c:v>0.51944444444444449</c:v>
                </c:pt>
                <c:pt idx="12">
                  <c:v>0.51944444444444449</c:v>
                </c:pt>
                <c:pt idx="13">
                  <c:v>0.51944444444444449</c:v>
                </c:pt>
                <c:pt idx="14">
                  <c:v>0.51944444444444449</c:v>
                </c:pt>
                <c:pt idx="15">
                  <c:v>0.51944444444444449</c:v>
                </c:pt>
                <c:pt idx="16">
                  <c:v>0.51944444444444449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E7-44DC-BD2A-87B614EAB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812-4F67-817E-0937A3492D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12-4F67-817E-0937A3492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812-4F67-817E-0937A3492D4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12-4F67-817E-0937A3492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'08'!$L$6:$L$21</c:f>
              <c:numCache>
                <c:formatCode>_(* #,##0_);_(* \(#,##0\);_(* "-"_);_(@_)</c:formatCode>
                <c:ptCount val="16"/>
                <c:pt idx="2">
                  <c:v>420</c:v>
                </c:pt>
                <c:pt idx="3">
                  <c:v>4299</c:v>
                </c:pt>
                <c:pt idx="4">
                  <c:v>139600</c:v>
                </c:pt>
                <c:pt idx="5">
                  <c:v>2377</c:v>
                </c:pt>
                <c:pt idx="6">
                  <c:v>2339</c:v>
                </c:pt>
                <c:pt idx="8">
                  <c:v>650</c:v>
                </c:pt>
                <c:pt idx="9">
                  <c:v>1140</c:v>
                </c:pt>
                <c:pt idx="10">
                  <c:v>5390</c:v>
                </c:pt>
                <c:pt idx="12">
                  <c:v>2019</c:v>
                </c:pt>
                <c:pt idx="13">
                  <c:v>1915</c:v>
                </c:pt>
                <c:pt idx="14">
                  <c:v>4513</c:v>
                </c:pt>
                <c:pt idx="15">
                  <c:v>33136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1F-483D-AA19-5C338DC38C94}"/>
            </c:ext>
          </c:extLst>
        </c:ser>
        <c:ser>
          <c:idx val="1"/>
          <c:order val="1"/>
          <c:tx>
            <c:v>계획</c:v>
          </c:tx>
          <c:cat>
            <c:strRef>
              <c:f>'08'!$D$6:$D$21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'08'!$J$6:$J$21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420</c:v>
                </c:pt>
                <c:pt idx="3">
                  <c:v>4299</c:v>
                </c:pt>
                <c:pt idx="4">
                  <c:v>139600</c:v>
                </c:pt>
                <c:pt idx="5">
                  <c:v>2377</c:v>
                </c:pt>
                <c:pt idx="6">
                  <c:v>2399</c:v>
                </c:pt>
                <c:pt idx="7">
                  <c:v>150</c:v>
                </c:pt>
                <c:pt idx="8">
                  <c:v>650</c:v>
                </c:pt>
                <c:pt idx="9">
                  <c:v>1140</c:v>
                </c:pt>
                <c:pt idx="10">
                  <c:v>5390</c:v>
                </c:pt>
                <c:pt idx="11">
                  <c:v>713</c:v>
                </c:pt>
                <c:pt idx="12">
                  <c:v>2019</c:v>
                </c:pt>
                <c:pt idx="13">
                  <c:v>1915</c:v>
                </c:pt>
                <c:pt idx="14">
                  <c:v>4513</c:v>
                </c:pt>
                <c:pt idx="15">
                  <c:v>33136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1F-483D-AA19-5C338DC38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17%</c:v>
                </c:pt>
                <c:pt idx="3">
                  <c:v>92%</c:v>
                </c:pt>
                <c:pt idx="4">
                  <c:v>100%</c:v>
                </c:pt>
                <c:pt idx="5">
                  <c:v>58%</c:v>
                </c:pt>
                <c:pt idx="6">
                  <c:v>45%</c:v>
                </c:pt>
                <c:pt idx="7">
                  <c:v>0%</c:v>
                </c:pt>
                <c:pt idx="8">
                  <c:v>42%</c:v>
                </c:pt>
                <c:pt idx="9">
                  <c:v>0%</c:v>
                </c:pt>
                <c:pt idx="10">
                  <c:v>96%</c:v>
                </c:pt>
                <c:pt idx="11">
                  <c:v>0%</c:v>
                </c:pt>
                <c:pt idx="12">
                  <c:v>38%</c:v>
                </c:pt>
                <c:pt idx="13">
                  <c:v>38%</c:v>
                </c:pt>
                <c:pt idx="14">
                  <c:v>92%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0.91666666666666663</c:v>
                </c:pt>
                <c:pt idx="4">
                  <c:v>1</c:v>
                </c:pt>
                <c:pt idx="5">
                  <c:v>0.58333333333333337</c:v>
                </c:pt>
                <c:pt idx="6">
                  <c:v>0.44687022370432122</c:v>
                </c:pt>
                <c:pt idx="7">
                  <c:v>0</c:v>
                </c:pt>
                <c:pt idx="8">
                  <c:v>0.41666666666666669</c:v>
                </c:pt>
                <c:pt idx="9">
                  <c:v>0</c:v>
                </c:pt>
                <c:pt idx="10">
                  <c:v>0.95833333333333337</c:v>
                </c:pt>
                <c:pt idx="11">
                  <c:v>0</c:v>
                </c:pt>
                <c:pt idx="12">
                  <c:v>0.375</c:v>
                </c:pt>
                <c:pt idx="13">
                  <c:v>0.375</c:v>
                </c:pt>
                <c:pt idx="14">
                  <c:v>0.91666666666666663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B9-4B22-9117-AD9F5311A77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2B9-4B22-9117-AD9F5311A77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'08'!$AE$6:$AE$21</c:f>
              <c:numCache>
                <c:formatCode>0%</c:formatCode>
                <c:ptCount val="16"/>
                <c:pt idx="0">
                  <c:v>0.43812468158028811</c:v>
                </c:pt>
                <c:pt idx="1">
                  <c:v>0.43812468158028811</c:v>
                </c:pt>
                <c:pt idx="2">
                  <c:v>0.43812468158028811</c:v>
                </c:pt>
                <c:pt idx="3">
                  <c:v>0.43812468158028811</c:v>
                </c:pt>
                <c:pt idx="4">
                  <c:v>0.43812468158028811</c:v>
                </c:pt>
                <c:pt idx="5">
                  <c:v>0.43812468158028811</c:v>
                </c:pt>
                <c:pt idx="6">
                  <c:v>0.43812468158028811</c:v>
                </c:pt>
                <c:pt idx="7">
                  <c:v>0.43812468158028811</c:v>
                </c:pt>
                <c:pt idx="8">
                  <c:v>0.43812468158028811</c:v>
                </c:pt>
                <c:pt idx="9">
                  <c:v>0.43812468158028811</c:v>
                </c:pt>
                <c:pt idx="10">
                  <c:v>0.43812468158028811</c:v>
                </c:pt>
                <c:pt idx="11">
                  <c:v>0.43812468158028811</c:v>
                </c:pt>
                <c:pt idx="12">
                  <c:v>0.43812468158028811</c:v>
                </c:pt>
                <c:pt idx="13">
                  <c:v>0.43812468158028811</c:v>
                </c:pt>
                <c:pt idx="14">
                  <c:v>0.43812468158028811</c:v>
                </c:pt>
                <c:pt idx="15">
                  <c:v>0.43812468158028811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B9-4B22-9117-AD9F5311A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'08'!$L$6:$L$21</c:f>
              <c:numCache>
                <c:formatCode>_(* #,##0_);_(* \(#,##0\);_(* "-"_);_(@_)</c:formatCode>
                <c:ptCount val="16"/>
                <c:pt idx="2">
                  <c:v>420</c:v>
                </c:pt>
                <c:pt idx="3">
                  <c:v>4299</c:v>
                </c:pt>
                <c:pt idx="4">
                  <c:v>139600</c:v>
                </c:pt>
                <c:pt idx="5">
                  <c:v>2377</c:v>
                </c:pt>
                <c:pt idx="6">
                  <c:v>2339</c:v>
                </c:pt>
                <c:pt idx="8">
                  <c:v>650</c:v>
                </c:pt>
                <c:pt idx="9">
                  <c:v>1140</c:v>
                </c:pt>
                <c:pt idx="10">
                  <c:v>5390</c:v>
                </c:pt>
                <c:pt idx="12">
                  <c:v>2019</c:v>
                </c:pt>
                <c:pt idx="13">
                  <c:v>1915</c:v>
                </c:pt>
                <c:pt idx="14">
                  <c:v>4513</c:v>
                </c:pt>
                <c:pt idx="15">
                  <c:v>33136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E3-479D-9548-3E4C01445E9A}"/>
            </c:ext>
          </c:extLst>
        </c:ser>
        <c:ser>
          <c:idx val="1"/>
          <c:order val="1"/>
          <c:tx>
            <c:v>계획</c:v>
          </c:tx>
          <c:cat>
            <c:strRef>
              <c:f>'08'!$D$6:$D$21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'08'!$J$6:$J$21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420</c:v>
                </c:pt>
                <c:pt idx="3">
                  <c:v>4299</c:v>
                </c:pt>
                <c:pt idx="4">
                  <c:v>139600</c:v>
                </c:pt>
                <c:pt idx="5">
                  <c:v>2377</c:v>
                </c:pt>
                <c:pt idx="6">
                  <c:v>2399</c:v>
                </c:pt>
                <c:pt idx="7">
                  <c:v>150</c:v>
                </c:pt>
                <c:pt idx="8">
                  <c:v>650</c:v>
                </c:pt>
                <c:pt idx="9">
                  <c:v>1140</c:v>
                </c:pt>
                <c:pt idx="10">
                  <c:v>5390</c:v>
                </c:pt>
                <c:pt idx="11">
                  <c:v>713</c:v>
                </c:pt>
                <c:pt idx="12">
                  <c:v>2019</c:v>
                </c:pt>
                <c:pt idx="13">
                  <c:v>1915</c:v>
                </c:pt>
                <c:pt idx="14">
                  <c:v>4513</c:v>
                </c:pt>
                <c:pt idx="15">
                  <c:v>33136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E3-479D-9548-3E4C01445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17%</c:v>
                </c:pt>
                <c:pt idx="3">
                  <c:v>92%</c:v>
                </c:pt>
                <c:pt idx="4">
                  <c:v>100%</c:v>
                </c:pt>
                <c:pt idx="5">
                  <c:v>58%</c:v>
                </c:pt>
                <c:pt idx="6">
                  <c:v>45%</c:v>
                </c:pt>
                <c:pt idx="7">
                  <c:v>0%</c:v>
                </c:pt>
                <c:pt idx="8">
                  <c:v>42%</c:v>
                </c:pt>
                <c:pt idx="9">
                  <c:v>0%</c:v>
                </c:pt>
                <c:pt idx="10">
                  <c:v>96%</c:v>
                </c:pt>
                <c:pt idx="11">
                  <c:v>0%</c:v>
                </c:pt>
                <c:pt idx="12">
                  <c:v>38%</c:v>
                </c:pt>
                <c:pt idx="13">
                  <c:v>38%</c:v>
                </c:pt>
                <c:pt idx="14">
                  <c:v>92%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0.91666666666666663</c:v>
                </c:pt>
                <c:pt idx="4">
                  <c:v>1</c:v>
                </c:pt>
                <c:pt idx="5">
                  <c:v>0.58333333333333337</c:v>
                </c:pt>
                <c:pt idx="6">
                  <c:v>0.44687022370432122</c:v>
                </c:pt>
                <c:pt idx="7">
                  <c:v>0</c:v>
                </c:pt>
                <c:pt idx="8">
                  <c:v>0.41666666666666669</c:v>
                </c:pt>
                <c:pt idx="9">
                  <c:v>0</c:v>
                </c:pt>
                <c:pt idx="10">
                  <c:v>0.95833333333333337</c:v>
                </c:pt>
                <c:pt idx="11">
                  <c:v>0</c:v>
                </c:pt>
                <c:pt idx="12">
                  <c:v>0.375</c:v>
                </c:pt>
                <c:pt idx="13">
                  <c:v>0.375</c:v>
                </c:pt>
                <c:pt idx="14">
                  <c:v>0.91666666666666663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94-42EE-87FA-67ABB4294CC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294-42EE-87FA-67ABB4294CC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'08'!$AE$6:$AE$21</c:f>
              <c:numCache>
                <c:formatCode>0%</c:formatCode>
                <c:ptCount val="16"/>
                <c:pt idx="0">
                  <c:v>0.43812468158028811</c:v>
                </c:pt>
                <c:pt idx="1">
                  <c:v>0.43812468158028811</c:v>
                </c:pt>
                <c:pt idx="2">
                  <c:v>0.43812468158028811</c:v>
                </c:pt>
                <c:pt idx="3">
                  <c:v>0.43812468158028811</c:v>
                </c:pt>
                <c:pt idx="4">
                  <c:v>0.43812468158028811</c:v>
                </c:pt>
                <c:pt idx="5">
                  <c:v>0.43812468158028811</c:v>
                </c:pt>
                <c:pt idx="6">
                  <c:v>0.43812468158028811</c:v>
                </c:pt>
                <c:pt idx="7">
                  <c:v>0.43812468158028811</c:v>
                </c:pt>
                <c:pt idx="8">
                  <c:v>0.43812468158028811</c:v>
                </c:pt>
                <c:pt idx="9">
                  <c:v>0.43812468158028811</c:v>
                </c:pt>
                <c:pt idx="10">
                  <c:v>0.43812468158028811</c:v>
                </c:pt>
                <c:pt idx="11">
                  <c:v>0.43812468158028811</c:v>
                </c:pt>
                <c:pt idx="12">
                  <c:v>0.43812468158028811</c:v>
                </c:pt>
                <c:pt idx="13">
                  <c:v>0.43812468158028811</c:v>
                </c:pt>
                <c:pt idx="14">
                  <c:v>0.43812468158028811</c:v>
                </c:pt>
                <c:pt idx="15">
                  <c:v>0.43812468158028811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94-42EE-87FA-67ABB4294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A71-4DBE-8AA4-0DE0D221F8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1-4DBE-8AA4-0DE0D221F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A71-4DBE-8AA4-0DE0D221F87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71-4DBE-8AA4-0DE0D221F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BODY/LID</c:v>
                </c:pt>
                <c:pt idx="5">
                  <c:v>SLIDER</c:v>
                </c:pt>
                <c:pt idx="6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3">
                  <c:v>4289</c:v>
                </c:pt>
                <c:pt idx="4">
                  <c:v>2152</c:v>
                </c:pt>
                <c:pt idx="5">
                  <c:v>5493</c:v>
                </c:pt>
                <c:pt idx="6">
                  <c:v>1952</c:v>
                </c:pt>
                <c:pt idx="7">
                  <c:v>3639</c:v>
                </c:pt>
                <c:pt idx="11">
                  <c:v>5624</c:v>
                </c:pt>
                <c:pt idx="13">
                  <c:v>5043</c:v>
                </c:pt>
                <c:pt idx="14">
                  <c:v>4735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74-497C-9F92-0F54365C418D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BODY/LID</c:v>
                </c:pt>
                <c:pt idx="5">
                  <c:v>SLIDER</c:v>
                </c:pt>
                <c:pt idx="6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420</c:v>
                </c:pt>
                <c:pt idx="3">
                  <c:v>4289</c:v>
                </c:pt>
                <c:pt idx="4">
                  <c:v>2152</c:v>
                </c:pt>
                <c:pt idx="5">
                  <c:v>5493</c:v>
                </c:pt>
                <c:pt idx="6">
                  <c:v>1952</c:v>
                </c:pt>
                <c:pt idx="7">
                  <c:v>3639</c:v>
                </c:pt>
                <c:pt idx="8">
                  <c:v>500</c:v>
                </c:pt>
                <c:pt idx="9">
                  <c:v>650</c:v>
                </c:pt>
                <c:pt idx="10">
                  <c:v>1140</c:v>
                </c:pt>
                <c:pt idx="11">
                  <c:v>5624</c:v>
                </c:pt>
                <c:pt idx="12">
                  <c:v>713</c:v>
                </c:pt>
                <c:pt idx="13">
                  <c:v>5043</c:v>
                </c:pt>
                <c:pt idx="14">
                  <c:v>4735</c:v>
                </c:pt>
                <c:pt idx="15">
                  <c:v>33136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74-497C-9F92-0F54365C4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88%</c:v>
                </c:pt>
                <c:pt idx="4">
                  <c:v>42%</c:v>
                </c:pt>
                <c:pt idx="5">
                  <c:v>100%</c:v>
                </c:pt>
                <c:pt idx="6">
                  <c:v>42%</c:v>
                </c:pt>
                <c:pt idx="7">
                  <c:v>75%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92%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BODY/LID</c:v>
                </c:pt>
                <c:pt idx="5">
                  <c:v>SLIDER</c:v>
                </c:pt>
                <c:pt idx="6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0.875</c:v>
                </c:pt>
                <c:pt idx="4">
                  <c:v>0.41666666666666669</c:v>
                </c:pt>
                <c:pt idx="5">
                  <c:v>1</c:v>
                </c:pt>
                <c:pt idx="6">
                  <c:v>0.41666666666666669</c:v>
                </c:pt>
                <c:pt idx="7">
                  <c:v>0.75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0.91666666666666663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B4-4758-9659-88919D2836E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7B4-4758-9659-88919D2836E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BODY/LID</c:v>
                </c:pt>
                <c:pt idx="5">
                  <c:v>SLIDER</c:v>
                </c:pt>
                <c:pt idx="6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0.42500000000000004</c:v>
                </c:pt>
                <c:pt idx="1">
                  <c:v>0.42500000000000004</c:v>
                </c:pt>
                <c:pt idx="2">
                  <c:v>0.42500000000000004</c:v>
                </c:pt>
                <c:pt idx="3">
                  <c:v>0.42500000000000004</c:v>
                </c:pt>
                <c:pt idx="4">
                  <c:v>0.42500000000000004</c:v>
                </c:pt>
                <c:pt idx="5">
                  <c:v>0.42500000000000004</c:v>
                </c:pt>
                <c:pt idx="6">
                  <c:v>0.42500000000000004</c:v>
                </c:pt>
                <c:pt idx="7">
                  <c:v>0.42500000000000004</c:v>
                </c:pt>
                <c:pt idx="8">
                  <c:v>0.42500000000000004</c:v>
                </c:pt>
                <c:pt idx="9">
                  <c:v>0.42500000000000004</c:v>
                </c:pt>
                <c:pt idx="10">
                  <c:v>0.42500000000000004</c:v>
                </c:pt>
                <c:pt idx="11">
                  <c:v>0.42500000000000004</c:v>
                </c:pt>
                <c:pt idx="12">
                  <c:v>0.42500000000000004</c:v>
                </c:pt>
                <c:pt idx="13">
                  <c:v>0.42500000000000004</c:v>
                </c:pt>
                <c:pt idx="14">
                  <c:v>0.42500000000000004</c:v>
                </c:pt>
                <c:pt idx="15">
                  <c:v>0.42500000000000004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B4-4758-9659-88919D283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BODY/LID</c:v>
                </c:pt>
                <c:pt idx="5">
                  <c:v>SLIDER</c:v>
                </c:pt>
                <c:pt idx="6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3">
                  <c:v>4289</c:v>
                </c:pt>
                <c:pt idx="4">
                  <c:v>2152</c:v>
                </c:pt>
                <c:pt idx="5">
                  <c:v>5493</c:v>
                </c:pt>
                <c:pt idx="6">
                  <c:v>1952</c:v>
                </c:pt>
                <c:pt idx="7">
                  <c:v>3639</c:v>
                </c:pt>
                <c:pt idx="11">
                  <c:v>5624</c:v>
                </c:pt>
                <c:pt idx="13">
                  <c:v>5043</c:v>
                </c:pt>
                <c:pt idx="14">
                  <c:v>4735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32-460C-92F2-BC330F9B6A56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BODY/LID</c:v>
                </c:pt>
                <c:pt idx="5">
                  <c:v>SLIDER</c:v>
                </c:pt>
                <c:pt idx="6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420</c:v>
                </c:pt>
                <c:pt idx="3">
                  <c:v>4289</c:v>
                </c:pt>
                <c:pt idx="4">
                  <c:v>2152</c:v>
                </c:pt>
                <c:pt idx="5">
                  <c:v>5493</c:v>
                </c:pt>
                <c:pt idx="6">
                  <c:v>1952</c:v>
                </c:pt>
                <c:pt idx="7">
                  <c:v>3639</c:v>
                </c:pt>
                <c:pt idx="8">
                  <c:v>500</c:v>
                </c:pt>
                <c:pt idx="9">
                  <c:v>650</c:v>
                </c:pt>
                <c:pt idx="10">
                  <c:v>1140</c:v>
                </c:pt>
                <c:pt idx="11">
                  <c:v>5624</c:v>
                </c:pt>
                <c:pt idx="12">
                  <c:v>713</c:v>
                </c:pt>
                <c:pt idx="13">
                  <c:v>5043</c:v>
                </c:pt>
                <c:pt idx="14">
                  <c:v>4735</c:v>
                </c:pt>
                <c:pt idx="15">
                  <c:v>33136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32-460C-92F2-BC330F9B6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88%</c:v>
                </c:pt>
                <c:pt idx="4">
                  <c:v>42%</c:v>
                </c:pt>
                <c:pt idx="5">
                  <c:v>100%</c:v>
                </c:pt>
                <c:pt idx="6">
                  <c:v>42%</c:v>
                </c:pt>
                <c:pt idx="7">
                  <c:v>75%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92%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BODY/LID</c:v>
                </c:pt>
                <c:pt idx="5">
                  <c:v>SLIDER</c:v>
                </c:pt>
                <c:pt idx="6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0.875</c:v>
                </c:pt>
                <c:pt idx="4">
                  <c:v>0.41666666666666669</c:v>
                </c:pt>
                <c:pt idx="5">
                  <c:v>1</c:v>
                </c:pt>
                <c:pt idx="6">
                  <c:v>0.41666666666666669</c:v>
                </c:pt>
                <c:pt idx="7">
                  <c:v>0.75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0.91666666666666663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5E-4C0D-AABD-BF969BF524A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D5E-4C0D-AABD-BF969BF524A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BODY/LID</c:v>
                </c:pt>
                <c:pt idx="5">
                  <c:v>SLIDER</c:v>
                </c:pt>
                <c:pt idx="6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0.42500000000000004</c:v>
                </c:pt>
                <c:pt idx="1">
                  <c:v>0.42500000000000004</c:v>
                </c:pt>
                <c:pt idx="2">
                  <c:v>0.42500000000000004</c:v>
                </c:pt>
                <c:pt idx="3">
                  <c:v>0.42500000000000004</c:v>
                </c:pt>
                <c:pt idx="4">
                  <c:v>0.42500000000000004</c:v>
                </c:pt>
                <c:pt idx="5">
                  <c:v>0.42500000000000004</c:v>
                </c:pt>
                <c:pt idx="6">
                  <c:v>0.42500000000000004</c:v>
                </c:pt>
                <c:pt idx="7">
                  <c:v>0.42500000000000004</c:v>
                </c:pt>
                <c:pt idx="8">
                  <c:v>0.42500000000000004</c:v>
                </c:pt>
                <c:pt idx="9">
                  <c:v>0.42500000000000004</c:v>
                </c:pt>
                <c:pt idx="10">
                  <c:v>0.42500000000000004</c:v>
                </c:pt>
                <c:pt idx="11">
                  <c:v>0.42500000000000004</c:v>
                </c:pt>
                <c:pt idx="12">
                  <c:v>0.42500000000000004</c:v>
                </c:pt>
                <c:pt idx="13">
                  <c:v>0.42500000000000004</c:v>
                </c:pt>
                <c:pt idx="14">
                  <c:v>0.42500000000000004</c:v>
                </c:pt>
                <c:pt idx="15">
                  <c:v>0.42500000000000004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5E-4C0D-AABD-BF969BF52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CBF-4F16-8C6E-D21BC851C7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BF-4F16-8C6E-D21BC851C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CBF-4F16-8C6E-D21BC851C7E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BF-4F16-8C6E-D21BC851C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BODY/LID</c:v>
                </c:pt>
                <c:pt idx="5">
                  <c:v>SLIDER</c:v>
                </c:pt>
                <c:pt idx="6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3">
                  <c:v>1910</c:v>
                </c:pt>
                <c:pt idx="4">
                  <c:v>1613</c:v>
                </c:pt>
                <c:pt idx="5">
                  <c:v>2477</c:v>
                </c:pt>
                <c:pt idx="6">
                  <c:v>1208</c:v>
                </c:pt>
                <c:pt idx="7">
                  <c:v>774</c:v>
                </c:pt>
                <c:pt idx="10">
                  <c:v>2557</c:v>
                </c:pt>
                <c:pt idx="12">
                  <c:v>1754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71-4217-8EE1-94B99C72347A}"/>
            </c:ext>
          </c:extLst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BODY/LID</c:v>
                </c:pt>
                <c:pt idx="5">
                  <c:v>SLIDER</c:v>
                </c:pt>
                <c:pt idx="6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420</c:v>
                </c:pt>
                <c:pt idx="3">
                  <c:v>1910</c:v>
                </c:pt>
                <c:pt idx="4">
                  <c:v>1613</c:v>
                </c:pt>
                <c:pt idx="5">
                  <c:v>2477</c:v>
                </c:pt>
                <c:pt idx="6">
                  <c:v>1208</c:v>
                </c:pt>
                <c:pt idx="7">
                  <c:v>774</c:v>
                </c:pt>
                <c:pt idx="8">
                  <c:v>650</c:v>
                </c:pt>
                <c:pt idx="9">
                  <c:v>1140</c:v>
                </c:pt>
                <c:pt idx="10">
                  <c:v>2557</c:v>
                </c:pt>
                <c:pt idx="11">
                  <c:v>713</c:v>
                </c:pt>
                <c:pt idx="12">
                  <c:v>1754</c:v>
                </c:pt>
                <c:pt idx="13">
                  <c:v>4735</c:v>
                </c:pt>
                <c:pt idx="14">
                  <c:v>33136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71-4217-8EE1-94B99C723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33%</c:v>
                </c:pt>
                <c:pt idx="4">
                  <c:v>42%</c:v>
                </c:pt>
                <c:pt idx="5">
                  <c:v>42%</c:v>
                </c:pt>
                <c:pt idx="6">
                  <c:v>33%</c:v>
                </c:pt>
                <c:pt idx="7">
                  <c:v>25%</c:v>
                </c:pt>
                <c:pt idx="8">
                  <c:v>0%</c:v>
                </c:pt>
                <c:pt idx="9">
                  <c:v>0%</c:v>
                </c:pt>
                <c:pt idx="10">
                  <c:v>42%</c:v>
                </c:pt>
                <c:pt idx="11">
                  <c:v>0%</c:v>
                </c:pt>
                <c:pt idx="12">
                  <c:v>42%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BODY/LID</c:v>
                </c:pt>
                <c:pt idx="5">
                  <c:v>SLIDER</c:v>
                </c:pt>
                <c:pt idx="6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0.33333333333333331</c:v>
                </c:pt>
                <c:pt idx="4">
                  <c:v>0.41666666666666669</c:v>
                </c:pt>
                <c:pt idx="5">
                  <c:v>0.41666666666666669</c:v>
                </c:pt>
                <c:pt idx="6">
                  <c:v>0.33333333333333331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0.41666666666666669</c:v>
                </c:pt>
                <c:pt idx="11">
                  <c:v>0</c:v>
                </c:pt>
                <c:pt idx="12">
                  <c:v>0.41666666666666669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59-466B-8FEB-755F214377D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759-466B-8FEB-755F214377D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BODY/LID</c:v>
                </c:pt>
                <c:pt idx="5">
                  <c:v>SLIDER</c:v>
                </c:pt>
                <c:pt idx="6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0.17222222222222219</c:v>
                </c:pt>
                <c:pt idx="1">
                  <c:v>0.17222222222222219</c:v>
                </c:pt>
                <c:pt idx="2">
                  <c:v>0.17222222222222219</c:v>
                </c:pt>
                <c:pt idx="3">
                  <c:v>0.17222222222222219</c:v>
                </c:pt>
                <c:pt idx="4">
                  <c:v>0.17222222222222219</c:v>
                </c:pt>
                <c:pt idx="5">
                  <c:v>0.17222222222222219</c:v>
                </c:pt>
                <c:pt idx="6">
                  <c:v>0.17222222222222219</c:v>
                </c:pt>
                <c:pt idx="7">
                  <c:v>0.17222222222222219</c:v>
                </c:pt>
                <c:pt idx="8">
                  <c:v>0.17222222222222219</c:v>
                </c:pt>
                <c:pt idx="9">
                  <c:v>0.17222222222222219</c:v>
                </c:pt>
                <c:pt idx="10">
                  <c:v>0.17222222222222219</c:v>
                </c:pt>
                <c:pt idx="11">
                  <c:v>0.17222222222222219</c:v>
                </c:pt>
                <c:pt idx="12">
                  <c:v>0.17222222222222219</c:v>
                </c:pt>
                <c:pt idx="13">
                  <c:v>0.17222222222222219</c:v>
                </c:pt>
                <c:pt idx="14">
                  <c:v>0.17222222222222219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59-466B-8FEB-755F21437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BODY/LID</c:v>
                </c:pt>
                <c:pt idx="5">
                  <c:v>SLIDER</c:v>
                </c:pt>
                <c:pt idx="6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3">
                  <c:v>1910</c:v>
                </c:pt>
                <c:pt idx="4">
                  <c:v>1613</c:v>
                </c:pt>
                <c:pt idx="5">
                  <c:v>2477</c:v>
                </c:pt>
                <c:pt idx="6">
                  <c:v>1208</c:v>
                </c:pt>
                <c:pt idx="7">
                  <c:v>774</c:v>
                </c:pt>
                <c:pt idx="10">
                  <c:v>2557</c:v>
                </c:pt>
                <c:pt idx="12">
                  <c:v>1754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44-4E1A-8A5F-052E4791C8EF}"/>
            </c:ext>
          </c:extLst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BODY/LID</c:v>
                </c:pt>
                <c:pt idx="5">
                  <c:v>SLIDER</c:v>
                </c:pt>
                <c:pt idx="6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420</c:v>
                </c:pt>
                <c:pt idx="3">
                  <c:v>1910</c:v>
                </c:pt>
                <c:pt idx="4">
                  <c:v>1613</c:v>
                </c:pt>
                <c:pt idx="5">
                  <c:v>2477</c:v>
                </c:pt>
                <c:pt idx="6">
                  <c:v>1208</c:v>
                </c:pt>
                <c:pt idx="7">
                  <c:v>774</c:v>
                </c:pt>
                <c:pt idx="8">
                  <c:v>650</c:v>
                </c:pt>
                <c:pt idx="9">
                  <c:v>1140</c:v>
                </c:pt>
                <c:pt idx="10">
                  <c:v>2557</c:v>
                </c:pt>
                <c:pt idx="11">
                  <c:v>713</c:v>
                </c:pt>
                <c:pt idx="12">
                  <c:v>1754</c:v>
                </c:pt>
                <c:pt idx="13">
                  <c:v>4735</c:v>
                </c:pt>
                <c:pt idx="14">
                  <c:v>33136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44-4E1A-8A5F-052E4791C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33%</c:v>
                </c:pt>
                <c:pt idx="4">
                  <c:v>42%</c:v>
                </c:pt>
                <c:pt idx="5">
                  <c:v>42%</c:v>
                </c:pt>
                <c:pt idx="6">
                  <c:v>33%</c:v>
                </c:pt>
                <c:pt idx="7">
                  <c:v>25%</c:v>
                </c:pt>
                <c:pt idx="8">
                  <c:v>0%</c:v>
                </c:pt>
                <c:pt idx="9">
                  <c:v>0%</c:v>
                </c:pt>
                <c:pt idx="10">
                  <c:v>42%</c:v>
                </c:pt>
                <c:pt idx="11">
                  <c:v>0%</c:v>
                </c:pt>
                <c:pt idx="12">
                  <c:v>42%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BODY/LID</c:v>
                </c:pt>
                <c:pt idx="5">
                  <c:v>SLIDER</c:v>
                </c:pt>
                <c:pt idx="6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0.33333333333333331</c:v>
                </c:pt>
                <c:pt idx="4">
                  <c:v>0.41666666666666669</c:v>
                </c:pt>
                <c:pt idx="5">
                  <c:v>0.41666666666666669</c:v>
                </c:pt>
                <c:pt idx="6">
                  <c:v>0.33333333333333331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0.41666666666666669</c:v>
                </c:pt>
                <c:pt idx="11">
                  <c:v>0</c:v>
                </c:pt>
                <c:pt idx="12">
                  <c:v>0.41666666666666669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C0-43D6-842D-C1C4A9D5691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6C0-43D6-842D-C1C4A9D5691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M2</c:v>
                </c:pt>
                <c:pt idx="3">
                  <c:v>ACTUATOR</c:v>
                </c:pt>
                <c:pt idx="4">
                  <c:v>BODY/LID</c:v>
                </c:pt>
                <c:pt idx="5">
                  <c:v>SLIDER</c:v>
                </c:pt>
                <c:pt idx="6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0.17222222222222219</c:v>
                </c:pt>
                <c:pt idx="1">
                  <c:v>0.17222222222222219</c:v>
                </c:pt>
                <c:pt idx="2">
                  <c:v>0.17222222222222219</c:v>
                </c:pt>
                <c:pt idx="3">
                  <c:v>0.17222222222222219</c:v>
                </c:pt>
                <c:pt idx="4">
                  <c:v>0.17222222222222219</c:v>
                </c:pt>
                <c:pt idx="5">
                  <c:v>0.17222222222222219</c:v>
                </c:pt>
                <c:pt idx="6">
                  <c:v>0.17222222222222219</c:v>
                </c:pt>
                <c:pt idx="7">
                  <c:v>0.17222222222222219</c:v>
                </c:pt>
                <c:pt idx="8">
                  <c:v>0.17222222222222219</c:v>
                </c:pt>
                <c:pt idx="9">
                  <c:v>0.17222222222222219</c:v>
                </c:pt>
                <c:pt idx="10">
                  <c:v>0.17222222222222219</c:v>
                </c:pt>
                <c:pt idx="11">
                  <c:v>0.17222222222222219</c:v>
                </c:pt>
                <c:pt idx="12">
                  <c:v>0.17222222222222219</c:v>
                </c:pt>
                <c:pt idx="13">
                  <c:v>0.17222222222222219</c:v>
                </c:pt>
                <c:pt idx="14">
                  <c:v>0.17222222222222219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C0-43D6-842D-C1C4A9D56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D15-488A-B438-8819C377A3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15-488A-B438-8819C377A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D15-488A-B438-8819C377A3A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88A-B438-8819C377A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'11'!$D$6:$D$21</c:f>
              <c:strCache>
                <c:ptCount val="15"/>
                <c:pt idx="1">
                  <c:v>88P</c:v>
                </c:pt>
                <c:pt idx="2">
                  <c:v>plunger</c:v>
                </c:pt>
                <c:pt idx="3">
                  <c:v>ACTUATOR</c:v>
                </c:pt>
                <c:pt idx="4">
                  <c:v>BODY/LID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'11'!$L$6:$L$21</c:f>
              <c:numCache>
                <c:formatCode>_(* #,##0_);_(* \(#,##0\);_(* "-"_);_(@_)</c:formatCode>
                <c:ptCount val="16"/>
                <c:pt idx="2">
                  <c:v>2483</c:v>
                </c:pt>
                <c:pt idx="3">
                  <c:v>4734</c:v>
                </c:pt>
                <c:pt idx="4">
                  <c:v>516</c:v>
                </c:pt>
                <c:pt idx="5">
                  <c:v>1002</c:v>
                </c:pt>
                <c:pt idx="6">
                  <c:v>3963</c:v>
                </c:pt>
                <c:pt idx="7">
                  <c:v>2933</c:v>
                </c:pt>
                <c:pt idx="8">
                  <c:v>3208</c:v>
                </c:pt>
                <c:pt idx="13">
                  <c:v>4429</c:v>
                </c:pt>
                <c:pt idx="14">
                  <c:v>3961</c:v>
                </c:pt>
                <c:pt idx="15">
                  <c:v>21774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3F-4925-9760-65F416F3622E}"/>
            </c:ext>
          </c:extLst>
        </c:ser>
        <c:ser>
          <c:idx val="1"/>
          <c:order val="1"/>
          <c:tx>
            <c:v>계획</c:v>
          </c:tx>
          <c:cat>
            <c:strRef>
              <c:f>'11'!$D$6:$D$21</c:f>
              <c:strCache>
                <c:ptCount val="15"/>
                <c:pt idx="1">
                  <c:v>88P</c:v>
                </c:pt>
                <c:pt idx="2">
                  <c:v>plunger</c:v>
                </c:pt>
                <c:pt idx="3">
                  <c:v>ACTUATOR</c:v>
                </c:pt>
                <c:pt idx="4">
                  <c:v>BODY/LID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'11'!$J$6:$J$21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2483</c:v>
                </c:pt>
                <c:pt idx="3">
                  <c:v>4734</c:v>
                </c:pt>
                <c:pt idx="4">
                  <c:v>516</c:v>
                </c:pt>
                <c:pt idx="5">
                  <c:v>1002</c:v>
                </c:pt>
                <c:pt idx="6">
                  <c:v>3963</c:v>
                </c:pt>
                <c:pt idx="7">
                  <c:v>2933</c:v>
                </c:pt>
                <c:pt idx="8">
                  <c:v>3208</c:v>
                </c:pt>
                <c:pt idx="9">
                  <c:v>650</c:v>
                </c:pt>
                <c:pt idx="10">
                  <c:v>1140</c:v>
                </c:pt>
                <c:pt idx="11">
                  <c:v>2557</c:v>
                </c:pt>
                <c:pt idx="12">
                  <c:v>713</c:v>
                </c:pt>
                <c:pt idx="13">
                  <c:v>4429</c:v>
                </c:pt>
                <c:pt idx="14">
                  <c:v>3961</c:v>
                </c:pt>
                <c:pt idx="15">
                  <c:v>21774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3F-4925-9760-65F416F36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54%</c:v>
                </c:pt>
                <c:pt idx="3">
                  <c:v>88%</c:v>
                </c:pt>
                <c:pt idx="4">
                  <c:v>13%</c:v>
                </c:pt>
                <c:pt idx="5">
                  <c:v>25%</c:v>
                </c:pt>
                <c:pt idx="6">
                  <c:v>79%</c:v>
                </c:pt>
                <c:pt idx="7">
                  <c:v>71%</c:v>
                </c:pt>
                <c:pt idx="8">
                  <c:v>67%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88%</c:v>
                </c:pt>
                <c:pt idx="14">
                  <c:v>92%</c:v>
                </c:pt>
                <c:pt idx="15">
                  <c:v>79%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1">
                  <c:v>88P</c:v>
                </c:pt>
                <c:pt idx="2">
                  <c:v>plunger</c:v>
                </c:pt>
                <c:pt idx="3">
                  <c:v>ACTUATOR</c:v>
                </c:pt>
                <c:pt idx="4">
                  <c:v>BODY/LID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0.54166666666666663</c:v>
                </c:pt>
                <c:pt idx="3">
                  <c:v>0.875</c:v>
                </c:pt>
                <c:pt idx="4">
                  <c:v>0.125</c:v>
                </c:pt>
                <c:pt idx="5">
                  <c:v>0.25</c:v>
                </c:pt>
                <c:pt idx="6">
                  <c:v>0.79166666666666663</c:v>
                </c:pt>
                <c:pt idx="7">
                  <c:v>0.70833333333333337</c:v>
                </c:pt>
                <c:pt idx="8">
                  <c:v>0.66666666666666663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0.875</c:v>
                </c:pt>
                <c:pt idx="14">
                  <c:v>0.91666666666666663</c:v>
                </c:pt>
                <c:pt idx="15">
                  <c:v>0.79166666666666663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3F-4148-8F44-3673B60A29C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83F-4148-8F44-3673B60A29C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1">
                  <c:v>88P</c:v>
                </c:pt>
                <c:pt idx="2">
                  <c:v>plunger</c:v>
                </c:pt>
                <c:pt idx="3">
                  <c:v>ACTUATOR</c:v>
                </c:pt>
                <c:pt idx="4">
                  <c:v>BODY/LID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'11'!$AE$6:$AE$21</c:f>
              <c:numCache>
                <c:formatCode>0%</c:formatCode>
                <c:ptCount val="16"/>
                <c:pt idx="0">
                  <c:v>0.43611111111111112</c:v>
                </c:pt>
                <c:pt idx="1">
                  <c:v>0.43611111111111112</c:v>
                </c:pt>
                <c:pt idx="2">
                  <c:v>0.43611111111111112</c:v>
                </c:pt>
                <c:pt idx="3">
                  <c:v>0.43611111111111112</c:v>
                </c:pt>
                <c:pt idx="4">
                  <c:v>0.43611111111111112</c:v>
                </c:pt>
                <c:pt idx="5">
                  <c:v>0.43611111111111112</c:v>
                </c:pt>
                <c:pt idx="6">
                  <c:v>0.43611111111111112</c:v>
                </c:pt>
                <c:pt idx="7">
                  <c:v>0.43611111111111112</c:v>
                </c:pt>
                <c:pt idx="8">
                  <c:v>0.43611111111111112</c:v>
                </c:pt>
                <c:pt idx="9">
                  <c:v>0.43611111111111112</c:v>
                </c:pt>
                <c:pt idx="10">
                  <c:v>0.43611111111111112</c:v>
                </c:pt>
                <c:pt idx="11">
                  <c:v>0.43611111111111112</c:v>
                </c:pt>
                <c:pt idx="12">
                  <c:v>0.43611111111111112</c:v>
                </c:pt>
                <c:pt idx="13">
                  <c:v>0.43611111111111112</c:v>
                </c:pt>
                <c:pt idx="14">
                  <c:v>0.43611111111111112</c:v>
                </c:pt>
                <c:pt idx="15">
                  <c:v>0.43611111111111112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3F-4148-8F44-3673B60A2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'11'!$D$6:$D$21</c:f>
              <c:strCache>
                <c:ptCount val="15"/>
                <c:pt idx="1">
                  <c:v>88P</c:v>
                </c:pt>
                <c:pt idx="2">
                  <c:v>plunger</c:v>
                </c:pt>
                <c:pt idx="3">
                  <c:v>ACTUATOR</c:v>
                </c:pt>
                <c:pt idx="4">
                  <c:v>BODY/LID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'11'!$L$6:$L$21</c:f>
              <c:numCache>
                <c:formatCode>_(* #,##0_);_(* \(#,##0\);_(* "-"_);_(@_)</c:formatCode>
                <c:ptCount val="16"/>
                <c:pt idx="2">
                  <c:v>2483</c:v>
                </c:pt>
                <c:pt idx="3">
                  <c:v>4734</c:v>
                </c:pt>
                <c:pt idx="4">
                  <c:v>516</c:v>
                </c:pt>
                <c:pt idx="5">
                  <c:v>1002</c:v>
                </c:pt>
                <c:pt idx="6">
                  <c:v>3963</c:v>
                </c:pt>
                <c:pt idx="7">
                  <c:v>2933</c:v>
                </c:pt>
                <c:pt idx="8">
                  <c:v>3208</c:v>
                </c:pt>
                <c:pt idx="13">
                  <c:v>4429</c:v>
                </c:pt>
                <c:pt idx="14">
                  <c:v>3961</c:v>
                </c:pt>
                <c:pt idx="15">
                  <c:v>21774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A0-4705-B3DB-9C68686B78C6}"/>
            </c:ext>
          </c:extLst>
        </c:ser>
        <c:ser>
          <c:idx val="1"/>
          <c:order val="1"/>
          <c:tx>
            <c:v>계획</c:v>
          </c:tx>
          <c:cat>
            <c:strRef>
              <c:f>'11'!$D$6:$D$21</c:f>
              <c:strCache>
                <c:ptCount val="15"/>
                <c:pt idx="1">
                  <c:v>88P</c:v>
                </c:pt>
                <c:pt idx="2">
                  <c:v>plunger</c:v>
                </c:pt>
                <c:pt idx="3">
                  <c:v>ACTUATOR</c:v>
                </c:pt>
                <c:pt idx="4">
                  <c:v>BODY/LID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'11'!$J$6:$J$21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2483</c:v>
                </c:pt>
                <c:pt idx="3">
                  <c:v>4734</c:v>
                </c:pt>
                <c:pt idx="4">
                  <c:v>516</c:v>
                </c:pt>
                <c:pt idx="5">
                  <c:v>1002</c:v>
                </c:pt>
                <c:pt idx="6">
                  <c:v>3963</c:v>
                </c:pt>
                <c:pt idx="7">
                  <c:v>2933</c:v>
                </c:pt>
                <c:pt idx="8">
                  <c:v>3208</c:v>
                </c:pt>
                <c:pt idx="9">
                  <c:v>650</c:v>
                </c:pt>
                <c:pt idx="10">
                  <c:v>1140</c:v>
                </c:pt>
                <c:pt idx="11">
                  <c:v>2557</c:v>
                </c:pt>
                <c:pt idx="12">
                  <c:v>713</c:v>
                </c:pt>
                <c:pt idx="13">
                  <c:v>4429</c:v>
                </c:pt>
                <c:pt idx="14">
                  <c:v>3961</c:v>
                </c:pt>
                <c:pt idx="15">
                  <c:v>21774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A0-4705-B3DB-9C68686B7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54%</c:v>
                </c:pt>
                <c:pt idx="3">
                  <c:v>88%</c:v>
                </c:pt>
                <c:pt idx="4">
                  <c:v>13%</c:v>
                </c:pt>
                <c:pt idx="5">
                  <c:v>25%</c:v>
                </c:pt>
                <c:pt idx="6">
                  <c:v>79%</c:v>
                </c:pt>
                <c:pt idx="7">
                  <c:v>71%</c:v>
                </c:pt>
                <c:pt idx="8">
                  <c:v>67%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88%</c:v>
                </c:pt>
                <c:pt idx="14">
                  <c:v>92%</c:v>
                </c:pt>
                <c:pt idx="15">
                  <c:v>79%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1">
                  <c:v>88P</c:v>
                </c:pt>
                <c:pt idx="2">
                  <c:v>plunger</c:v>
                </c:pt>
                <c:pt idx="3">
                  <c:v>ACTUATOR</c:v>
                </c:pt>
                <c:pt idx="4">
                  <c:v>BODY/LID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0.54166666666666663</c:v>
                </c:pt>
                <c:pt idx="3">
                  <c:v>0.875</c:v>
                </c:pt>
                <c:pt idx="4">
                  <c:v>0.125</c:v>
                </c:pt>
                <c:pt idx="5">
                  <c:v>0.25</c:v>
                </c:pt>
                <c:pt idx="6">
                  <c:v>0.79166666666666663</c:v>
                </c:pt>
                <c:pt idx="7">
                  <c:v>0.70833333333333337</c:v>
                </c:pt>
                <c:pt idx="8">
                  <c:v>0.66666666666666663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0.875</c:v>
                </c:pt>
                <c:pt idx="14">
                  <c:v>0.91666666666666663</c:v>
                </c:pt>
                <c:pt idx="15">
                  <c:v>0.79166666666666663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80-48BA-A842-4B4863F476A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B80-48BA-A842-4B4863F476A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1">
                  <c:v>88P</c:v>
                </c:pt>
                <c:pt idx="2">
                  <c:v>plunger</c:v>
                </c:pt>
                <c:pt idx="3">
                  <c:v>ACTUATOR</c:v>
                </c:pt>
                <c:pt idx="4">
                  <c:v>BODY/LID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'11'!$AE$6:$AE$21</c:f>
              <c:numCache>
                <c:formatCode>0%</c:formatCode>
                <c:ptCount val="16"/>
                <c:pt idx="0">
                  <c:v>0.43611111111111112</c:v>
                </c:pt>
                <c:pt idx="1">
                  <c:v>0.43611111111111112</c:v>
                </c:pt>
                <c:pt idx="2">
                  <c:v>0.43611111111111112</c:v>
                </c:pt>
                <c:pt idx="3">
                  <c:v>0.43611111111111112</c:v>
                </c:pt>
                <c:pt idx="4">
                  <c:v>0.43611111111111112</c:v>
                </c:pt>
                <c:pt idx="5">
                  <c:v>0.43611111111111112</c:v>
                </c:pt>
                <c:pt idx="6">
                  <c:v>0.43611111111111112</c:v>
                </c:pt>
                <c:pt idx="7">
                  <c:v>0.43611111111111112</c:v>
                </c:pt>
                <c:pt idx="8">
                  <c:v>0.43611111111111112</c:v>
                </c:pt>
                <c:pt idx="9">
                  <c:v>0.43611111111111112</c:v>
                </c:pt>
                <c:pt idx="10">
                  <c:v>0.43611111111111112</c:v>
                </c:pt>
                <c:pt idx="11">
                  <c:v>0.43611111111111112</c:v>
                </c:pt>
                <c:pt idx="12">
                  <c:v>0.43611111111111112</c:v>
                </c:pt>
                <c:pt idx="13">
                  <c:v>0.43611111111111112</c:v>
                </c:pt>
                <c:pt idx="14">
                  <c:v>0.43611111111111112</c:v>
                </c:pt>
                <c:pt idx="15">
                  <c:v>0.43611111111111112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80-48BA-A842-4B4863F47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EAF-4276-9029-16F78FF30B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AF-4276-9029-16F78FF30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AF-4276-9029-16F78FF30BC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AF-4276-9029-16F78FF30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LID/BASE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10">
                  <c:v>IC GUIDE</c:v>
                </c:pt>
                <c:pt idx="11">
                  <c:v>plunger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'12'!$L$6:$L$21</c:f>
              <c:numCache>
                <c:formatCode>_(* #,##0_);_(* \(#,##0\);_(* "-"_);_(@_)</c:formatCode>
                <c:ptCount val="16"/>
                <c:pt idx="2">
                  <c:v>1111</c:v>
                </c:pt>
                <c:pt idx="3">
                  <c:v>2562</c:v>
                </c:pt>
                <c:pt idx="4">
                  <c:v>4854</c:v>
                </c:pt>
                <c:pt idx="6">
                  <c:v>2705</c:v>
                </c:pt>
                <c:pt idx="7">
                  <c:v>3415</c:v>
                </c:pt>
                <c:pt idx="10">
                  <c:v>3449</c:v>
                </c:pt>
                <c:pt idx="11">
                  <c:v>2095</c:v>
                </c:pt>
                <c:pt idx="13">
                  <c:v>1736</c:v>
                </c:pt>
                <c:pt idx="14">
                  <c:v>4146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8A-449F-8650-0BE1FAF2D1FA}"/>
            </c:ext>
          </c:extLst>
        </c:ser>
        <c:ser>
          <c:idx val="1"/>
          <c:order val="1"/>
          <c:tx>
            <c:v>계획</c:v>
          </c:tx>
          <c:cat>
            <c:strRef>
              <c:f>'12'!$D$6:$D$21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LID/BASE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10">
                  <c:v>IC GUIDE</c:v>
                </c:pt>
                <c:pt idx="11">
                  <c:v>plunger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1111</c:v>
                </c:pt>
                <c:pt idx="3">
                  <c:v>2562</c:v>
                </c:pt>
                <c:pt idx="4">
                  <c:v>4854</c:v>
                </c:pt>
                <c:pt idx="5">
                  <c:v>1002</c:v>
                </c:pt>
                <c:pt idx="6">
                  <c:v>2705</c:v>
                </c:pt>
                <c:pt idx="7">
                  <c:v>3415</c:v>
                </c:pt>
                <c:pt idx="8">
                  <c:v>3208</c:v>
                </c:pt>
                <c:pt idx="9">
                  <c:v>650</c:v>
                </c:pt>
                <c:pt idx="10">
                  <c:v>3449</c:v>
                </c:pt>
                <c:pt idx="11">
                  <c:v>2095</c:v>
                </c:pt>
                <c:pt idx="12">
                  <c:v>713</c:v>
                </c:pt>
                <c:pt idx="13">
                  <c:v>1736</c:v>
                </c:pt>
                <c:pt idx="14">
                  <c:v>4146</c:v>
                </c:pt>
                <c:pt idx="15">
                  <c:v>21774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8A-449F-8650-0BE1FAF2D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25%</c:v>
                </c:pt>
                <c:pt idx="3">
                  <c:v>63%</c:v>
                </c:pt>
                <c:pt idx="4">
                  <c:v>100%</c:v>
                </c:pt>
                <c:pt idx="5">
                  <c:v>0%</c:v>
                </c:pt>
                <c:pt idx="6">
                  <c:v>54%</c:v>
                </c:pt>
                <c:pt idx="7">
                  <c:v>67%</c:v>
                </c:pt>
                <c:pt idx="8">
                  <c:v>0%</c:v>
                </c:pt>
                <c:pt idx="9">
                  <c:v>0%</c:v>
                </c:pt>
                <c:pt idx="10">
                  <c:v>58%</c:v>
                </c:pt>
                <c:pt idx="11">
                  <c:v>42%</c:v>
                </c:pt>
                <c:pt idx="12">
                  <c:v>0%</c:v>
                </c:pt>
                <c:pt idx="13">
                  <c:v>38%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LID/BASE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10">
                  <c:v>IC GUIDE</c:v>
                </c:pt>
                <c:pt idx="11">
                  <c:v>plunger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0.625</c:v>
                </c:pt>
                <c:pt idx="4">
                  <c:v>1</c:v>
                </c:pt>
                <c:pt idx="5">
                  <c:v>0</c:v>
                </c:pt>
                <c:pt idx="6">
                  <c:v>0.54166666666666663</c:v>
                </c:pt>
                <c:pt idx="7">
                  <c:v>0.66666666666666663</c:v>
                </c:pt>
                <c:pt idx="8">
                  <c:v>0</c:v>
                </c:pt>
                <c:pt idx="9">
                  <c:v>0</c:v>
                </c:pt>
                <c:pt idx="10">
                  <c:v>0.58333333333333337</c:v>
                </c:pt>
                <c:pt idx="11">
                  <c:v>0.41666666666666669</c:v>
                </c:pt>
                <c:pt idx="12">
                  <c:v>0</c:v>
                </c:pt>
                <c:pt idx="13">
                  <c:v>0.375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01-4C8E-8C31-DD472A6BE32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001-4C8E-8C31-DD472A6BE32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LID/BASE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10">
                  <c:v>IC GUIDE</c:v>
                </c:pt>
                <c:pt idx="11">
                  <c:v>plunger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'12'!$AE$6:$AE$21</c:f>
              <c:numCache>
                <c:formatCode>0%</c:formatCode>
                <c:ptCount val="16"/>
                <c:pt idx="0">
                  <c:v>0.36388888888888887</c:v>
                </c:pt>
                <c:pt idx="1">
                  <c:v>0.36388888888888887</c:v>
                </c:pt>
                <c:pt idx="2">
                  <c:v>0.36388888888888887</c:v>
                </c:pt>
                <c:pt idx="3">
                  <c:v>0.36388888888888887</c:v>
                </c:pt>
                <c:pt idx="4">
                  <c:v>0.36388888888888887</c:v>
                </c:pt>
                <c:pt idx="5">
                  <c:v>0.36388888888888887</c:v>
                </c:pt>
                <c:pt idx="6">
                  <c:v>0.36388888888888887</c:v>
                </c:pt>
                <c:pt idx="7">
                  <c:v>0.36388888888888887</c:v>
                </c:pt>
                <c:pt idx="8">
                  <c:v>0.36388888888888887</c:v>
                </c:pt>
                <c:pt idx="9">
                  <c:v>0.36388888888888887</c:v>
                </c:pt>
                <c:pt idx="10">
                  <c:v>0.36388888888888887</c:v>
                </c:pt>
                <c:pt idx="11">
                  <c:v>0.36388888888888887</c:v>
                </c:pt>
                <c:pt idx="12">
                  <c:v>0.36388888888888887</c:v>
                </c:pt>
                <c:pt idx="13">
                  <c:v>0.36388888888888887</c:v>
                </c:pt>
                <c:pt idx="14">
                  <c:v>0.36388888888888887</c:v>
                </c:pt>
                <c:pt idx="15">
                  <c:v>0.36388888888888887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01-4C8E-8C31-DD472A6BE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LID/BASE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10">
                  <c:v>IC GUIDE</c:v>
                </c:pt>
                <c:pt idx="11">
                  <c:v>plunger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'12'!$L$6:$L$21</c:f>
              <c:numCache>
                <c:formatCode>_(* #,##0_);_(* \(#,##0\);_(* "-"_);_(@_)</c:formatCode>
                <c:ptCount val="16"/>
                <c:pt idx="2">
                  <c:v>1111</c:v>
                </c:pt>
                <c:pt idx="3">
                  <c:v>2562</c:v>
                </c:pt>
                <c:pt idx="4">
                  <c:v>4854</c:v>
                </c:pt>
                <c:pt idx="6">
                  <c:v>2705</c:v>
                </c:pt>
                <c:pt idx="7">
                  <c:v>3415</c:v>
                </c:pt>
                <c:pt idx="10">
                  <c:v>3449</c:v>
                </c:pt>
                <c:pt idx="11">
                  <c:v>2095</c:v>
                </c:pt>
                <c:pt idx="13">
                  <c:v>1736</c:v>
                </c:pt>
                <c:pt idx="14">
                  <c:v>4146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7-471D-A516-FE7672B2C4BC}"/>
            </c:ext>
          </c:extLst>
        </c:ser>
        <c:ser>
          <c:idx val="1"/>
          <c:order val="1"/>
          <c:tx>
            <c:v>계획</c:v>
          </c:tx>
          <c:cat>
            <c:strRef>
              <c:f>'12'!$D$6:$D$21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LID/BASE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10">
                  <c:v>IC GUIDE</c:v>
                </c:pt>
                <c:pt idx="11">
                  <c:v>plunger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1111</c:v>
                </c:pt>
                <c:pt idx="3">
                  <c:v>2562</c:v>
                </c:pt>
                <c:pt idx="4">
                  <c:v>4854</c:v>
                </c:pt>
                <c:pt idx="5">
                  <c:v>1002</c:v>
                </c:pt>
                <c:pt idx="6">
                  <c:v>2705</c:v>
                </c:pt>
                <c:pt idx="7">
                  <c:v>3415</c:v>
                </c:pt>
                <c:pt idx="8">
                  <c:v>3208</c:v>
                </c:pt>
                <c:pt idx="9">
                  <c:v>650</c:v>
                </c:pt>
                <c:pt idx="10">
                  <c:v>3449</c:v>
                </c:pt>
                <c:pt idx="11">
                  <c:v>2095</c:v>
                </c:pt>
                <c:pt idx="12">
                  <c:v>713</c:v>
                </c:pt>
                <c:pt idx="13">
                  <c:v>1736</c:v>
                </c:pt>
                <c:pt idx="14">
                  <c:v>4146</c:v>
                </c:pt>
                <c:pt idx="15">
                  <c:v>21774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A7-471D-A516-FE7672B2C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25%</c:v>
                </c:pt>
                <c:pt idx="3">
                  <c:v>63%</c:v>
                </c:pt>
                <c:pt idx="4">
                  <c:v>100%</c:v>
                </c:pt>
                <c:pt idx="5">
                  <c:v>0%</c:v>
                </c:pt>
                <c:pt idx="6">
                  <c:v>54%</c:v>
                </c:pt>
                <c:pt idx="7">
                  <c:v>67%</c:v>
                </c:pt>
                <c:pt idx="8">
                  <c:v>0%</c:v>
                </c:pt>
                <c:pt idx="9">
                  <c:v>0%</c:v>
                </c:pt>
                <c:pt idx="10">
                  <c:v>58%</c:v>
                </c:pt>
                <c:pt idx="11">
                  <c:v>42%</c:v>
                </c:pt>
                <c:pt idx="12">
                  <c:v>0%</c:v>
                </c:pt>
                <c:pt idx="13">
                  <c:v>38%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LID/BASE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10">
                  <c:v>IC GUIDE</c:v>
                </c:pt>
                <c:pt idx="11">
                  <c:v>plunger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0.625</c:v>
                </c:pt>
                <c:pt idx="4">
                  <c:v>1</c:v>
                </c:pt>
                <c:pt idx="5">
                  <c:v>0</c:v>
                </c:pt>
                <c:pt idx="6">
                  <c:v>0.54166666666666663</c:v>
                </c:pt>
                <c:pt idx="7">
                  <c:v>0.66666666666666663</c:v>
                </c:pt>
                <c:pt idx="8">
                  <c:v>0</c:v>
                </c:pt>
                <c:pt idx="9">
                  <c:v>0</c:v>
                </c:pt>
                <c:pt idx="10">
                  <c:v>0.58333333333333337</c:v>
                </c:pt>
                <c:pt idx="11">
                  <c:v>0.41666666666666669</c:v>
                </c:pt>
                <c:pt idx="12">
                  <c:v>0</c:v>
                </c:pt>
                <c:pt idx="13">
                  <c:v>0.375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47-44DE-9B6F-8587D3A13B7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A47-44DE-9B6F-8587D3A13B7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LID/BASE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10">
                  <c:v>IC GUIDE</c:v>
                </c:pt>
                <c:pt idx="11">
                  <c:v>plunger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'12'!$AE$6:$AE$21</c:f>
              <c:numCache>
                <c:formatCode>0%</c:formatCode>
                <c:ptCount val="16"/>
                <c:pt idx="0">
                  <c:v>0.36388888888888887</c:v>
                </c:pt>
                <c:pt idx="1">
                  <c:v>0.36388888888888887</c:v>
                </c:pt>
                <c:pt idx="2">
                  <c:v>0.36388888888888887</c:v>
                </c:pt>
                <c:pt idx="3">
                  <c:v>0.36388888888888887</c:v>
                </c:pt>
                <c:pt idx="4">
                  <c:v>0.36388888888888887</c:v>
                </c:pt>
                <c:pt idx="5">
                  <c:v>0.36388888888888887</c:v>
                </c:pt>
                <c:pt idx="6">
                  <c:v>0.36388888888888887</c:v>
                </c:pt>
                <c:pt idx="7">
                  <c:v>0.36388888888888887</c:v>
                </c:pt>
                <c:pt idx="8">
                  <c:v>0.36388888888888887</c:v>
                </c:pt>
                <c:pt idx="9">
                  <c:v>0.36388888888888887</c:v>
                </c:pt>
                <c:pt idx="10">
                  <c:v>0.36388888888888887</c:v>
                </c:pt>
                <c:pt idx="11">
                  <c:v>0.36388888888888887</c:v>
                </c:pt>
                <c:pt idx="12">
                  <c:v>0.36388888888888887</c:v>
                </c:pt>
                <c:pt idx="13">
                  <c:v>0.36388888888888887</c:v>
                </c:pt>
                <c:pt idx="14">
                  <c:v>0.36388888888888887</c:v>
                </c:pt>
                <c:pt idx="15">
                  <c:v>0.36388888888888887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47-44DE-9B6F-8587D3A1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23E-4FA7-AB88-77661DF030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3E-4FA7-AB88-77661DF03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23E-4FA7-AB88-77661DF0306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3E-4FA7-AB88-77661DF03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LID/BASE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10">
                  <c:v>IC GUIDE</c:v>
                </c:pt>
                <c:pt idx="12">
                  <c:v>FLOATING</c:v>
                </c:pt>
                <c:pt idx="13">
                  <c:v>STOPPER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'13'!$L$6:$L$22</c:f>
              <c:numCache>
                <c:formatCode>_(* #,##0_);_(* \(#,##0\);_(* "-"_);_(@_)</c:formatCode>
                <c:ptCount val="17"/>
                <c:pt idx="2">
                  <c:v>2575</c:v>
                </c:pt>
                <c:pt idx="3">
                  <c:v>2043</c:v>
                </c:pt>
                <c:pt idx="4">
                  <c:v>3892</c:v>
                </c:pt>
                <c:pt idx="6">
                  <c:v>5485</c:v>
                </c:pt>
                <c:pt idx="7">
                  <c:v>1960</c:v>
                </c:pt>
                <c:pt idx="10">
                  <c:v>5212</c:v>
                </c:pt>
                <c:pt idx="11">
                  <c:v>4310</c:v>
                </c:pt>
                <c:pt idx="12">
                  <c:v>1177</c:v>
                </c:pt>
                <c:pt idx="13">
                  <c:v>4741</c:v>
                </c:pt>
                <c:pt idx="14">
                  <c:v>1367</c:v>
                </c:pt>
                <c:pt idx="15">
                  <c:v>2174</c:v>
                </c:pt>
                <c:pt idx="16">
                  <c:v>69996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1-46EF-A7AF-22CA1C9E7F30}"/>
            </c:ext>
          </c:extLst>
        </c:ser>
        <c:ser>
          <c:idx val="1"/>
          <c:order val="1"/>
          <c:tx>
            <c:v>계획</c:v>
          </c:tx>
          <c:cat>
            <c:strRef>
              <c:f>'13'!$D$6:$D$22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LID/BASE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10">
                  <c:v>IC GUIDE</c:v>
                </c:pt>
                <c:pt idx="12">
                  <c:v>FLOATING</c:v>
                </c:pt>
                <c:pt idx="13">
                  <c:v>STOPPER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'13'!$J$6:$J$22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2575</c:v>
                </c:pt>
                <c:pt idx="3">
                  <c:v>2043</c:v>
                </c:pt>
                <c:pt idx="4">
                  <c:v>3892</c:v>
                </c:pt>
                <c:pt idx="5">
                  <c:v>1002</c:v>
                </c:pt>
                <c:pt idx="6">
                  <c:v>5485</c:v>
                </c:pt>
                <c:pt idx="7">
                  <c:v>1960</c:v>
                </c:pt>
                <c:pt idx="8">
                  <c:v>3208</c:v>
                </c:pt>
                <c:pt idx="9">
                  <c:v>650</c:v>
                </c:pt>
                <c:pt idx="10">
                  <c:v>5212</c:v>
                </c:pt>
                <c:pt idx="11">
                  <c:v>4310</c:v>
                </c:pt>
                <c:pt idx="12">
                  <c:v>1177</c:v>
                </c:pt>
                <c:pt idx="13">
                  <c:v>4741</c:v>
                </c:pt>
                <c:pt idx="14">
                  <c:v>1367</c:v>
                </c:pt>
                <c:pt idx="15">
                  <c:v>2174</c:v>
                </c:pt>
                <c:pt idx="16">
                  <c:v>69996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91-46EF-A7AF-22CA1C9E7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50%</c:v>
                </c:pt>
                <c:pt idx="3">
                  <c:v>46%</c:v>
                </c:pt>
                <c:pt idx="4">
                  <c:v>83%</c:v>
                </c:pt>
                <c:pt idx="5">
                  <c:v>0%</c:v>
                </c:pt>
                <c:pt idx="6">
                  <c:v>100%</c:v>
                </c:pt>
                <c:pt idx="7">
                  <c:v>46%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96%</c:v>
                </c:pt>
                <c:pt idx="12">
                  <c:v>33%</c:v>
                </c:pt>
                <c:pt idx="13">
                  <c:v>92%</c:v>
                </c:pt>
                <c:pt idx="14">
                  <c:v>25%</c:v>
                </c:pt>
                <c:pt idx="15">
                  <c:v>54%</c:v>
                </c:pt>
                <c:pt idx="16">
                  <c:v>96%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LID/BASE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10">
                  <c:v>IC GUIDE</c:v>
                </c:pt>
                <c:pt idx="12">
                  <c:v>FLOATING</c:v>
                </c:pt>
                <c:pt idx="13">
                  <c:v>STOPPER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'13'!$AD$6:$AD$22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0.45833333333333331</c:v>
                </c:pt>
                <c:pt idx="4">
                  <c:v>0.83333333333333337</c:v>
                </c:pt>
                <c:pt idx="5">
                  <c:v>0</c:v>
                </c:pt>
                <c:pt idx="6">
                  <c:v>1</c:v>
                </c:pt>
                <c:pt idx="7">
                  <c:v>0.45833333333333331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0.95833333333333337</c:v>
                </c:pt>
                <c:pt idx="12">
                  <c:v>0.33333333333333331</c:v>
                </c:pt>
                <c:pt idx="13">
                  <c:v>0.91666666666666663</c:v>
                </c:pt>
                <c:pt idx="14">
                  <c:v>0.25</c:v>
                </c:pt>
                <c:pt idx="15">
                  <c:v>0.54166666666666663</c:v>
                </c:pt>
                <c:pt idx="16">
                  <c:v>0.95833333333333337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D6-418C-A101-53BE134CDFF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D6-418C-A101-53BE134CDFF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LID/BASE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10">
                  <c:v>IC GUIDE</c:v>
                </c:pt>
                <c:pt idx="12">
                  <c:v>FLOATING</c:v>
                </c:pt>
                <c:pt idx="13">
                  <c:v>STOPPER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'13'!$AE$6:$AE$22</c:f>
              <c:numCache>
                <c:formatCode>0%</c:formatCode>
                <c:ptCount val="17"/>
                <c:pt idx="0">
                  <c:v>0.54722222222222228</c:v>
                </c:pt>
                <c:pt idx="1">
                  <c:v>0.54722222222222228</c:v>
                </c:pt>
                <c:pt idx="2">
                  <c:v>0.54722222222222228</c:v>
                </c:pt>
                <c:pt idx="3">
                  <c:v>0.54722222222222228</c:v>
                </c:pt>
                <c:pt idx="4">
                  <c:v>0.54722222222222228</c:v>
                </c:pt>
                <c:pt idx="5">
                  <c:v>0.54722222222222228</c:v>
                </c:pt>
                <c:pt idx="6">
                  <c:v>0.54722222222222228</c:v>
                </c:pt>
                <c:pt idx="7">
                  <c:v>0.54722222222222228</c:v>
                </c:pt>
                <c:pt idx="8">
                  <c:v>0.54722222222222228</c:v>
                </c:pt>
                <c:pt idx="9">
                  <c:v>0.54722222222222228</c:v>
                </c:pt>
                <c:pt idx="10">
                  <c:v>0.54722222222222228</c:v>
                </c:pt>
                <c:pt idx="11">
                  <c:v>0.54722222222222228</c:v>
                </c:pt>
                <c:pt idx="12">
                  <c:v>0.54722222222222228</c:v>
                </c:pt>
                <c:pt idx="13">
                  <c:v>0.54722222222222228</c:v>
                </c:pt>
                <c:pt idx="14">
                  <c:v>0.54722222222222228</c:v>
                </c:pt>
                <c:pt idx="15">
                  <c:v>0.54722222222222228</c:v>
                </c:pt>
                <c:pt idx="16">
                  <c:v>0.54722222222222228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D6-418C-A101-53BE134CD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LID/BASE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10">
                  <c:v>IC GUIDE</c:v>
                </c:pt>
                <c:pt idx="12">
                  <c:v>FLOATING</c:v>
                </c:pt>
                <c:pt idx="13">
                  <c:v>STOPPER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'13'!$L$6:$L$22</c:f>
              <c:numCache>
                <c:formatCode>_(* #,##0_);_(* \(#,##0\);_(* "-"_);_(@_)</c:formatCode>
                <c:ptCount val="17"/>
                <c:pt idx="2">
                  <c:v>2575</c:v>
                </c:pt>
                <c:pt idx="3">
                  <c:v>2043</c:v>
                </c:pt>
                <c:pt idx="4">
                  <c:v>3892</c:v>
                </c:pt>
                <c:pt idx="6">
                  <c:v>5485</c:v>
                </c:pt>
                <c:pt idx="7">
                  <c:v>1960</c:v>
                </c:pt>
                <c:pt idx="10">
                  <c:v>5212</c:v>
                </c:pt>
                <c:pt idx="11">
                  <c:v>4310</c:v>
                </c:pt>
                <c:pt idx="12">
                  <c:v>1177</c:v>
                </c:pt>
                <c:pt idx="13">
                  <c:v>4741</c:v>
                </c:pt>
                <c:pt idx="14">
                  <c:v>1367</c:v>
                </c:pt>
                <c:pt idx="15">
                  <c:v>2174</c:v>
                </c:pt>
                <c:pt idx="16">
                  <c:v>69996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7A-4ECE-8F19-0FB436C393DA}"/>
            </c:ext>
          </c:extLst>
        </c:ser>
        <c:ser>
          <c:idx val="1"/>
          <c:order val="1"/>
          <c:tx>
            <c:v>계획</c:v>
          </c:tx>
          <c:cat>
            <c:strRef>
              <c:f>'13'!$D$6:$D$22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LID/BASE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10">
                  <c:v>IC GUIDE</c:v>
                </c:pt>
                <c:pt idx="12">
                  <c:v>FLOATING</c:v>
                </c:pt>
                <c:pt idx="13">
                  <c:v>STOPPER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'13'!$J$6:$J$22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2575</c:v>
                </c:pt>
                <c:pt idx="3">
                  <c:v>2043</c:v>
                </c:pt>
                <c:pt idx="4">
                  <c:v>3892</c:v>
                </c:pt>
                <c:pt idx="5">
                  <c:v>1002</c:v>
                </c:pt>
                <c:pt idx="6">
                  <c:v>5485</c:v>
                </c:pt>
                <c:pt idx="7">
                  <c:v>1960</c:v>
                </c:pt>
                <c:pt idx="8">
                  <c:v>3208</c:v>
                </c:pt>
                <c:pt idx="9">
                  <c:v>650</c:v>
                </c:pt>
                <c:pt idx="10">
                  <c:v>5212</c:v>
                </c:pt>
                <c:pt idx="11">
                  <c:v>4310</c:v>
                </c:pt>
                <c:pt idx="12">
                  <c:v>1177</c:v>
                </c:pt>
                <c:pt idx="13">
                  <c:v>4741</c:v>
                </c:pt>
                <c:pt idx="14">
                  <c:v>1367</c:v>
                </c:pt>
                <c:pt idx="15">
                  <c:v>2174</c:v>
                </c:pt>
                <c:pt idx="16">
                  <c:v>69996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7A-4ECE-8F19-0FB436C39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50%</c:v>
                </c:pt>
                <c:pt idx="3">
                  <c:v>46%</c:v>
                </c:pt>
                <c:pt idx="4">
                  <c:v>83%</c:v>
                </c:pt>
                <c:pt idx="5">
                  <c:v>0%</c:v>
                </c:pt>
                <c:pt idx="6">
                  <c:v>100%</c:v>
                </c:pt>
                <c:pt idx="7">
                  <c:v>46%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96%</c:v>
                </c:pt>
                <c:pt idx="12">
                  <c:v>33%</c:v>
                </c:pt>
                <c:pt idx="13">
                  <c:v>92%</c:v>
                </c:pt>
                <c:pt idx="14">
                  <c:v>25%</c:v>
                </c:pt>
                <c:pt idx="15">
                  <c:v>54%</c:v>
                </c:pt>
                <c:pt idx="16">
                  <c:v>96%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LID/BASE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10">
                  <c:v>IC GUIDE</c:v>
                </c:pt>
                <c:pt idx="12">
                  <c:v>FLOATING</c:v>
                </c:pt>
                <c:pt idx="13">
                  <c:v>STOPPER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'13'!$AD$6:$AD$22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0.45833333333333331</c:v>
                </c:pt>
                <c:pt idx="4">
                  <c:v>0.83333333333333337</c:v>
                </c:pt>
                <c:pt idx="5">
                  <c:v>0</c:v>
                </c:pt>
                <c:pt idx="6">
                  <c:v>1</c:v>
                </c:pt>
                <c:pt idx="7">
                  <c:v>0.45833333333333331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0.95833333333333337</c:v>
                </c:pt>
                <c:pt idx="12">
                  <c:v>0.33333333333333331</c:v>
                </c:pt>
                <c:pt idx="13">
                  <c:v>0.91666666666666663</c:v>
                </c:pt>
                <c:pt idx="14">
                  <c:v>0.25</c:v>
                </c:pt>
                <c:pt idx="15">
                  <c:v>0.54166666666666663</c:v>
                </c:pt>
                <c:pt idx="16">
                  <c:v>0.95833333333333337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FF-4E70-945E-2E259273A5D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CFF-4E70-945E-2E259273A5D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LID/BASE</c:v>
                </c:pt>
                <c:pt idx="4">
                  <c:v>ACTUATOR</c:v>
                </c:pt>
                <c:pt idx="5">
                  <c:v>COVER</c:v>
                </c:pt>
                <c:pt idx="6">
                  <c:v>SLIDER</c:v>
                </c:pt>
                <c:pt idx="7">
                  <c:v>BASE</c:v>
                </c:pt>
                <c:pt idx="10">
                  <c:v>IC GUIDE</c:v>
                </c:pt>
                <c:pt idx="12">
                  <c:v>FLOATING</c:v>
                </c:pt>
                <c:pt idx="13">
                  <c:v>STOPPER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'13'!$AE$6:$AE$22</c:f>
              <c:numCache>
                <c:formatCode>0%</c:formatCode>
                <c:ptCount val="17"/>
                <c:pt idx="0">
                  <c:v>0.54722222222222228</c:v>
                </c:pt>
                <c:pt idx="1">
                  <c:v>0.54722222222222228</c:v>
                </c:pt>
                <c:pt idx="2">
                  <c:v>0.54722222222222228</c:v>
                </c:pt>
                <c:pt idx="3">
                  <c:v>0.54722222222222228</c:v>
                </c:pt>
                <c:pt idx="4">
                  <c:v>0.54722222222222228</c:v>
                </c:pt>
                <c:pt idx="5">
                  <c:v>0.54722222222222228</c:v>
                </c:pt>
                <c:pt idx="6">
                  <c:v>0.54722222222222228</c:v>
                </c:pt>
                <c:pt idx="7">
                  <c:v>0.54722222222222228</c:v>
                </c:pt>
                <c:pt idx="8">
                  <c:v>0.54722222222222228</c:v>
                </c:pt>
                <c:pt idx="9">
                  <c:v>0.54722222222222228</c:v>
                </c:pt>
                <c:pt idx="10">
                  <c:v>0.54722222222222228</c:v>
                </c:pt>
                <c:pt idx="11">
                  <c:v>0.54722222222222228</c:v>
                </c:pt>
                <c:pt idx="12">
                  <c:v>0.54722222222222228</c:v>
                </c:pt>
                <c:pt idx="13">
                  <c:v>0.54722222222222228</c:v>
                </c:pt>
                <c:pt idx="14">
                  <c:v>0.54722222222222228</c:v>
                </c:pt>
                <c:pt idx="15">
                  <c:v>0.54722222222222228</c:v>
                </c:pt>
                <c:pt idx="16">
                  <c:v>0.54722222222222228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FF-4E70-945E-2E259273A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2DA-4B5E-88BA-230538433E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DA-4B5E-88BA-230538433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2DA-4B5E-88BA-230538433E1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DA-4B5E-88BA-230538433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IC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'14'!$L$6:$L$21</c:f>
              <c:numCache>
                <c:formatCode>_(* #,##0_);_(* \(#,##0\);_(* "-"_);_(@_)</c:formatCode>
                <c:ptCount val="16"/>
                <c:pt idx="2">
                  <c:v>4800</c:v>
                </c:pt>
                <c:pt idx="3">
                  <c:v>4611</c:v>
                </c:pt>
                <c:pt idx="4">
                  <c:v>1421</c:v>
                </c:pt>
                <c:pt idx="5">
                  <c:v>4705</c:v>
                </c:pt>
                <c:pt idx="6">
                  <c:v>4032</c:v>
                </c:pt>
                <c:pt idx="7">
                  <c:v>325</c:v>
                </c:pt>
                <c:pt idx="8">
                  <c:v>1914</c:v>
                </c:pt>
                <c:pt idx="9">
                  <c:v>318</c:v>
                </c:pt>
                <c:pt idx="10">
                  <c:v>5747</c:v>
                </c:pt>
                <c:pt idx="12">
                  <c:v>2598</c:v>
                </c:pt>
                <c:pt idx="13">
                  <c:v>3615</c:v>
                </c:pt>
                <c:pt idx="14">
                  <c:v>2357</c:v>
                </c:pt>
                <c:pt idx="15">
                  <c:v>41020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E0-46B8-A60A-A92AB477ACD3}"/>
            </c:ext>
          </c:extLst>
        </c:ser>
        <c:ser>
          <c:idx val="1"/>
          <c:order val="1"/>
          <c:tx>
            <c:v>계획</c:v>
          </c:tx>
          <c:cat>
            <c:strRef>
              <c:f>'14'!$D$6:$D$21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IC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'14'!$J$6:$J$21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4800</c:v>
                </c:pt>
                <c:pt idx="3">
                  <c:v>4611</c:v>
                </c:pt>
                <c:pt idx="4">
                  <c:v>1421</c:v>
                </c:pt>
                <c:pt idx="5">
                  <c:v>4705</c:v>
                </c:pt>
                <c:pt idx="6">
                  <c:v>4032</c:v>
                </c:pt>
                <c:pt idx="7">
                  <c:v>325</c:v>
                </c:pt>
                <c:pt idx="8">
                  <c:v>1914</c:v>
                </c:pt>
                <c:pt idx="9">
                  <c:v>318</c:v>
                </c:pt>
                <c:pt idx="10">
                  <c:v>5747</c:v>
                </c:pt>
                <c:pt idx="11">
                  <c:v>4310</c:v>
                </c:pt>
                <c:pt idx="12">
                  <c:v>2598</c:v>
                </c:pt>
                <c:pt idx="13">
                  <c:v>3615</c:v>
                </c:pt>
                <c:pt idx="14">
                  <c:v>2357</c:v>
                </c:pt>
                <c:pt idx="15">
                  <c:v>41020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E0-46B8-A60A-A92AB477A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33%</c:v>
                </c:pt>
                <c:pt idx="5">
                  <c:v>88%</c:v>
                </c:pt>
                <c:pt idx="6">
                  <c:v>100%</c:v>
                </c:pt>
                <c:pt idx="7">
                  <c:v>17%</c:v>
                </c:pt>
                <c:pt idx="8">
                  <c:v>46%</c:v>
                </c:pt>
                <c:pt idx="9">
                  <c:v>21%</c:v>
                </c:pt>
                <c:pt idx="10">
                  <c:v>100%</c:v>
                </c:pt>
                <c:pt idx="11">
                  <c:v>0%</c:v>
                </c:pt>
                <c:pt idx="12">
                  <c:v>71%</c:v>
                </c:pt>
                <c:pt idx="13">
                  <c:v>75%</c:v>
                </c:pt>
                <c:pt idx="14">
                  <c:v>54%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IC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0.33333333333333331</c:v>
                </c:pt>
                <c:pt idx="5">
                  <c:v>0.875</c:v>
                </c:pt>
                <c:pt idx="6">
                  <c:v>1</c:v>
                </c:pt>
                <c:pt idx="7">
                  <c:v>0.16666666666666666</c:v>
                </c:pt>
                <c:pt idx="8">
                  <c:v>0.45833333333333331</c:v>
                </c:pt>
                <c:pt idx="9">
                  <c:v>0.20833333333333334</c:v>
                </c:pt>
                <c:pt idx="10">
                  <c:v>1</c:v>
                </c:pt>
                <c:pt idx="11">
                  <c:v>0</c:v>
                </c:pt>
                <c:pt idx="12">
                  <c:v>0.70833333333333337</c:v>
                </c:pt>
                <c:pt idx="13">
                  <c:v>0.75</c:v>
                </c:pt>
                <c:pt idx="14">
                  <c:v>0.54166666666666663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7D-463A-B3D1-BB872317017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17D-463A-B3D1-BB872317017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IC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'14'!$AE$6:$AE$21</c:f>
              <c:numCache>
                <c:formatCode>0%</c:formatCode>
                <c:ptCount val="16"/>
                <c:pt idx="0">
                  <c:v>0.56388888888888888</c:v>
                </c:pt>
                <c:pt idx="1">
                  <c:v>0.56388888888888888</c:v>
                </c:pt>
                <c:pt idx="2">
                  <c:v>0.56388888888888888</c:v>
                </c:pt>
                <c:pt idx="3">
                  <c:v>0.56388888888888888</c:v>
                </c:pt>
                <c:pt idx="4">
                  <c:v>0.56388888888888888</c:v>
                </c:pt>
                <c:pt idx="5">
                  <c:v>0.56388888888888888</c:v>
                </c:pt>
                <c:pt idx="6">
                  <c:v>0.56388888888888888</c:v>
                </c:pt>
                <c:pt idx="7">
                  <c:v>0.56388888888888888</c:v>
                </c:pt>
                <c:pt idx="8">
                  <c:v>0.56388888888888888</c:v>
                </c:pt>
                <c:pt idx="9">
                  <c:v>0.56388888888888888</c:v>
                </c:pt>
                <c:pt idx="10">
                  <c:v>0.56388888888888888</c:v>
                </c:pt>
                <c:pt idx="11">
                  <c:v>0.56388888888888888</c:v>
                </c:pt>
                <c:pt idx="12">
                  <c:v>0.56388888888888888</c:v>
                </c:pt>
                <c:pt idx="13">
                  <c:v>0.56388888888888888</c:v>
                </c:pt>
                <c:pt idx="14">
                  <c:v>0.56388888888888888</c:v>
                </c:pt>
                <c:pt idx="15">
                  <c:v>0.56388888888888888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7D-463A-B3D1-BB8723170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IC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'14'!$L$6:$L$21</c:f>
              <c:numCache>
                <c:formatCode>_(* #,##0_);_(* \(#,##0\);_(* "-"_);_(@_)</c:formatCode>
                <c:ptCount val="16"/>
                <c:pt idx="2">
                  <c:v>4800</c:v>
                </c:pt>
                <c:pt idx="3">
                  <c:v>4611</c:v>
                </c:pt>
                <c:pt idx="4">
                  <c:v>1421</c:v>
                </c:pt>
                <c:pt idx="5">
                  <c:v>4705</c:v>
                </c:pt>
                <c:pt idx="6">
                  <c:v>4032</c:v>
                </c:pt>
                <c:pt idx="7">
                  <c:v>325</c:v>
                </c:pt>
                <c:pt idx="8">
                  <c:v>1914</c:v>
                </c:pt>
                <c:pt idx="9">
                  <c:v>318</c:v>
                </c:pt>
                <c:pt idx="10">
                  <c:v>5747</c:v>
                </c:pt>
                <c:pt idx="12">
                  <c:v>2598</c:v>
                </c:pt>
                <c:pt idx="13">
                  <c:v>3615</c:v>
                </c:pt>
                <c:pt idx="14">
                  <c:v>2357</c:v>
                </c:pt>
                <c:pt idx="15">
                  <c:v>41020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AE-41AA-A5DD-ADFE94ADC2B7}"/>
            </c:ext>
          </c:extLst>
        </c:ser>
        <c:ser>
          <c:idx val="1"/>
          <c:order val="1"/>
          <c:tx>
            <c:v>계획</c:v>
          </c:tx>
          <c:cat>
            <c:strRef>
              <c:f>'14'!$D$6:$D$21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IC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'14'!$J$6:$J$21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4800</c:v>
                </c:pt>
                <c:pt idx="3">
                  <c:v>4611</c:v>
                </c:pt>
                <c:pt idx="4">
                  <c:v>1421</c:v>
                </c:pt>
                <c:pt idx="5">
                  <c:v>4705</c:v>
                </c:pt>
                <c:pt idx="6">
                  <c:v>4032</c:v>
                </c:pt>
                <c:pt idx="7">
                  <c:v>325</c:v>
                </c:pt>
                <c:pt idx="8">
                  <c:v>1914</c:v>
                </c:pt>
                <c:pt idx="9">
                  <c:v>318</c:v>
                </c:pt>
                <c:pt idx="10">
                  <c:v>5747</c:v>
                </c:pt>
                <c:pt idx="11">
                  <c:v>4310</c:v>
                </c:pt>
                <c:pt idx="12">
                  <c:v>2598</c:v>
                </c:pt>
                <c:pt idx="13">
                  <c:v>3615</c:v>
                </c:pt>
                <c:pt idx="14">
                  <c:v>2357</c:v>
                </c:pt>
                <c:pt idx="15">
                  <c:v>41020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AE-41AA-A5DD-ADFE94ADC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33%</c:v>
                </c:pt>
                <c:pt idx="5">
                  <c:v>88%</c:v>
                </c:pt>
                <c:pt idx="6">
                  <c:v>100%</c:v>
                </c:pt>
                <c:pt idx="7">
                  <c:v>17%</c:v>
                </c:pt>
                <c:pt idx="8">
                  <c:v>46%</c:v>
                </c:pt>
                <c:pt idx="9">
                  <c:v>21%</c:v>
                </c:pt>
                <c:pt idx="10">
                  <c:v>100%</c:v>
                </c:pt>
                <c:pt idx="11">
                  <c:v>0%</c:v>
                </c:pt>
                <c:pt idx="12">
                  <c:v>71%</c:v>
                </c:pt>
                <c:pt idx="13">
                  <c:v>75%</c:v>
                </c:pt>
                <c:pt idx="14">
                  <c:v>54%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IC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0.33333333333333331</c:v>
                </c:pt>
                <c:pt idx="5">
                  <c:v>0.875</c:v>
                </c:pt>
                <c:pt idx="6">
                  <c:v>1</c:v>
                </c:pt>
                <c:pt idx="7">
                  <c:v>0.16666666666666666</c:v>
                </c:pt>
                <c:pt idx="8">
                  <c:v>0.45833333333333331</c:v>
                </c:pt>
                <c:pt idx="9">
                  <c:v>0.20833333333333334</c:v>
                </c:pt>
                <c:pt idx="10">
                  <c:v>1</c:v>
                </c:pt>
                <c:pt idx="11">
                  <c:v>0</c:v>
                </c:pt>
                <c:pt idx="12">
                  <c:v>0.70833333333333337</c:v>
                </c:pt>
                <c:pt idx="13">
                  <c:v>0.75</c:v>
                </c:pt>
                <c:pt idx="14">
                  <c:v>0.54166666666666663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88-401E-95F3-D9DA06558D3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888-401E-95F3-D9DA06558D3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IC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'14'!$AE$6:$AE$21</c:f>
              <c:numCache>
                <c:formatCode>0%</c:formatCode>
                <c:ptCount val="16"/>
                <c:pt idx="0">
                  <c:v>0.56388888888888888</c:v>
                </c:pt>
                <c:pt idx="1">
                  <c:v>0.56388888888888888</c:v>
                </c:pt>
                <c:pt idx="2">
                  <c:v>0.56388888888888888</c:v>
                </c:pt>
                <c:pt idx="3">
                  <c:v>0.56388888888888888</c:v>
                </c:pt>
                <c:pt idx="4">
                  <c:v>0.56388888888888888</c:v>
                </c:pt>
                <c:pt idx="5">
                  <c:v>0.56388888888888888</c:v>
                </c:pt>
                <c:pt idx="6">
                  <c:v>0.56388888888888888</c:v>
                </c:pt>
                <c:pt idx="7">
                  <c:v>0.56388888888888888</c:v>
                </c:pt>
                <c:pt idx="8">
                  <c:v>0.56388888888888888</c:v>
                </c:pt>
                <c:pt idx="9">
                  <c:v>0.56388888888888888</c:v>
                </c:pt>
                <c:pt idx="10">
                  <c:v>0.56388888888888888</c:v>
                </c:pt>
                <c:pt idx="11">
                  <c:v>0.56388888888888888</c:v>
                </c:pt>
                <c:pt idx="12">
                  <c:v>0.56388888888888888</c:v>
                </c:pt>
                <c:pt idx="13">
                  <c:v>0.56388888888888888</c:v>
                </c:pt>
                <c:pt idx="14">
                  <c:v>0.56388888888888888</c:v>
                </c:pt>
                <c:pt idx="15">
                  <c:v>0.56388888888888888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88-401E-95F3-D9DA06558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57A-4D2F-A17D-0024A8397D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7A-4D2F-A17D-0024A8397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57A-4D2F-A17D-0024A8397D8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7A-4D2F-A17D-0024A8397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SP-A/B</c:v>
                </c:pt>
                <c:pt idx="7">
                  <c:v>BASE</c:v>
                </c:pt>
                <c:pt idx="8">
                  <c:v>BASE</c:v>
                </c:pt>
                <c:pt idx="10">
                  <c:v>IC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2">
                  <c:v>4872</c:v>
                </c:pt>
                <c:pt idx="3">
                  <c:v>3795</c:v>
                </c:pt>
                <c:pt idx="4">
                  <c:v>2240</c:v>
                </c:pt>
                <c:pt idx="5">
                  <c:v>490</c:v>
                </c:pt>
                <c:pt idx="6">
                  <c:v>0</c:v>
                </c:pt>
                <c:pt idx="7">
                  <c:v>870</c:v>
                </c:pt>
                <c:pt idx="10">
                  <c:v>3622</c:v>
                </c:pt>
                <c:pt idx="12">
                  <c:v>1226</c:v>
                </c:pt>
                <c:pt idx="15">
                  <c:v>71684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7-4FA2-94B4-749255DD31C5}"/>
            </c:ext>
          </c:extLst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SP-A/B</c:v>
                </c:pt>
                <c:pt idx="7">
                  <c:v>BASE</c:v>
                </c:pt>
                <c:pt idx="8">
                  <c:v>BASE</c:v>
                </c:pt>
                <c:pt idx="10">
                  <c:v>IC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4872</c:v>
                </c:pt>
                <c:pt idx="3">
                  <c:v>3795</c:v>
                </c:pt>
                <c:pt idx="4">
                  <c:v>2240</c:v>
                </c:pt>
                <c:pt idx="5">
                  <c:v>490</c:v>
                </c:pt>
                <c:pt idx="6">
                  <c:v>490</c:v>
                </c:pt>
                <c:pt idx="7">
                  <c:v>870</c:v>
                </c:pt>
                <c:pt idx="8">
                  <c:v>1914</c:v>
                </c:pt>
                <c:pt idx="9">
                  <c:v>318</c:v>
                </c:pt>
                <c:pt idx="10">
                  <c:v>3622</c:v>
                </c:pt>
                <c:pt idx="11">
                  <c:v>4310</c:v>
                </c:pt>
                <c:pt idx="12">
                  <c:v>1226</c:v>
                </c:pt>
                <c:pt idx="13">
                  <c:v>3615</c:v>
                </c:pt>
                <c:pt idx="14">
                  <c:v>2357</c:v>
                </c:pt>
                <c:pt idx="15">
                  <c:v>71684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07-4FA2-94B4-749255DD3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79%</c:v>
                </c:pt>
                <c:pt idx="4">
                  <c:v>54%</c:v>
                </c:pt>
                <c:pt idx="5">
                  <c:v>13%</c:v>
                </c:pt>
                <c:pt idx="6">
                  <c:v>0%</c:v>
                </c:pt>
                <c:pt idx="7">
                  <c:v>21%</c:v>
                </c:pt>
                <c:pt idx="8">
                  <c:v>0%</c:v>
                </c:pt>
                <c:pt idx="9">
                  <c:v>0%</c:v>
                </c:pt>
                <c:pt idx="10">
                  <c:v>71%</c:v>
                </c:pt>
                <c:pt idx="11">
                  <c:v>0%</c:v>
                </c:pt>
                <c:pt idx="12">
                  <c:v>29%</c:v>
                </c:pt>
                <c:pt idx="13">
                  <c:v>0%</c:v>
                </c:pt>
                <c:pt idx="14">
                  <c:v>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SP-A/B</c:v>
                </c:pt>
                <c:pt idx="7">
                  <c:v>BASE</c:v>
                </c:pt>
                <c:pt idx="8">
                  <c:v>BASE</c:v>
                </c:pt>
                <c:pt idx="10">
                  <c:v>IC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0.79166666666666663</c:v>
                </c:pt>
                <c:pt idx="4">
                  <c:v>0.54166666666666663</c:v>
                </c:pt>
                <c:pt idx="5">
                  <c:v>0.125</c:v>
                </c:pt>
                <c:pt idx="6">
                  <c:v>0</c:v>
                </c:pt>
                <c:pt idx="7">
                  <c:v>0.20833333333333334</c:v>
                </c:pt>
                <c:pt idx="8">
                  <c:v>0</c:v>
                </c:pt>
                <c:pt idx="9">
                  <c:v>0</c:v>
                </c:pt>
                <c:pt idx="10">
                  <c:v>0.70833333333333337</c:v>
                </c:pt>
                <c:pt idx="11">
                  <c:v>0</c:v>
                </c:pt>
                <c:pt idx="12">
                  <c:v>0.29166666666666669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85-43F7-B3F5-AF41E7D26BD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885-43F7-B3F5-AF41E7D26BD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SP-A/B</c:v>
                </c:pt>
                <c:pt idx="7">
                  <c:v>BASE</c:v>
                </c:pt>
                <c:pt idx="8">
                  <c:v>BASE</c:v>
                </c:pt>
                <c:pt idx="10">
                  <c:v>IC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0.31111111111111106</c:v>
                </c:pt>
                <c:pt idx="1">
                  <c:v>0.31111111111111106</c:v>
                </c:pt>
                <c:pt idx="2">
                  <c:v>0.31111111111111106</c:v>
                </c:pt>
                <c:pt idx="3">
                  <c:v>0.31111111111111106</c:v>
                </c:pt>
                <c:pt idx="4">
                  <c:v>0.31111111111111106</c:v>
                </c:pt>
                <c:pt idx="5">
                  <c:v>0.31111111111111106</c:v>
                </c:pt>
                <c:pt idx="6">
                  <c:v>0.31111111111111106</c:v>
                </c:pt>
                <c:pt idx="7">
                  <c:v>0.31111111111111106</c:v>
                </c:pt>
                <c:pt idx="8">
                  <c:v>0.31111111111111106</c:v>
                </c:pt>
                <c:pt idx="9">
                  <c:v>0.31111111111111106</c:v>
                </c:pt>
                <c:pt idx="10">
                  <c:v>0.31111111111111106</c:v>
                </c:pt>
                <c:pt idx="11">
                  <c:v>0.31111111111111106</c:v>
                </c:pt>
                <c:pt idx="12">
                  <c:v>0.31111111111111106</c:v>
                </c:pt>
                <c:pt idx="13">
                  <c:v>0.31111111111111106</c:v>
                </c:pt>
                <c:pt idx="14">
                  <c:v>0.31111111111111106</c:v>
                </c:pt>
                <c:pt idx="15">
                  <c:v>0.31111111111111106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85-43F7-B3F5-AF41E7D26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SP-A/B</c:v>
                </c:pt>
                <c:pt idx="7">
                  <c:v>BASE</c:v>
                </c:pt>
                <c:pt idx="8">
                  <c:v>BASE</c:v>
                </c:pt>
                <c:pt idx="10">
                  <c:v>IC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2">
                  <c:v>4872</c:v>
                </c:pt>
                <c:pt idx="3">
                  <c:v>3795</c:v>
                </c:pt>
                <c:pt idx="4">
                  <c:v>2240</c:v>
                </c:pt>
                <c:pt idx="5">
                  <c:v>490</c:v>
                </c:pt>
                <c:pt idx="6">
                  <c:v>0</c:v>
                </c:pt>
                <c:pt idx="7">
                  <c:v>870</c:v>
                </c:pt>
                <c:pt idx="10">
                  <c:v>3622</c:v>
                </c:pt>
                <c:pt idx="12">
                  <c:v>1226</c:v>
                </c:pt>
                <c:pt idx="15">
                  <c:v>71684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A8-49AA-B928-314680D91E2F}"/>
            </c:ext>
          </c:extLst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SP-A/B</c:v>
                </c:pt>
                <c:pt idx="7">
                  <c:v>BASE</c:v>
                </c:pt>
                <c:pt idx="8">
                  <c:v>BASE</c:v>
                </c:pt>
                <c:pt idx="10">
                  <c:v>IC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4872</c:v>
                </c:pt>
                <c:pt idx="3">
                  <c:v>3795</c:v>
                </c:pt>
                <c:pt idx="4">
                  <c:v>2240</c:v>
                </c:pt>
                <c:pt idx="5">
                  <c:v>490</c:v>
                </c:pt>
                <c:pt idx="6">
                  <c:v>490</c:v>
                </c:pt>
                <c:pt idx="7">
                  <c:v>870</c:v>
                </c:pt>
                <c:pt idx="8">
                  <c:v>1914</c:v>
                </c:pt>
                <c:pt idx="9">
                  <c:v>318</c:v>
                </c:pt>
                <c:pt idx="10">
                  <c:v>3622</c:v>
                </c:pt>
                <c:pt idx="11">
                  <c:v>4310</c:v>
                </c:pt>
                <c:pt idx="12">
                  <c:v>1226</c:v>
                </c:pt>
                <c:pt idx="13">
                  <c:v>3615</c:v>
                </c:pt>
                <c:pt idx="14">
                  <c:v>2357</c:v>
                </c:pt>
                <c:pt idx="15">
                  <c:v>71684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A8-49AA-B928-314680D91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79%</c:v>
                </c:pt>
                <c:pt idx="4">
                  <c:v>54%</c:v>
                </c:pt>
                <c:pt idx="5">
                  <c:v>13%</c:v>
                </c:pt>
                <c:pt idx="6">
                  <c:v>0%</c:v>
                </c:pt>
                <c:pt idx="7">
                  <c:v>21%</c:v>
                </c:pt>
                <c:pt idx="8">
                  <c:v>0%</c:v>
                </c:pt>
                <c:pt idx="9">
                  <c:v>0%</c:v>
                </c:pt>
                <c:pt idx="10">
                  <c:v>71%</c:v>
                </c:pt>
                <c:pt idx="11">
                  <c:v>0%</c:v>
                </c:pt>
                <c:pt idx="12">
                  <c:v>29%</c:v>
                </c:pt>
                <c:pt idx="13">
                  <c:v>0%</c:v>
                </c:pt>
                <c:pt idx="14">
                  <c:v>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SP-A/B</c:v>
                </c:pt>
                <c:pt idx="7">
                  <c:v>BASE</c:v>
                </c:pt>
                <c:pt idx="8">
                  <c:v>BASE</c:v>
                </c:pt>
                <c:pt idx="10">
                  <c:v>IC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0.79166666666666663</c:v>
                </c:pt>
                <c:pt idx="4">
                  <c:v>0.54166666666666663</c:v>
                </c:pt>
                <c:pt idx="5">
                  <c:v>0.125</c:v>
                </c:pt>
                <c:pt idx="6">
                  <c:v>0</c:v>
                </c:pt>
                <c:pt idx="7">
                  <c:v>0.20833333333333334</c:v>
                </c:pt>
                <c:pt idx="8">
                  <c:v>0</c:v>
                </c:pt>
                <c:pt idx="9">
                  <c:v>0</c:v>
                </c:pt>
                <c:pt idx="10">
                  <c:v>0.70833333333333337</c:v>
                </c:pt>
                <c:pt idx="11">
                  <c:v>0</c:v>
                </c:pt>
                <c:pt idx="12">
                  <c:v>0.29166666666666669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A9-409F-BBB3-B8A5516555D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A9-409F-BBB3-B8A5516555D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SP-A/B</c:v>
                </c:pt>
                <c:pt idx="7">
                  <c:v>BASE</c:v>
                </c:pt>
                <c:pt idx="8">
                  <c:v>BASE</c:v>
                </c:pt>
                <c:pt idx="10">
                  <c:v>IC GUIDE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0.31111111111111106</c:v>
                </c:pt>
                <c:pt idx="1">
                  <c:v>0.31111111111111106</c:v>
                </c:pt>
                <c:pt idx="2">
                  <c:v>0.31111111111111106</c:v>
                </c:pt>
                <c:pt idx="3">
                  <c:v>0.31111111111111106</c:v>
                </c:pt>
                <c:pt idx="4">
                  <c:v>0.31111111111111106</c:v>
                </c:pt>
                <c:pt idx="5">
                  <c:v>0.31111111111111106</c:v>
                </c:pt>
                <c:pt idx="6">
                  <c:v>0.31111111111111106</c:v>
                </c:pt>
                <c:pt idx="7">
                  <c:v>0.31111111111111106</c:v>
                </c:pt>
                <c:pt idx="8">
                  <c:v>0.31111111111111106</c:v>
                </c:pt>
                <c:pt idx="9">
                  <c:v>0.31111111111111106</c:v>
                </c:pt>
                <c:pt idx="10">
                  <c:v>0.31111111111111106</c:v>
                </c:pt>
                <c:pt idx="11">
                  <c:v>0.31111111111111106</c:v>
                </c:pt>
                <c:pt idx="12">
                  <c:v>0.31111111111111106</c:v>
                </c:pt>
                <c:pt idx="13">
                  <c:v>0.31111111111111106</c:v>
                </c:pt>
                <c:pt idx="14">
                  <c:v>0.31111111111111106</c:v>
                </c:pt>
                <c:pt idx="15">
                  <c:v>0.31111111111111106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A9-409F-BBB3-B8A551655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FA7-404E-9EFE-8489791EC9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A7-404E-9EFE-8489791EC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FA7-404E-9EFE-8489791EC95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A7-404E-9EFE-8489791EC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SP-A/B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2">
                  <c:v>4866</c:v>
                </c:pt>
                <c:pt idx="3">
                  <c:v>5160</c:v>
                </c:pt>
                <c:pt idx="4">
                  <c:v>5035</c:v>
                </c:pt>
                <c:pt idx="5">
                  <c:v>589</c:v>
                </c:pt>
                <c:pt idx="6">
                  <c:v>1602</c:v>
                </c:pt>
                <c:pt idx="7">
                  <c:v>8032</c:v>
                </c:pt>
                <c:pt idx="11">
                  <c:v>5168</c:v>
                </c:pt>
                <c:pt idx="14">
                  <c:v>75200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23-4E37-B038-4D6F59A5504E}"/>
            </c:ext>
          </c:extLst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SP-A/B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4866</c:v>
                </c:pt>
                <c:pt idx="3">
                  <c:v>5160</c:v>
                </c:pt>
                <c:pt idx="4">
                  <c:v>5035</c:v>
                </c:pt>
                <c:pt idx="5">
                  <c:v>589</c:v>
                </c:pt>
                <c:pt idx="6">
                  <c:v>1602</c:v>
                </c:pt>
                <c:pt idx="7">
                  <c:v>8032</c:v>
                </c:pt>
                <c:pt idx="8">
                  <c:v>318</c:v>
                </c:pt>
                <c:pt idx="9">
                  <c:v>3622</c:v>
                </c:pt>
                <c:pt idx="10">
                  <c:v>4310</c:v>
                </c:pt>
                <c:pt idx="11">
                  <c:v>5168</c:v>
                </c:pt>
                <c:pt idx="12">
                  <c:v>3615</c:v>
                </c:pt>
                <c:pt idx="13">
                  <c:v>2357</c:v>
                </c:pt>
                <c:pt idx="14">
                  <c:v>75200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23-4E37-B038-4D6F59A55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17%</c:v>
                </c:pt>
                <c:pt idx="6">
                  <c:v>33%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96%</c:v>
                </c:pt>
                <c:pt idx="12">
                  <c:v>0%</c:v>
                </c:pt>
                <c:pt idx="13">
                  <c:v>0%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SP-A/B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0.16666666666666666</c:v>
                </c:pt>
                <c:pt idx="6">
                  <c:v>0.33333333333333331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0.95833333333333337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6C-49BD-B3BD-6B02072745F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06C-49BD-B3BD-6B02072745F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SP-A/B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0.42222222222222222</c:v>
                </c:pt>
                <c:pt idx="1">
                  <c:v>0.42222222222222222</c:v>
                </c:pt>
                <c:pt idx="2">
                  <c:v>0.42222222222222222</c:v>
                </c:pt>
                <c:pt idx="3">
                  <c:v>0.42222222222222222</c:v>
                </c:pt>
                <c:pt idx="4">
                  <c:v>0.42222222222222222</c:v>
                </c:pt>
                <c:pt idx="5">
                  <c:v>0.42222222222222222</c:v>
                </c:pt>
                <c:pt idx="6">
                  <c:v>0.42222222222222222</c:v>
                </c:pt>
                <c:pt idx="7">
                  <c:v>0.42222222222222222</c:v>
                </c:pt>
                <c:pt idx="8">
                  <c:v>0.42222222222222222</c:v>
                </c:pt>
                <c:pt idx="9">
                  <c:v>0.42222222222222222</c:v>
                </c:pt>
                <c:pt idx="10">
                  <c:v>0.42222222222222222</c:v>
                </c:pt>
                <c:pt idx="11">
                  <c:v>0.42222222222222222</c:v>
                </c:pt>
                <c:pt idx="12">
                  <c:v>0.42222222222222222</c:v>
                </c:pt>
                <c:pt idx="13">
                  <c:v>0.42222222222222222</c:v>
                </c:pt>
                <c:pt idx="14">
                  <c:v>0.42222222222222222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6C-49BD-B3BD-6B0207274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SP-A/B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2">
                  <c:v>4866</c:v>
                </c:pt>
                <c:pt idx="3">
                  <c:v>5160</c:v>
                </c:pt>
                <c:pt idx="4">
                  <c:v>5035</c:v>
                </c:pt>
                <c:pt idx="5">
                  <c:v>589</c:v>
                </c:pt>
                <c:pt idx="6">
                  <c:v>1602</c:v>
                </c:pt>
                <c:pt idx="7">
                  <c:v>8032</c:v>
                </c:pt>
                <c:pt idx="11">
                  <c:v>5168</c:v>
                </c:pt>
                <c:pt idx="14">
                  <c:v>75200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5F-4308-BD17-6233F4DF4341}"/>
            </c:ext>
          </c:extLst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SP-A/B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4866</c:v>
                </c:pt>
                <c:pt idx="3">
                  <c:v>5160</c:v>
                </c:pt>
                <c:pt idx="4">
                  <c:v>5035</c:v>
                </c:pt>
                <c:pt idx="5">
                  <c:v>589</c:v>
                </c:pt>
                <c:pt idx="6">
                  <c:v>1602</c:v>
                </c:pt>
                <c:pt idx="7">
                  <c:v>8032</c:v>
                </c:pt>
                <c:pt idx="8">
                  <c:v>318</c:v>
                </c:pt>
                <c:pt idx="9">
                  <c:v>3622</c:v>
                </c:pt>
                <c:pt idx="10">
                  <c:v>4310</c:v>
                </c:pt>
                <c:pt idx="11">
                  <c:v>5168</c:v>
                </c:pt>
                <c:pt idx="12">
                  <c:v>3615</c:v>
                </c:pt>
                <c:pt idx="13">
                  <c:v>2357</c:v>
                </c:pt>
                <c:pt idx="14">
                  <c:v>75200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5F-4308-BD17-6233F4DF4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17%</c:v>
                </c:pt>
                <c:pt idx="6">
                  <c:v>33%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96%</c:v>
                </c:pt>
                <c:pt idx="12">
                  <c:v>0%</c:v>
                </c:pt>
                <c:pt idx="13">
                  <c:v>0%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SP-A/B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0.16666666666666666</c:v>
                </c:pt>
                <c:pt idx="6">
                  <c:v>0.33333333333333331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0.95833333333333337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EF-4681-8F4E-BC5BD90308E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BEF-4681-8F4E-BC5BD90308E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SP-A/B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0.42222222222222222</c:v>
                </c:pt>
                <c:pt idx="1">
                  <c:v>0.42222222222222222</c:v>
                </c:pt>
                <c:pt idx="2">
                  <c:v>0.42222222222222222</c:v>
                </c:pt>
                <c:pt idx="3">
                  <c:v>0.42222222222222222</c:v>
                </c:pt>
                <c:pt idx="4">
                  <c:v>0.42222222222222222</c:v>
                </c:pt>
                <c:pt idx="5">
                  <c:v>0.42222222222222222</c:v>
                </c:pt>
                <c:pt idx="6">
                  <c:v>0.42222222222222222</c:v>
                </c:pt>
                <c:pt idx="7">
                  <c:v>0.42222222222222222</c:v>
                </c:pt>
                <c:pt idx="8">
                  <c:v>0.42222222222222222</c:v>
                </c:pt>
                <c:pt idx="9">
                  <c:v>0.42222222222222222</c:v>
                </c:pt>
                <c:pt idx="10">
                  <c:v>0.42222222222222222</c:v>
                </c:pt>
                <c:pt idx="11">
                  <c:v>0.42222222222222222</c:v>
                </c:pt>
                <c:pt idx="12">
                  <c:v>0.42222222222222222</c:v>
                </c:pt>
                <c:pt idx="13">
                  <c:v>0.42222222222222222</c:v>
                </c:pt>
                <c:pt idx="14">
                  <c:v>0.42222222222222222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EF-4681-8F4E-BC5BD903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B88-43B9-8EE5-F9BA0B9B58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88-43B9-8EE5-F9BA0B9B5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B88-43B9-8EE5-F9BA0B9B58D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88-43B9-8EE5-F9BA0B9B5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2">
                  <c:v>2204</c:v>
                </c:pt>
                <c:pt idx="3">
                  <c:v>1762</c:v>
                </c:pt>
                <c:pt idx="4">
                  <c:v>1297</c:v>
                </c:pt>
                <c:pt idx="5">
                  <c:v>1007</c:v>
                </c:pt>
                <c:pt idx="6">
                  <c:v>872</c:v>
                </c:pt>
                <c:pt idx="7">
                  <c:v>4920</c:v>
                </c:pt>
                <c:pt idx="11">
                  <c:v>2206</c:v>
                </c:pt>
                <c:pt idx="12">
                  <c:v>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9B-454E-93C3-912173A79817}"/>
            </c:ext>
          </c:extLst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2204</c:v>
                </c:pt>
                <c:pt idx="3">
                  <c:v>1762</c:v>
                </c:pt>
                <c:pt idx="4">
                  <c:v>1297</c:v>
                </c:pt>
                <c:pt idx="5">
                  <c:v>1007</c:v>
                </c:pt>
                <c:pt idx="6">
                  <c:v>872</c:v>
                </c:pt>
                <c:pt idx="7">
                  <c:v>4920</c:v>
                </c:pt>
                <c:pt idx="8">
                  <c:v>318</c:v>
                </c:pt>
                <c:pt idx="9">
                  <c:v>3622</c:v>
                </c:pt>
                <c:pt idx="10">
                  <c:v>4310</c:v>
                </c:pt>
                <c:pt idx="11">
                  <c:v>2206</c:v>
                </c:pt>
                <c:pt idx="12">
                  <c:v>930</c:v>
                </c:pt>
                <c:pt idx="13">
                  <c:v>2357</c:v>
                </c:pt>
                <c:pt idx="14">
                  <c:v>75200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9B-454E-93C3-912173A79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33%</c:v>
                </c:pt>
                <c:pt idx="4">
                  <c:v>29%</c:v>
                </c:pt>
                <c:pt idx="5">
                  <c:v>29%</c:v>
                </c:pt>
                <c:pt idx="6">
                  <c:v>21%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42%</c:v>
                </c:pt>
                <c:pt idx="12">
                  <c:v>21%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0.33333333333333331</c:v>
                </c:pt>
                <c:pt idx="4">
                  <c:v>0.29166666666666669</c:v>
                </c:pt>
                <c:pt idx="5">
                  <c:v>0.29166666666666669</c:v>
                </c:pt>
                <c:pt idx="6">
                  <c:v>0.20833333333333334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0.41666666666666669</c:v>
                </c:pt>
                <c:pt idx="12">
                  <c:v>0.20833333333333334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EC-4090-965E-C99AD59668B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5EC-4090-965E-C99AD59668B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0.17222222222222222</c:v>
                </c:pt>
                <c:pt idx="1">
                  <c:v>0.17222222222222222</c:v>
                </c:pt>
                <c:pt idx="2">
                  <c:v>0.17222222222222222</c:v>
                </c:pt>
                <c:pt idx="3">
                  <c:v>0.17222222222222222</c:v>
                </c:pt>
                <c:pt idx="4">
                  <c:v>0.17222222222222222</c:v>
                </c:pt>
                <c:pt idx="5">
                  <c:v>0.17222222222222222</c:v>
                </c:pt>
                <c:pt idx="6">
                  <c:v>0.17222222222222222</c:v>
                </c:pt>
                <c:pt idx="7">
                  <c:v>0.17222222222222222</c:v>
                </c:pt>
                <c:pt idx="8">
                  <c:v>0.17222222222222222</c:v>
                </c:pt>
                <c:pt idx="9">
                  <c:v>0.17222222222222222</c:v>
                </c:pt>
                <c:pt idx="10">
                  <c:v>0.17222222222222222</c:v>
                </c:pt>
                <c:pt idx="11">
                  <c:v>0.17222222222222222</c:v>
                </c:pt>
                <c:pt idx="12">
                  <c:v>0.17222222222222222</c:v>
                </c:pt>
                <c:pt idx="13">
                  <c:v>0.17222222222222222</c:v>
                </c:pt>
                <c:pt idx="14">
                  <c:v>0.17222222222222222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EC-4090-965E-C99AD5966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2">
                  <c:v>2204</c:v>
                </c:pt>
                <c:pt idx="3">
                  <c:v>1762</c:v>
                </c:pt>
                <c:pt idx="4">
                  <c:v>1297</c:v>
                </c:pt>
                <c:pt idx="5">
                  <c:v>1007</c:v>
                </c:pt>
                <c:pt idx="6">
                  <c:v>872</c:v>
                </c:pt>
                <c:pt idx="7">
                  <c:v>4920</c:v>
                </c:pt>
                <c:pt idx="11">
                  <c:v>2206</c:v>
                </c:pt>
                <c:pt idx="12">
                  <c:v>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E-4935-8420-E39FA45DBA99}"/>
            </c:ext>
          </c:extLst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2204</c:v>
                </c:pt>
                <c:pt idx="3">
                  <c:v>1762</c:v>
                </c:pt>
                <c:pt idx="4">
                  <c:v>1297</c:v>
                </c:pt>
                <c:pt idx="5">
                  <c:v>1007</c:v>
                </c:pt>
                <c:pt idx="6">
                  <c:v>872</c:v>
                </c:pt>
                <c:pt idx="7">
                  <c:v>4920</c:v>
                </c:pt>
                <c:pt idx="8">
                  <c:v>318</c:v>
                </c:pt>
                <c:pt idx="9">
                  <c:v>3622</c:v>
                </c:pt>
                <c:pt idx="10">
                  <c:v>4310</c:v>
                </c:pt>
                <c:pt idx="11">
                  <c:v>2206</c:v>
                </c:pt>
                <c:pt idx="12">
                  <c:v>930</c:v>
                </c:pt>
                <c:pt idx="13">
                  <c:v>2357</c:v>
                </c:pt>
                <c:pt idx="14">
                  <c:v>75200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E-4935-8420-E39FA45DB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33%</c:v>
                </c:pt>
                <c:pt idx="4">
                  <c:v>29%</c:v>
                </c:pt>
                <c:pt idx="5">
                  <c:v>29%</c:v>
                </c:pt>
                <c:pt idx="6">
                  <c:v>21%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42%</c:v>
                </c:pt>
                <c:pt idx="12">
                  <c:v>21%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0.33333333333333331</c:v>
                </c:pt>
                <c:pt idx="4">
                  <c:v>0.29166666666666669</c:v>
                </c:pt>
                <c:pt idx="5">
                  <c:v>0.29166666666666669</c:v>
                </c:pt>
                <c:pt idx="6">
                  <c:v>0.20833333333333334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0.41666666666666669</c:v>
                </c:pt>
                <c:pt idx="12">
                  <c:v>0.20833333333333334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D1-42C4-BC20-C74A6E98210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6D1-42C4-BC20-C74A6E98210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COVER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0.17222222222222222</c:v>
                </c:pt>
                <c:pt idx="1">
                  <c:v>0.17222222222222222</c:v>
                </c:pt>
                <c:pt idx="2">
                  <c:v>0.17222222222222222</c:v>
                </c:pt>
                <c:pt idx="3">
                  <c:v>0.17222222222222222</c:v>
                </c:pt>
                <c:pt idx="4">
                  <c:v>0.17222222222222222</c:v>
                </c:pt>
                <c:pt idx="5">
                  <c:v>0.17222222222222222</c:v>
                </c:pt>
                <c:pt idx="6">
                  <c:v>0.17222222222222222</c:v>
                </c:pt>
                <c:pt idx="7">
                  <c:v>0.17222222222222222</c:v>
                </c:pt>
                <c:pt idx="8">
                  <c:v>0.17222222222222222</c:v>
                </c:pt>
                <c:pt idx="9">
                  <c:v>0.17222222222222222</c:v>
                </c:pt>
                <c:pt idx="10">
                  <c:v>0.17222222222222222</c:v>
                </c:pt>
                <c:pt idx="11">
                  <c:v>0.17222222222222222</c:v>
                </c:pt>
                <c:pt idx="12">
                  <c:v>0.17222222222222222</c:v>
                </c:pt>
                <c:pt idx="13">
                  <c:v>0.17222222222222222</c:v>
                </c:pt>
                <c:pt idx="14">
                  <c:v>0.17222222222222222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D1-42C4-BC20-C74A6E982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7BC-45BF-8617-D244FA277E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C-45BF-8617-D244FA27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7BC-45BF-8617-D244FA277EE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BC-45BF-8617-D244FA27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'18'!$D$6:$D$20</c:f>
              <c:strCache>
                <c:ptCount val="13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SHAFT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'18'!$L$6:$L$20</c:f>
              <c:numCache>
                <c:formatCode>_(* #,##0_);_(* \(#,##0\);_(* "-"_);_(@_)</c:formatCode>
                <c:ptCount val="15"/>
                <c:pt idx="2">
                  <c:v>4262</c:v>
                </c:pt>
                <c:pt idx="3">
                  <c:v>3528</c:v>
                </c:pt>
                <c:pt idx="4">
                  <c:v>92704</c:v>
                </c:pt>
                <c:pt idx="5">
                  <c:v>5932</c:v>
                </c:pt>
                <c:pt idx="6">
                  <c:v>2860</c:v>
                </c:pt>
                <c:pt idx="7">
                  <c:v>5646</c:v>
                </c:pt>
                <c:pt idx="10">
                  <c:v>686</c:v>
                </c:pt>
                <c:pt idx="11">
                  <c:v>4833</c:v>
                </c:pt>
                <c:pt idx="12">
                  <c:v>3442</c:v>
                </c:pt>
                <c:pt idx="13">
                  <c:v>955</c:v>
                </c:pt>
                <c:pt idx="14">
                  <c:v>36104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88-4EF1-8D9F-3170C889F5E1}"/>
            </c:ext>
          </c:extLst>
        </c:ser>
        <c:ser>
          <c:idx val="1"/>
          <c:order val="1"/>
          <c:tx>
            <c:v>계획</c:v>
          </c:tx>
          <c:cat>
            <c:strRef>
              <c:f>'18'!$D$6:$D$20</c:f>
              <c:strCache>
                <c:ptCount val="13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SHAFT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'18'!$J$6:$J$20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4262</c:v>
                </c:pt>
                <c:pt idx="3">
                  <c:v>3528</c:v>
                </c:pt>
                <c:pt idx="4">
                  <c:v>92704</c:v>
                </c:pt>
                <c:pt idx="5">
                  <c:v>5932</c:v>
                </c:pt>
                <c:pt idx="6">
                  <c:v>2860</c:v>
                </c:pt>
                <c:pt idx="7">
                  <c:v>5646</c:v>
                </c:pt>
                <c:pt idx="8">
                  <c:v>318</c:v>
                </c:pt>
                <c:pt idx="9">
                  <c:v>3622</c:v>
                </c:pt>
                <c:pt idx="10">
                  <c:v>686</c:v>
                </c:pt>
                <c:pt idx="11">
                  <c:v>4833</c:v>
                </c:pt>
                <c:pt idx="12">
                  <c:v>3442</c:v>
                </c:pt>
                <c:pt idx="13">
                  <c:v>955</c:v>
                </c:pt>
                <c:pt idx="14">
                  <c:v>36104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88-4EF1-8D9F-3170C889F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75%</c:v>
                </c:pt>
                <c:pt idx="4">
                  <c:v>92%</c:v>
                </c:pt>
                <c:pt idx="5">
                  <c:v>100%</c:v>
                </c:pt>
                <c:pt idx="6">
                  <c:v>63%</c:v>
                </c:pt>
                <c:pt idx="7">
                  <c:v>63%</c:v>
                </c:pt>
                <c:pt idx="8">
                  <c:v>0%</c:v>
                </c:pt>
                <c:pt idx="9">
                  <c:v>0%</c:v>
                </c:pt>
                <c:pt idx="10">
                  <c:v>25%</c:v>
                </c:pt>
                <c:pt idx="11">
                  <c:v>83%</c:v>
                </c:pt>
                <c:pt idx="12">
                  <c:v>79%</c:v>
                </c:pt>
                <c:pt idx="13">
                  <c:v>42%</c:v>
                </c:pt>
                <c:pt idx="14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3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SHAFT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'18'!$AD$6:$AD$20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0.75</c:v>
                </c:pt>
                <c:pt idx="4">
                  <c:v>0.91666666666666663</c:v>
                </c:pt>
                <c:pt idx="5">
                  <c:v>1</c:v>
                </c:pt>
                <c:pt idx="6">
                  <c:v>0.625</c:v>
                </c:pt>
                <c:pt idx="7">
                  <c:v>0.625</c:v>
                </c:pt>
                <c:pt idx="8">
                  <c:v>0</c:v>
                </c:pt>
                <c:pt idx="9">
                  <c:v>0</c:v>
                </c:pt>
                <c:pt idx="10">
                  <c:v>0.25</c:v>
                </c:pt>
                <c:pt idx="11">
                  <c:v>0.83333333333333337</c:v>
                </c:pt>
                <c:pt idx="12">
                  <c:v>0.79166666666666663</c:v>
                </c:pt>
                <c:pt idx="13">
                  <c:v>0.41666666666666669</c:v>
                </c:pt>
                <c:pt idx="1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13-4A9D-BFBA-9ECB26D707D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813-4A9D-BFBA-9ECB26D707D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3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SHAFT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'18'!$AE$6:$AE$20</c:f>
              <c:numCache>
                <c:formatCode>0%</c:formatCode>
                <c:ptCount val="15"/>
                <c:pt idx="0">
                  <c:v>0.51388888888888884</c:v>
                </c:pt>
                <c:pt idx="1">
                  <c:v>0.51388888888888884</c:v>
                </c:pt>
                <c:pt idx="2">
                  <c:v>0.51388888888888884</c:v>
                </c:pt>
                <c:pt idx="3">
                  <c:v>0.51388888888888884</c:v>
                </c:pt>
                <c:pt idx="4">
                  <c:v>0.51388888888888884</c:v>
                </c:pt>
                <c:pt idx="5">
                  <c:v>0.51388888888888884</c:v>
                </c:pt>
                <c:pt idx="6">
                  <c:v>0.51388888888888884</c:v>
                </c:pt>
                <c:pt idx="7">
                  <c:v>0.51388888888888884</c:v>
                </c:pt>
                <c:pt idx="8">
                  <c:v>0.51388888888888884</c:v>
                </c:pt>
                <c:pt idx="9">
                  <c:v>0.51388888888888884</c:v>
                </c:pt>
                <c:pt idx="10">
                  <c:v>0.51388888888888884</c:v>
                </c:pt>
                <c:pt idx="11">
                  <c:v>0.51388888888888884</c:v>
                </c:pt>
                <c:pt idx="12">
                  <c:v>0.51388888888888884</c:v>
                </c:pt>
                <c:pt idx="13">
                  <c:v>0.51388888888888884</c:v>
                </c:pt>
                <c:pt idx="14">
                  <c:v>0.51388888888888884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13-4A9D-BFBA-9ECB26D70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'18'!$D$6:$D$20</c:f>
              <c:strCache>
                <c:ptCount val="13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SHAFT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'18'!$L$6:$L$20</c:f>
              <c:numCache>
                <c:formatCode>_(* #,##0_);_(* \(#,##0\);_(* "-"_);_(@_)</c:formatCode>
                <c:ptCount val="15"/>
                <c:pt idx="2">
                  <c:v>4262</c:v>
                </c:pt>
                <c:pt idx="3">
                  <c:v>3528</c:v>
                </c:pt>
                <c:pt idx="4">
                  <c:v>92704</c:v>
                </c:pt>
                <c:pt idx="5">
                  <c:v>5932</c:v>
                </c:pt>
                <c:pt idx="6">
                  <c:v>2860</c:v>
                </c:pt>
                <c:pt idx="7">
                  <c:v>5646</c:v>
                </c:pt>
                <c:pt idx="10">
                  <c:v>686</c:v>
                </c:pt>
                <c:pt idx="11">
                  <c:v>4833</c:v>
                </c:pt>
                <c:pt idx="12">
                  <c:v>3442</c:v>
                </c:pt>
                <c:pt idx="13">
                  <c:v>955</c:v>
                </c:pt>
                <c:pt idx="14">
                  <c:v>36104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3B-4973-9C4F-7B08DEE12FEC}"/>
            </c:ext>
          </c:extLst>
        </c:ser>
        <c:ser>
          <c:idx val="1"/>
          <c:order val="1"/>
          <c:tx>
            <c:v>계획</c:v>
          </c:tx>
          <c:cat>
            <c:strRef>
              <c:f>'18'!$D$6:$D$20</c:f>
              <c:strCache>
                <c:ptCount val="13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SHAFT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'18'!$J$6:$J$20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4262</c:v>
                </c:pt>
                <c:pt idx="3">
                  <c:v>3528</c:v>
                </c:pt>
                <c:pt idx="4">
                  <c:v>92704</c:v>
                </c:pt>
                <c:pt idx="5">
                  <c:v>5932</c:v>
                </c:pt>
                <c:pt idx="6">
                  <c:v>2860</c:v>
                </c:pt>
                <c:pt idx="7">
                  <c:v>5646</c:v>
                </c:pt>
                <c:pt idx="8">
                  <c:v>318</c:v>
                </c:pt>
                <c:pt idx="9">
                  <c:v>3622</c:v>
                </c:pt>
                <c:pt idx="10">
                  <c:v>686</c:v>
                </c:pt>
                <c:pt idx="11">
                  <c:v>4833</c:v>
                </c:pt>
                <c:pt idx="12">
                  <c:v>3442</c:v>
                </c:pt>
                <c:pt idx="13">
                  <c:v>955</c:v>
                </c:pt>
                <c:pt idx="14">
                  <c:v>36104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3B-4973-9C4F-7B08DEE12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75%</c:v>
                </c:pt>
                <c:pt idx="4">
                  <c:v>92%</c:v>
                </c:pt>
                <c:pt idx="5">
                  <c:v>100%</c:v>
                </c:pt>
                <c:pt idx="6">
                  <c:v>63%</c:v>
                </c:pt>
                <c:pt idx="7">
                  <c:v>63%</c:v>
                </c:pt>
                <c:pt idx="8">
                  <c:v>0%</c:v>
                </c:pt>
                <c:pt idx="9">
                  <c:v>0%</c:v>
                </c:pt>
                <c:pt idx="10">
                  <c:v>25%</c:v>
                </c:pt>
                <c:pt idx="11">
                  <c:v>83%</c:v>
                </c:pt>
                <c:pt idx="12">
                  <c:v>79%</c:v>
                </c:pt>
                <c:pt idx="13">
                  <c:v>42%</c:v>
                </c:pt>
                <c:pt idx="14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3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SHAFT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'18'!$AD$6:$AD$20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0.75</c:v>
                </c:pt>
                <c:pt idx="4">
                  <c:v>0.91666666666666663</c:v>
                </c:pt>
                <c:pt idx="5">
                  <c:v>1</c:v>
                </c:pt>
                <c:pt idx="6">
                  <c:v>0.625</c:v>
                </c:pt>
                <c:pt idx="7">
                  <c:v>0.625</c:v>
                </c:pt>
                <c:pt idx="8">
                  <c:v>0</c:v>
                </c:pt>
                <c:pt idx="9">
                  <c:v>0</c:v>
                </c:pt>
                <c:pt idx="10">
                  <c:v>0.25</c:v>
                </c:pt>
                <c:pt idx="11">
                  <c:v>0.83333333333333337</c:v>
                </c:pt>
                <c:pt idx="12">
                  <c:v>0.79166666666666663</c:v>
                </c:pt>
                <c:pt idx="13">
                  <c:v>0.41666666666666669</c:v>
                </c:pt>
                <c:pt idx="1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85-4CD8-BB0D-300013B03AD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85-4CD8-BB0D-300013B03AD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3"/>
                <c:pt idx="1">
                  <c:v>88P</c:v>
                </c:pt>
                <c:pt idx="2">
                  <c:v>BODY</c:v>
                </c:pt>
                <c:pt idx="3">
                  <c:v>ACTUATOR</c:v>
                </c:pt>
                <c:pt idx="4">
                  <c:v>SHAFT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9">
                  <c:v>IC GUIDE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'18'!$AE$6:$AE$20</c:f>
              <c:numCache>
                <c:formatCode>0%</c:formatCode>
                <c:ptCount val="15"/>
                <c:pt idx="0">
                  <c:v>0.51388888888888884</c:v>
                </c:pt>
                <c:pt idx="1">
                  <c:v>0.51388888888888884</c:v>
                </c:pt>
                <c:pt idx="2">
                  <c:v>0.51388888888888884</c:v>
                </c:pt>
                <c:pt idx="3">
                  <c:v>0.51388888888888884</c:v>
                </c:pt>
                <c:pt idx="4">
                  <c:v>0.51388888888888884</c:v>
                </c:pt>
                <c:pt idx="5">
                  <c:v>0.51388888888888884</c:v>
                </c:pt>
                <c:pt idx="6">
                  <c:v>0.51388888888888884</c:v>
                </c:pt>
                <c:pt idx="7">
                  <c:v>0.51388888888888884</c:v>
                </c:pt>
                <c:pt idx="8">
                  <c:v>0.51388888888888884</c:v>
                </c:pt>
                <c:pt idx="9">
                  <c:v>0.51388888888888884</c:v>
                </c:pt>
                <c:pt idx="10">
                  <c:v>0.51388888888888884</c:v>
                </c:pt>
                <c:pt idx="11">
                  <c:v>0.51388888888888884</c:v>
                </c:pt>
                <c:pt idx="12">
                  <c:v>0.51388888888888884</c:v>
                </c:pt>
                <c:pt idx="13">
                  <c:v>0.51388888888888884</c:v>
                </c:pt>
                <c:pt idx="14">
                  <c:v>0.51388888888888884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85-4CD8-BB0D-300013B03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B7C-4F67-8601-A8240489C3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7C-4F67-8601-A8240489C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B7C-4F67-8601-A8240489C3A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7C-4F67-8601-A8240489C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SHAFT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'19'!$L$6:$L$20</c:f>
              <c:numCache>
                <c:formatCode>_(* #,##0_);_(* \(#,##0\);_(* "-"_);_(@_)</c:formatCode>
                <c:ptCount val="15"/>
                <c:pt idx="2">
                  <c:v>4928</c:v>
                </c:pt>
                <c:pt idx="3">
                  <c:v>5214</c:v>
                </c:pt>
                <c:pt idx="4">
                  <c:v>107344</c:v>
                </c:pt>
                <c:pt idx="5">
                  <c:v>2315</c:v>
                </c:pt>
                <c:pt idx="6">
                  <c:v>3148</c:v>
                </c:pt>
                <c:pt idx="7">
                  <c:v>7110</c:v>
                </c:pt>
                <c:pt idx="10">
                  <c:v>2312</c:v>
                </c:pt>
                <c:pt idx="11">
                  <c:v>5412</c:v>
                </c:pt>
                <c:pt idx="12">
                  <c:v>701</c:v>
                </c:pt>
                <c:pt idx="13">
                  <c:v>2072</c:v>
                </c:pt>
                <c:pt idx="14">
                  <c:v>30099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7F-49A9-9CD4-0F96CBDB82E5}"/>
            </c:ext>
          </c:extLst>
        </c:ser>
        <c:ser>
          <c:idx val="1"/>
          <c:order val="1"/>
          <c:tx>
            <c:v>계획</c:v>
          </c:tx>
          <c:cat>
            <c:strRef>
              <c:f>'19'!$D$6:$D$20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SHAFT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4928</c:v>
                </c:pt>
                <c:pt idx="3">
                  <c:v>5214</c:v>
                </c:pt>
                <c:pt idx="4">
                  <c:v>107344</c:v>
                </c:pt>
                <c:pt idx="5">
                  <c:v>2315</c:v>
                </c:pt>
                <c:pt idx="6">
                  <c:v>3148</c:v>
                </c:pt>
                <c:pt idx="7">
                  <c:v>7110</c:v>
                </c:pt>
                <c:pt idx="8">
                  <c:v>318</c:v>
                </c:pt>
                <c:pt idx="9">
                  <c:v>3622</c:v>
                </c:pt>
                <c:pt idx="10">
                  <c:v>2312</c:v>
                </c:pt>
                <c:pt idx="11">
                  <c:v>5412</c:v>
                </c:pt>
                <c:pt idx="12">
                  <c:v>701</c:v>
                </c:pt>
                <c:pt idx="13">
                  <c:v>2072</c:v>
                </c:pt>
                <c:pt idx="14">
                  <c:v>30099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7F-49A9-9CD4-0F96CBDB8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100%</c:v>
                </c:pt>
                <c:pt idx="4">
                  <c:v>100%</c:v>
                </c:pt>
                <c:pt idx="5">
                  <c:v>54%</c:v>
                </c:pt>
                <c:pt idx="6">
                  <c:v>79%</c:v>
                </c:pt>
                <c:pt idx="7">
                  <c:v>75%</c:v>
                </c:pt>
                <c:pt idx="8">
                  <c:v>0%</c:v>
                </c:pt>
                <c:pt idx="9">
                  <c:v>0%</c:v>
                </c:pt>
                <c:pt idx="10">
                  <c:v>50%</c:v>
                </c:pt>
                <c:pt idx="11">
                  <c:v>92%</c:v>
                </c:pt>
                <c:pt idx="12">
                  <c:v>17%</c:v>
                </c:pt>
                <c:pt idx="13">
                  <c:v>42%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SHAFT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0.58333333333333337</c:v>
                </c:pt>
                <c:pt idx="3">
                  <c:v>1</c:v>
                </c:pt>
                <c:pt idx="4">
                  <c:v>1</c:v>
                </c:pt>
                <c:pt idx="5">
                  <c:v>0.54166666666666663</c:v>
                </c:pt>
                <c:pt idx="6">
                  <c:v>0.79166666666666663</c:v>
                </c:pt>
                <c:pt idx="7">
                  <c:v>0.75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0.91666666666666663</c:v>
                </c:pt>
                <c:pt idx="12">
                  <c:v>0.16666666666666666</c:v>
                </c:pt>
                <c:pt idx="13">
                  <c:v>0.41666666666666669</c:v>
                </c:pt>
                <c:pt idx="14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CE-4F41-AEB4-9F6924962E2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7CE-4F41-AEB4-9F6924962E2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SHAFT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'19'!$AE$6:$AE$20</c:f>
              <c:numCache>
                <c:formatCode>0%</c:formatCode>
                <c:ptCount val="15"/>
                <c:pt idx="0">
                  <c:v>0.48055555555555557</c:v>
                </c:pt>
                <c:pt idx="1">
                  <c:v>0.48055555555555557</c:v>
                </c:pt>
                <c:pt idx="2">
                  <c:v>0.48055555555555557</c:v>
                </c:pt>
                <c:pt idx="3">
                  <c:v>0.48055555555555557</c:v>
                </c:pt>
                <c:pt idx="4">
                  <c:v>0.48055555555555557</c:v>
                </c:pt>
                <c:pt idx="5">
                  <c:v>0.48055555555555557</c:v>
                </c:pt>
                <c:pt idx="6">
                  <c:v>0.48055555555555557</c:v>
                </c:pt>
                <c:pt idx="7">
                  <c:v>0.48055555555555557</c:v>
                </c:pt>
                <c:pt idx="8">
                  <c:v>0.48055555555555557</c:v>
                </c:pt>
                <c:pt idx="9">
                  <c:v>0.48055555555555557</c:v>
                </c:pt>
                <c:pt idx="10">
                  <c:v>0.48055555555555557</c:v>
                </c:pt>
                <c:pt idx="11">
                  <c:v>0.48055555555555557</c:v>
                </c:pt>
                <c:pt idx="12">
                  <c:v>0.48055555555555557</c:v>
                </c:pt>
                <c:pt idx="13">
                  <c:v>0.48055555555555557</c:v>
                </c:pt>
                <c:pt idx="14">
                  <c:v>0.48055555555555557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CE-4F41-AEB4-9F6924962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SHAFT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'19'!$L$6:$L$20</c:f>
              <c:numCache>
                <c:formatCode>_(* #,##0_);_(* \(#,##0\);_(* "-"_);_(@_)</c:formatCode>
                <c:ptCount val="15"/>
                <c:pt idx="2">
                  <c:v>4928</c:v>
                </c:pt>
                <c:pt idx="3">
                  <c:v>5214</c:v>
                </c:pt>
                <c:pt idx="4">
                  <c:v>107344</c:v>
                </c:pt>
                <c:pt idx="5">
                  <c:v>2315</c:v>
                </c:pt>
                <c:pt idx="6">
                  <c:v>3148</c:v>
                </c:pt>
                <c:pt idx="7">
                  <c:v>7110</c:v>
                </c:pt>
                <c:pt idx="10">
                  <c:v>2312</c:v>
                </c:pt>
                <c:pt idx="11">
                  <c:v>5412</c:v>
                </c:pt>
                <c:pt idx="12">
                  <c:v>701</c:v>
                </c:pt>
                <c:pt idx="13">
                  <c:v>2072</c:v>
                </c:pt>
                <c:pt idx="14">
                  <c:v>30099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97-4C98-BE15-64AF660BD110}"/>
            </c:ext>
          </c:extLst>
        </c:ser>
        <c:ser>
          <c:idx val="1"/>
          <c:order val="1"/>
          <c:tx>
            <c:v>계획</c:v>
          </c:tx>
          <c:cat>
            <c:strRef>
              <c:f>'19'!$D$6:$D$20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SHAFT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4928</c:v>
                </c:pt>
                <c:pt idx="3">
                  <c:v>5214</c:v>
                </c:pt>
                <c:pt idx="4">
                  <c:v>107344</c:v>
                </c:pt>
                <c:pt idx="5">
                  <c:v>2315</c:v>
                </c:pt>
                <c:pt idx="6">
                  <c:v>3148</c:v>
                </c:pt>
                <c:pt idx="7">
                  <c:v>7110</c:v>
                </c:pt>
                <c:pt idx="8">
                  <c:v>318</c:v>
                </c:pt>
                <c:pt idx="9">
                  <c:v>3622</c:v>
                </c:pt>
                <c:pt idx="10">
                  <c:v>2312</c:v>
                </c:pt>
                <c:pt idx="11">
                  <c:v>5412</c:v>
                </c:pt>
                <c:pt idx="12">
                  <c:v>701</c:v>
                </c:pt>
                <c:pt idx="13">
                  <c:v>2072</c:v>
                </c:pt>
                <c:pt idx="14">
                  <c:v>30099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97-4C98-BE15-64AF660BD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100%</c:v>
                </c:pt>
                <c:pt idx="4">
                  <c:v>100%</c:v>
                </c:pt>
                <c:pt idx="5">
                  <c:v>54%</c:v>
                </c:pt>
                <c:pt idx="6">
                  <c:v>79%</c:v>
                </c:pt>
                <c:pt idx="7">
                  <c:v>75%</c:v>
                </c:pt>
                <c:pt idx="8">
                  <c:v>0%</c:v>
                </c:pt>
                <c:pt idx="9">
                  <c:v>0%</c:v>
                </c:pt>
                <c:pt idx="10">
                  <c:v>50%</c:v>
                </c:pt>
                <c:pt idx="11">
                  <c:v>92%</c:v>
                </c:pt>
                <c:pt idx="12">
                  <c:v>17%</c:v>
                </c:pt>
                <c:pt idx="13">
                  <c:v>42%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SHAFT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0.58333333333333337</c:v>
                </c:pt>
                <c:pt idx="3">
                  <c:v>1</c:v>
                </c:pt>
                <c:pt idx="4">
                  <c:v>1</c:v>
                </c:pt>
                <c:pt idx="5">
                  <c:v>0.54166666666666663</c:v>
                </c:pt>
                <c:pt idx="6">
                  <c:v>0.79166666666666663</c:v>
                </c:pt>
                <c:pt idx="7">
                  <c:v>0.75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0.91666666666666663</c:v>
                </c:pt>
                <c:pt idx="12">
                  <c:v>0.16666666666666666</c:v>
                </c:pt>
                <c:pt idx="13">
                  <c:v>0.41666666666666669</c:v>
                </c:pt>
                <c:pt idx="14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A-4A83-B718-62FC1A92D76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B7A-4A83-B718-62FC1A92D76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SHAFT</c:v>
                </c:pt>
                <c:pt idx="5">
                  <c:v>SP-A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'19'!$AE$6:$AE$20</c:f>
              <c:numCache>
                <c:formatCode>0%</c:formatCode>
                <c:ptCount val="15"/>
                <c:pt idx="0">
                  <c:v>0.48055555555555557</c:v>
                </c:pt>
                <c:pt idx="1">
                  <c:v>0.48055555555555557</c:v>
                </c:pt>
                <c:pt idx="2">
                  <c:v>0.48055555555555557</c:v>
                </c:pt>
                <c:pt idx="3">
                  <c:v>0.48055555555555557</c:v>
                </c:pt>
                <c:pt idx="4">
                  <c:v>0.48055555555555557</c:v>
                </c:pt>
                <c:pt idx="5">
                  <c:v>0.48055555555555557</c:v>
                </c:pt>
                <c:pt idx="6">
                  <c:v>0.48055555555555557</c:v>
                </c:pt>
                <c:pt idx="7">
                  <c:v>0.48055555555555557</c:v>
                </c:pt>
                <c:pt idx="8">
                  <c:v>0.48055555555555557</c:v>
                </c:pt>
                <c:pt idx="9">
                  <c:v>0.48055555555555557</c:v>
                </c:pt>
                <c:pt idx="10">
                  <c:v>0.48055555555555557</c:v>
                </c:pt>
                <c:pt idx="11">
                  <c:v>0.48055555555555557</c:v>
                </c:pt>
                <c:pt idx="12">
                  <c:v>0.48055555555555557</c:v>
                </c:pt>
                <c:pt idx="13">
                  <c:v>0.48055555555555557</c:v>
                </c:pt>
                <c:pt idx="14">
                  <c:v>0.48055555555555557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7A-4A83-B718-62FC1A92D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FFC-4729-AC96-1B2627CA64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FC-4729-AC96-1B2627CA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FFC-4729-AC96-1B2627CA64A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FC-4729-AC96-1B2627CA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3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2">
                  <c:v>9946</c:v>
                </c:pt>
                <c:pt idx="3">
                  <c:v>2558</c:v>
                </c:pt>
                <c:pt idx="4">
                  <c:v>95328</c:v>
                </c:pt>
                <c:pt idx="5">
                  <c:v>2419</c:v>
                </c:pt>
                <c:pt idx="6">
                  <c:v>2498</c:v>
                </c:pt>
                <c:pt idx="7">
                  <c:v>6748</c:v>
                </c:pt>
                <c:pt idx="10">
                  <c:v>5350</c:v>
                </c:pt>
                <c:pt idx="11">
                  <c:v>6386</c:v>
                </c:pt>
                <c:pt idx="12">
                  <c:v>570</c:v>
                </c:pt>
                <c:pt idx="13">
                  <c:v>777</c:v>
                </c:pt>
                <c:pt idx="14">
                  <c:v>2288</c:v>
                </c:pt>
                <c:pt idx="15">
                  <c:v>30702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43-41F4-BE14-DA50F89FE79B}"/>
            </c:ext>
          </c:extLst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3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9946</c:v>
                </c:pt>
                <c:pt idx="3">
                  <c:v>2558</c:v>
                </c:pt>
                <c:pt idx="4">
                  <c:v>95328</c:v>
                </c:pt>
                <c:pt idx="5">
                  <c:v>2419</c:v>
                </c:pt>
                <c:pt idx="6">
                  <c:v>2498</c:v>
                </c:pt>
                <c:pt idx="7">
                  <c:v>6748</c:v>
                </c:pt>
                <c:pt idx="8">
                  <c:v>318</c:v>
                </c:pt>
                <c:pt idx="9">
                  <c:v>3622</c:v>
                </c:pt>
                <c:pt idx="10">
                  <c:v>5350</c:v>
                </c:pt>
                <c:pt idx="11">
                  <c:v>6386</c:v>
                </c:pt>
                <c:pt idx="12">
                  <c:v>570</c:v>
                </c:pt>
                <c:pt idx="13">
                  <c:v>777</c:v>
                </c:pt>
                <c:pt idx="14">
                  <c:v>2288</c:v>
                </c:pt>
                <c:pt idx="15">
                  <c:v>30702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43-41F4-BE14-DA50F89FE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58%</c:v>
                </c:pt>
                <c:pt idx="4">
                  <c:v>100%</c:v>
                </c:pt>
                <c:pt idx="5">
                  <c:v>58%</c:v>
                </c:pt>
                <c:pt idx="6">
                  <c:v>58%</c:v>
                </c:pt>
                <c:pt idx="7">
                  <c:v>71%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8%</c:v>
                </c:pt>
                <c:pt idx="13">
                  <c:v>21%</c:v>
                </c:pt>
                <c:pt idx="14">
                  <c:v>50%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3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0.58333333333333337</c:v>
                </c:pt>
                <c:pt idx="4">
                  <c:v>1</c:v>
                </c:pt>
                <c:pt idx="5">
                  <c:v>0.58333333333333337</c:v>
                </c:pt>
                <c:pt idx="6">
                  <c:v>0.58333333333333337</c:v>
                </c:pt>
                <c:pt idx="7">
                  <c:v>0.70833333333333337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8.3333333333333329E-2</c:v>
                </c:pt>
                <c:pt idx="13">
                  <c:v>0.20833333333333334</c:v>
                </c:pt>
                <c:pt idx="14">
                  <c:v>0.5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F-454E-9124-5B8622E31BD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34F-454E-9124-5B8622E31BD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3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0.51944444444444449</c:v>
                </c:pt>
                <c:pt idx="1">
                  <c:v>0.51944444444444449</c:v>
                </c:pt>
                <c:pt idx="2">
                  <c:v>0.51944444444444449</c:v>
                </c:pt>
                <c:pt idx="3">
                  <c:v>0.51944444444444449</c:v>
                </c:pt>
                <c:pt idx="4">
                  <c:v>0.51944444444444449</c:v>
                </c:pt>
                <c:pt idx="5">
                  <c:v>0.51944444444444449</c:v>
                </c:pt>
                <c:pt idx="6">
                  <c:v>0.51944444444444449</c:v>
                </c:pt>
                <c:pt idx="7">
                  <c:v>0.51944444444444449</c:v>
                </c:pt>
                <c:pt idx="8">
                  <c:v>0.51944444444444449</c:v>
                </c:pt>
                <c:pt idx="9">
                  <c:v>0.51944444444444449</c:v>
                </c:pt>
                <c:pt idx="10">
                  <c:v>0.51944444444444449</c:v>
                </c:pt>
                <c:pt idx="11">
                  <c:v>0.51944444444444449</c:v>
                </c:pt>
                <c:pt idx="12">
                  <c:v>0.51944444444444449</c:v>
                </c:pt>
                <c:pt idx="13">
                  <c:v>0.51944444444444449</c:v>
                </c:pt>
                <c:pt idx="14">
                  <c:v>0.51944444444444449</c:v>
                </c:pt>
                <c:pt idx="15">
                  <c:v>0.51944444444444449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4F-454E-9124-5B8622E31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3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2">
                  <c:v>9946</c:v>
                </c:pt>
                <c:pt idx="3">
                  <c:v>2558</c:v>
                </c:pt>
                <c:pt idx="4">
                  <c:v>95328</c:v>
                </c:pt>
                <c:pt idx="5">
                  <c:v>2419</c:v>
                </c:pt>
                <c:pt idx="6">
                  <c:v>2498</c:v>
                </c:pt>
                <c:pt idx="7">
                  <c:v>6748</c:v>
                </c:pt>
                <c:pt idx="10">
                  <c:v>5350</c:v>
                </c:pt>
                <c:pt idx="11">
                  <c:v>6386</c:v>
                </c:pt>
                <c:pt idx="12">
                  <c:v>570</c:v>
                </c:pt>
                <c:pt idx="13">
                  <c:v>777</c:v>
                </c:pt>
                <c:pt idx="14">
                  <c:v>2288</c:v>
                </c:pt>
                <c:pt idx="15">
                  <c:v>30702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8-4E41-95E2-C34F6CBB71EC}"/>
            </c:ext>
          </c:extLst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3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9946</c:v>
                </c:pt>
                <c:pt idx="3">
                  <c:v>2558</c:v>
                </c:pt>
                <c:pt idx="4">
                  <c:v>95328</c:v>
                </c:pt>
                <c:pt idx="5">
                  <c:v>2419</c:v>
                </c:pt>
                <c:pt idx="6">
                  <c:v>2498</c:v>
                </c:pt>
                <c:pt idx="7">
                  <c:v>6748</c:v>
                </c:pt>
                <c:pt idx="8">
                  <c:v>318</c:v>
                </c:pt>
                <c:pt idx="9">
                  <c:v>3622</c:v>
                </c:pt>
                <c:pt idx="10">
                  <c:v>5350</c:v>
                </c:pt>
                <c:pt idx="11">
                  <c:v>6386</c:v>
                </c:pt>
                <c:pt idx="12">
                  <c:v>570</c:v>
                </c:pt>
                <c:pt idx="13">
                  <c:v>777</c:v>
                </c:pt>
                <c:pt idx="14">
                  <c:v>2288</c:v>
                </c:pt>
                <c:pt idx="15">
                  <c:v>30702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C8-4E41-95E2-C34F6CBB7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58%</c:v>
                </c:pt>
                <c:pt idx="4">
                  <c:v>100%</c:v>
                </c:pt>
                <c:pt idx="5">
                  <c:v>58%</c:v>
                </c:pt>
                <c:pt idx="6">
                  <c:v>58%</c:v>
                </c:pt>
                <c:pt idx="7">
                  <c:v>71%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8%</c:v>
                </c:pt>
                <c:pt idx="13">
                  <c:v>21%</c:v>
                </c:pt>
                <c:pt idx="14">
                  <c:v>50%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3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0.58333333333333337</c:v>
                </c:pt>
                <c:pt idx="4">
                  <c:v>1</c:v>
                </c:pt>
                <c:pt idx="5">
                  <c:v>0.58333333333333337</c:v>
                </c:pt>
                <c:pt idx="6">
                  <c:v>0.58333333333333337</c:v>
                </c:pt>
                <c:pt idx="7">
                  <c:v>0.70833333333333337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8.3333333333333329E-2</c:v>
                </c:pt>
                <c:pt idx="13">
                  <c:v>0.20833333333333334</c:v>
                </c:pt>
                <c:pt idx="14">
                  <c:v>0.5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4D-4A3D-ADE5-21C5C2F73D5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14D-4A3D-ADE5-21C5C2F73D5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3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0.51944444444444449</c:v>
                </c:pt>
                <c:pt idx="1">
                  <c:v>0.51944444444444449</c:v>
                </c:pt>
                <c:pt idx="2">
                  <c:v>0.51944444444444449</c:v>
                </c:pt>
                <c:pt idx="3">
                  <c:v>0.51944444444444449</c:v>
                </c:pt>
                <c:pt idx="4">
                  <c:v>0.51944444444444449</c:v>
                </c:pt>
                <c:pt idx="5">
                  <c:v>0.51944444444444449</c:v>
                </c:pt>
                <c:pt idx="6">
                  <c:v>0.51944444444444449</c:v>
                </c:pt>
                <c:pt idx="7">
                  <c:v>0.51944444444444449</c:v>
                </c:pt>
                <c:pt idx="8">
                  <c:v>0.51944444444444449</c:v>
                </c:pt>
                <c:pt idx="9">
                  <c:v>0.51944444444444449</c:v>
                </c:pt>
                <c:pt idx="10">
                  <c:v>0.51944444444444449</c:v>
                </c:pt>
                <c:pt idx="11">
                  <c:v>0.51944444444444449</c:v>
                </c:pt>
                <c:pt idx="12">
                  <c:v>0.51944444444444449</c:v>
                </c:pt>
                <c:pt idx="13">
                  <c:v>0.51944444444444449</c:v>
                </c:pt>
                <c:pt idx="14">
                  <c:v>0.51944444444444449</c:v>
                </c:pt>
                <c:pt idx="15">
                  <c:v>0.51944444444444449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4D-4A3D-ADE5-21C5C2F73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009-4CE5-ADF6-D595DC34EA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09-4CE5-ADF6-D595DC34E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009-4CE5-ADF6-D595DC34EA4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09-4CE5-ADF6-D595DC34E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'21'!$D$6:$D$20</c:f>
              <c:strCache>
                <c:ptCount val="13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BOTTOM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'21'!$L$6:$L$20</c:f>
              <c:numCache>
                <c:formatCode>_(* #,##0_);_(* \(#,##0\);_(* "-"_);_(@_)</c:formatCode>
                <c:ptCount val="15"/>
                <c:pt idx="2">
                  <c:v>9956</c:v>
                </c:pt>
                <c:pt idx="3">
                  <c:v>4569</c:v>
                </c:pt>
                <c:pt idx="4">
                  <c:v>3509</c:v>
                </c:pt>
                <c:pt idx="5">
                  <c:v>2346</c:v>
                </c:pt>
                <c:pt idx="6">
                  <c:v>463</c:v>
                </c:pt>
                <c:pt idx="7">
                  <c:v>9692</c:v>
                </c:pt>
                <c:pt idx="10">
                  <c:v>5082</c:v>
                </c:pt>
                <c:pt idx="11">
                  <c:v>6001</c:v>
                </c:pt>
                <c:pt idx="12">
                  <c:v>603</c:v>
                </c:pt>
                <c:pt idx="13">
                  <c:v>5489</c:v>
                </c:pt>
                <c:pt idx="14">
                  <c:v>30357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8C-421E-BD82-C07D8BE3C3C9}"/>
            </c:ext>
          </c:extLst>
        </c:ser>
        <c:ser>
          <c:idx val="1"/>
          <c:order val="1"/>
          <c:tx>
            <c:v>계획</c:v>
          </c:tx>
          <c:cat>
            <c:strRef>
              <c:f>'21'!$D$6:$D$20</c:f>
              <c:strCache>
                <c:ptCount val="13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BOTTOM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'21'!$J$6:$J$20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9956</c:v>
                </c:pt>
                <c:pt idx="3">
                  <c:v>4569</c:v>
                </c:pt>
                <c:pt idx="4">
                  <c:v>3509</c:v>
                </c:pt>
                <c:pt idx="5">
                  <c:v>2346</c:v>
                </c:pt>
                <c:pt idx="6">
                  <c:v>463</c:v>
                </c:pt>
                <c:pt idx="7">
                  <c:v>9692</c:v>
                </c:pt>
                <c:pt idx="8">
                  <c:v>318</c:v>
                </c:pt>
                <c:pt idx="9">
                  <c:v>3622</c:v>
                </c:pt>
                <c:pt idx="10">
                  <c:v>5082</c:v>
                </c:pt>
                <c:pt idx="11">
                  <c:v>6001</c:v>
                </c:pt>
                <c:pt idx="12">
                  <c:v>603</c:v>
                </c:pt>
                <c:pt idx="13">
                  <c:v>5489</c:v>
                </c:pt>
                <c:pt idx="14">
                  <c:v>30357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8C-421E-BD82-C07D8BE3C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75%</c:v>
                </c:pt>
                <c:pt idx="5">
                  <c:v>54%</c:v>
                </c:pt>
                <c:pt idx="6">
                  <c:v>13%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17%</c:v>
                </c:pt>
                <c:pt idx="13">
                  <c:v>100%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3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BOTTOM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'21'!$AD$6:$AD$20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0.75</c:v>
                </c:pt>
                <c:pt idx="5">
                  <c:v>0.54166666666666663</c:v>
                </c:pt>
                <c:pt idx="6">
                  <c:v>0.125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0.16666666666666666</c:v>
                </c:pt>
                <c:pt idx="13">
                  <c:v>1</c:v>
                </c:pt>
                <c:pt idx="14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E-4CBE-AB3C-FFE8DD97209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BDE-4CBE-AB3C-FFE8DD97209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3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BOTTOM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'21'!$AE$6:$AE$20</c:f>
              <c:numCache>
                <c:formatCode>0%</c:formatCode>
                <c:ptCount val="15"/>
                <c:pt idx="0">
                  <c:v>0.53055555555555556</c:v>
                </c:pt>
                <c:pt idx="1">
                  <c:v>0.53055555555555556</c:v>
                </c:pt>
                <c:pt idx="2">
                  <c:v>0.53055555555555556</c:v>
                </c:pt>
                <c:pt idx="3">
                  <c:v>0.53055555555555556</c:v>
                </c:pt>
                <c:pt idx="4">
                  <c:v>0.53055555555555556</c:v>
                </c:pt>
                <c:pt idx="5">
                  <c:v>0.53055555555555556</c:v>
                </c:pt>
                <c:pt idx="6">
                  <c:v>0.53055555555555556</c:v>
                </c:pt>
                <c:pt idx="7">
                  <c:v>0.53055555555555556</c:v>
                </c:pt>
                <c:pt idx="8">
                  <c:v>0.53055555555555556</c:v>
                </c:pt>
                <c:pt idx="9">
                  <c:v>0.53055555555555556</c:v>
                </c:pt>
                <c:pt idx="10">
                  <c:v>0.53055555555555556</c:v>
                </c:pt>
                <c:pt idx="11">
                  <c:v>0.53055555555555556</c:v>
                </c:pt>
                <c:pt idx="12">
                  <c:v>0.53055555555555556</c:v>
                </c:pt>
                <c:pt idx="13">
                  <c:v>0.53055555555555556</c:v>
                </c:pt>
                <c:pt idx="14">
                  <c:v>0.53055555555555556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DE-4CBE-AB3C-FFE8DD972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'21'!$D$6:$D$20</c:f>
              <c:strCache>
                <c:ptCount val="13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BOTTOM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'21'!$L$6:$L$20</c:f>
              <c:numCache>
                <c:formatCode>_(* #,##0_);_(* \(#,##0\);_(* "-"_);_(@_)</c:formatCode>
                <c:ptCount val="15"/>
                <c:pt idx="2">
                  <c:v>9956</c:v>
                </c:pt>
                <c:pt idx="3">
                  <c:v>4569</c:v>
                </c:pt>
                <c:pt idx="4">
                  <c:v>3509</c:v>
                </c:pt>
                <c:pt idx="5">
                  <c:v>2346</c:v>
                </c:pt>
                <c:pt idx="6">
                  <c:v>463</c:v>
                </c:pt>
                <c:pt idx="7">
                  <c:v>9692</c:v>
                </c:pt>
                <c:pt idx="10">
                  <c:v>5082</c:v>
                </c:pt>
                <c:pt idx="11">
                  <c:v>6001</c:v>
                </c:pt>
                <c:pt idx="12">
                  <c:v>603</c:v>
                </c:pt>
                <c:pt idx="13">
                  <c:v>5489</c:v>
                </c:pt>
                <c:pt idx="14">
                  <c:v>30357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0F-467B-82F4-0EBF44948E85}"/>
            </c:ext>
          </c:extLst>
        </c:ser>
        <c:ser>
          <c:idx val="1"/>
          <c:order val="1"/>
          <c:tx>
            <c:v>계획</c:v>
          </c:tx>
          <c:cat>
            <c:strRef>
              <c:f>'21'!$D$6:$D$20</c:f>
              <c:strCache>
                <c:ptCount val="13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BOTTOM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'21'!$J$6:$J$20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9956</c:v>
                </c:pt>
                <c:pt idx="3">
                  <c:v>4569</c:v>
                </c:pt>
                <c:pt idx="4">
                  <c:v>3509</c:v>
                </c:pt>
                <c:pt idx="5">
                  <c:v>2346</c:v>
                </c:pt>
                <c:pt idx="6">
                  <c:v>463</c:v>
                </c:pt>
                <c:pt idx="7">
                  <c:v>9692</c:v>
                </c:pt>
                <c:pt idx="8">
                  <c:v>318</c:v>
                </c:pt>
                <c:pt idx="9">
                  <c:v>3622</c:v>
                </c:pt>
                <c:pt idx="10">
                  <c:v>5082</c:v>
                </c:pt>
                <c:pt idx="11">
                  <c:v>6001</c:v>
                </c:pt>
                <c:pt idx="12">
                  <c:v>603</c:v>
                </c:pt>
                <c:pt idx="13">
                  <c:v>5489</c:v>
                </c:pt>
                <c:pt idx="14">
                  <c:v>30357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0F-467B-82F4-0EBF44948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75%</c:v>
                </c:pt>
                <c:pt idx="5">
                  <c:v>54%</c:v>
                </c:pt>
                <c:pt idx="6">
                  <c:v>13%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17%</c:v>
                </c:pt>
                <c:pt idx="13">
                  <c:v>100%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3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BOTTOM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'21'!$AD$6:$AD$20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0.75</c:v>
                </c:pt>
                <c:pt idx="5">
                  <c:v>0.54166666666666663</c:v>
                </c:pt>
                <c:pt idx="6">
                  <c:v>0.125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0.16666666666666666</c:v>
                </c:pt>
                <c:pt idx="13">
                  <c:v>1</c:v>
                </c:pt>
                <c:pt idx="14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7B-4B56-B663-F3A2C6DAB7D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37B-4B56-B663-F3A2C6DAB7D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3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BOTTOM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</c:strCache>
            </c:strRef>
          </c:cat>
          <c:val>
            <c:numRef>
              <c:f>'21'!$AE$6:$AE$20</c:f>
              <c:numCache>
                <c:formatCode>0%</c:formatCode>
                <c:ptCount val="15"/>
                <c:pt idx="0">
                  <c:v>0.53055555555555556</c:v>
                </c:pt>
                <c:pt idx="1">
                  <c:v>0.53055555555555556</c:v>
                </c:pt>
                <c:pt idx="2">
                  <c:v>0.53055555555555556</c:v>
                </c:pt>
                <c:pt idx="3">
                  <c:v>0.53055555555555556</c:v>
                </c:pt>
                <c:pt idx="4">
                  <c:v>0.53055555555555556</c:v>
                </c:pt>
                <c:pt idx="5">
                  <c:v>0.53055555555555556</c:v>
                </c:pt>
                <c:pt idx="6">
                  <c:v>0.53055555555555556</c:v>
                </c:pt>
                <c:pt idx="7">
                  <c:v>0.53055555555555556</c:v>
                </c:pt>
                <c:pt idx="8">
                  <c:v>0.53055555555555556</c:v>
                </c:pt>
                <c:pt idx="9">
                  <c:v>0.53055555555555556</c:v>
                </c:pt>
                <c:pt idx="10">
                  <c:v>0.53055555555555556</c:v>
                </c:pt>
                <c:pt idx="11">
                  <c:v>0.53055555555555556</c:v>
                </c:pt>
                <c:pt idx="12">
                  <c:v>0.53055555555555556</c:v>
                </c:pt>
                <c:pt idx="13">
                  <c:v>0.53055555555555556</c:v>
                </c:pt>
                <c:pt idx="14">
                  <c:v>0.53055555555555556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7B-4B56-B663-F3A2C6DAB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F06-433A-B045-0B9F0E07A5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06-433A-B045-0B9F0E07A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F06-433A-B045-0B9F0E07A53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06-433A-B045-0B9F0E07A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BOTTOM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BOTTOM</c:v>
                </c:pt>
                <c:pt idx="11">
                  <c:v>COVER</c:v>
                </c:pt>
                <c:pt idx="12">
                  <c:v>F/A</c:v>
                </c:pt>
                <c:pt idx="13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'22'!$L$6:$L$22</c:f>
              <c:numCache>
                <c:formatCode>_(* #,##0_);_(* \(#,##0\);_(* "-"_);_(@_)</c:formatCode>
                <c:ptCount val="17"/>
                <c:pt idx="2">
                  <c:v>9982</c:v>
                </c:pt>
                <c:pt idx="3">
                  <c:v>2950</c:v>
                </c:pt>
                <c:pt idx="4">
                  <c:v>2374</c:v>
                </c:pt>
                <c:pt idx="5">
                  <c:v>1500</c:v>
                </c:pt>
                <c:pt idx="6">
                  <c:v>1324</c:v>
                </c:pt>
                <c:pt idx="7">
                  <c:v>5052</c:v>
                </c:pt>
                <c:pt idx="8">
                  <c:v>2541</c:v>
                </c:pt>
                <c:pt idx="10">
                  <c:v>1500</c:v>
                </c:pt>
                <c:pt idx="11">
                  <c:v>5413</c:v>
                </c:pt>
                <c:pt idx="13">
                  <c:v>2583</c:v>
                </c:pt>
                <c:pt idx="14">
                  <c:v>695</c:v>
                </c:pt>
                <c:pt idx="15">
                  <c:v>470</c:v>
                </c:pt>
                <c:pt idx="16">
                  <c:v>30378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8A-42B7-82EB-841B9569BA58}"/>
            </c:ext>
          </c:extLst>
        </c:ser>
        <c:ser>
          <c:idx val="1"/>
          <c:order val="1"/>
          <c:tx>
            <c:v>계획</c:v>
          </c:tx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BOTTOM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BOTTOM</c:v>
                </c:pt>
                <c:pt idx="11">
                  <c:v>COVER</c:v>
                </c:pt>
                <c:pt idx="12">
                  <c:v>F/A</c:v>
                </c:pt>
                <c:pt idx="13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'22'!$J$6:$J$22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9982</c:v>
                </c:pt>
                <c:pt idx="3">
                  <c:v>2950</c:v>
                </c:pt>
                <c:pt idx="4">
                  <c:v>2374</c:v>
                </c:pt>
                <c:pt idx="5">
                  <c:v>1500</c:v>
                </c:pt>
                <c:pt idx="6">
                  <c:v>1324</c:v>
                </c:pt>
                <c:pt idx="7">
                  <c:v>5052</c:v>
                </c:pt>
                <c:pt idx="8">
                  <c:v>2541</c:v>
                </c:pt>
                <c:pt idx="9">
                  <c:v>318</c:v>
                </c:pt>
                <c:pt idx="10">
                  <c:v>1500</c:v>
                </c:pt>
                <c:pt idx="11">
                  <c:v>5413</c:v>
                </c:pt>
                <c:pt idx="12">
                  <c:v>6001</c:v>
                </c:pt>
                <c:pt idx="13">
                  <c:v>2583</c:v>
                </c:pt>
                <c:pt idx="14">
                  <c:v>695</c:v>
                </c:pt>
                <c:pt idx="15">
                  <c:v>695</c:v>
                </c:pt>
                <c:pt idx="16">
                  <c:v>30378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8A-42B7-82EB-841B9569B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67%</c:v>
                </c:pt>
                <c:pt idx="4">
                  <c:v>46%</c:v>
                </c:pt>
                <c:pt idx="5">
                  <c:v>33%</c:v>
                </c:pt>
                <c:pt idx="6">
                  <c:v>29%</c:v>
                </c:pt>
                <c:pt idx="7">
                  <c:v>38%</c:v>
                </c:pt>
                <c:pt idx="8">
                  <c:v>58%</c:v>
                </c:pt>
                <c:pt idx="9">
                  <c:v>0%</c:v>
                </c:pt>
                <c:pt idx="10">
                  <c:v>33%</c:v>
                </c:pt>
                <c:pt idx="11">
                  <c:v>100%</c:v>
                </c:pt>
                <c:pt idx="12">
                  <c:v>0%</c:v>
                </c:pt>
                <c:pt idx="13">
                  <c:v>58%</c:v>
                </c:pt>
                <c:pt idx="14">
                  <c:v>17%</c:v>
                </c:pt>
                <c:pt idx="15">
                  <c:v>8%</c:v>
                </c:pt>
                <c:pt idx="16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BOTTOM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BOTTOM</c:v>
                </c:pt>
                <c:pt idx="11">
                  <c:v>COVER</c:v>
                </c:pt>
                <c:pt idx="12">
                  <c:v>F/A</c:v>
                </c:pt>
                <c:pt idx="13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'22'!$AD$6:$AD$22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0.66666666666666663</c:v>
                </c:pt>
                <c:pt idx="4">
                  <c:v>0.45833333333333331</c:v>
                </c:pt>
                <c:pt idx="5">
                  <c:v>0.33333333333333331</c:v>
                </c:pt>
                <c:pt idx="6">
                  <c:v>0.29166666666666669</c:v>
                </c:pt>
                <c:pt idx="7">
                  <c:v>0.375</c:v>
                </c:pt>
                <c:pt idx="8">
                  <c:v>0.58333333333333337</c:v>
                </c:pt>
                <c:pt idx="9">
                  <c:v>0</c:v>
                </c:pt>
                <c:pt idx="10">
                  <c:v>0.33333333333333331</c:v>
                </c:pt>
                <c:pt idx="11">
                  <c:v>1</c:v>
                </c:pt>
                <c:pt idx="12">
                  <c:v>0</c:v>
                </c:pt>
                <c:pt idx="13">
                  <c:v>0.58333333333333337</c:v>
                </c:pt>
                <c:pt idx="14">
                  <c:v>0.16666666666666666</c:v>
                </c:pt>
                <c:pt idx="15">
                  <c:v>8.4532374100719426E-2</c:v>
                </c:pt>
                <c:pt idx="16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A-4D13-B37E-F79A414B418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85A-4D13-B37E-F79A414B418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BOTTOM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BOTTOM</c:v>
                </c:pt>
                <c:pt idx="11">
                  <c:v>COVER</c:v>
                </c:pt>
                <c:pt idx="12">
                  <c:v>F/A</c:v>
                </c:pt>
                <c:pt idx="13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'22'!$AE$6:$AE$22</c:f>
              <c:numCache>
                <c:formatCode>0%</c:formatCode>
                <c:ptCount val="17"/>
                <c:pt idx="0">
                  <c:v>0.42785771382893689</c:v>
                </c:pt>
                <c:pt idx="1">
                  <c:v>0.42785771382893689</c:v>
                </c:pt>
                <c:pt idx="2">
                  <c:v>0.42785771382893689</c:v>
                </c:pt>
                <c:pt idx="3">
                  <c:v>0.42785771382893689</c:v>
                </c:pt>
                <c:pt idx="4">
                  <c:v>0.42785771382893689</c:v>
                </c:pt>
                <c:pt idx="5">
                  <c:v>0.42785771382893689</c:v>
                </c:pt>
                <c:pt idx="6">
                  <c:v>0.42785771382893689</c:v>
                </c:pt>
                <c:pt idx="7">
                  <c:v>0.42785771382893689</c:v>
                </c:pt>
                <c:pt idx="8">
                  <c:v>0.42785771382893689</c:v>
                </c:pt>
                <c:pt idx="9">
                  <c:v>0.42785771382893689</c:v>
                </c:pt>
                <c:pt idx="10">
                  <c:v>0.42785771382893689</c:v>
                </c:pt>
                <c:pt idx="11">
                  <c:v>0.42785771382893689</c:v>
                </c:pt>
                <c:pt idx="12">
                  <c:v>0.42785771382893689</c:v>
                </c:pt>
                <c:pt idx="13">
                  <c:v>0.42785771382893689</c:v>
                </c:pt>
                <c:pt idx="14">
                  <c:v>0.42785771382893689</c:v>
                </c:pt>
                <c:pt idx="15">
                  <c:v>0.42785771382893689</c:v>
                </c:pt>
                <c:pt idx="16">
                  <c:v>0.42785771382893689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A-4D13-B37E-F79A414B4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BOTTOM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BOTTOM</c:v>
                </c:pt>
                <c:pt idx="11">
                  <c:v>COVER</c:v>
                </c:pt>
                <c:pt idx="12">
                  <c:v>F/A</c:v>
                </c:pt>
                <c:pt idx="13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'22'!$L$6:$L$22</c:f>
              <c:numCache>
                <c:formatCode>_(* #,##0_);_(* \(#,##0\);_(* "-"_);_(@_)</c:formatCode>
                <c:ptCount val="17"/>
                <c:pt idx="2">
                  <c:v>9982</c:v>
                </c:pt>
                <c:pt idx="3">
                  <c:v>2950</c:v>
                </c:pt>
                <c:pt idx="4">
                  <c:v>2374</c:v>
                </c:pt>
                <c:pt idx="5">
                  <c:v>1500</c:v>
                </c:pt>
                <c:pt idx="6">
                  <c:v>1324</c:v>
                </c:pt>
                <c:pt idx="7">
                  <c:v>5052</c:v>
                </c:pt>
                <c:pt idx="8">
                  <c:v>2541</c:v>
                </c:pt>
                <c:pt idx="10">
                  <c:v>1500</c:v>
                </c:pt>
                <c:pt idx="11">
                  <c:v>5413</c:v>
                </c:pt>
                <c:pt idx="13">
                  <c:v>2583</c:v>
                </c:pt>
                <c:pt idx="14">
                  <c:v>695</c:v>
                </c:pt>
                <c:pt idx="15">
                  <c:v>470</c:v>
                </c:pt>
                <c:pt idx="16">
                  <c:v>30378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9E-4FE0-8747-27997B19BF9C}"/>
            </c:ext>
          </c:extLst>
        </c:ser>
        <c:ser>
          <c:idx val="1"/>
          <c:order val="1"/>
          <c:tx>
            <c:v>계획</c:v>
          </c:tx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BOTTOM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BOTTOM</c:v>
                </c:pt>
                <c:pt idx="11">
                  <c:v>COVER</c:v>
                </c:pt>
                <c:pt idx="12">
                  <c:v>F/A</c:v>
                </c:pt>
                <c:pt idx="13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'22'!$J$6:$J$22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9982</c:v>
                </c:pt>
                <c:pt idx="3">
                  <c:v>2950</c:v>
                </c:pt>
                <c:pt idx="4">
                  <c:v>2374</c:v>
                </c:pt>
                <c:pt idx="5">
                  <c:v>1500</c:v>
                </c:pt>
                <c:pt idx="6">
                  <c:v>1324</c:v>
                </c:pt>
                <c:pt idx="7">
                  <c:v>5052</c:v>
                </c:pt>
                <c:pt idx="8">
                  <c:v>2541</c:v>
                </c:pt>
                <c:pt idx="9">
                  <c:v>318</c:v>
                </c:pt>
                <c:pt idx="10">
                  <c:v>1500</c:v>
                </c:pt>
                <c:pt idx="11">
                  <c:v>5413</c:v>
                </c:pt>
                <c:pt idx="12">
                  <c:v>6001</c:v>
                </c:pt>
                <c:pt idx="13">
                  <c:v>2583</c:v>
                </c:pt>
                <c:pt idx="14">
                  <c:v>695</c:v>
                </c:pt>
                <c:pt idx="15">
                  <c:v>695</c:v>
                </c:pt>
                <c:pt idx="16">
                  <c:v>30378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9E-4FE0-8747-27997B19B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67%</c:v>
                </c:pt>
                <c:pt idx="4">
                  <c:v>46%</c:v>
                </c:pt>
                <c:pt idx="5">
                  <c:v>33%</c:v>
                </c:pt>
                <c:pt idx="6">
                  <c:v>29%</c:v>
                </c:pt>
                <c:pt idx="7">
                  <c:v>38%</c:v>
                </c:pt>
                <c:pt idx="8">
                  <c:v>58%</c:v>
                </c:pt>
                <c:pt idx="9">
                  <c:v>0%</c:v>
                </c:pt>
                <c:pt idx="10">
                  <c:v>33%</c:v>
                </c:pt>
                <c:pt idx="11">
                  <c:v>100%</c:v>
                </c:pt>
                <c:pt idx="12">
                  <c:v>0%</c:v>
                </c:pt>
                <c:pt idx="13">
                  <c:v>58%</c:v>
                </c:pt>
                <c:pt idx="14">
                  <c:v>17%</c:v>
                </c:pt>
                <c:pt idx="15">
                  <c:v>8%</c:v>
                </c:pt>
                <c:pt idx="16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BOTTOM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BOTTOM</c:v>
                </c:pt>
                <c:pt idx="11">
                  <c:v>COVER</c:v>
                </c:pt>
                <c:pt idx="12">
                  <c:v>F/A</c:v>
                </c:pt>
                <c:pt idx="13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'22'!$AD$6:$AD$22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0.66666666666666663</c:v>
                </c:pt>
                <c:pt idx="4">
                  <c:v>0.45833333333333331</c:v>
                </c:pt>
                <c:pt idx="5">
                  <c:v>0.33333333333333331</c:v>
                </c:pt>
                <c:pt idx="6">
                  <c:v>0.29166666666666669</c:v>
                </c:pt>
                <c:pt idx="7">
                  <c:v>0.375</c:v>
                </c:pt>
                <c:pt idx="8">
                  <c:v>0.58333333333333337</c:v>
                </c:pt>
                <c:pt idx="9">
                  <c:v>0</c:v>
                </c:pt>
                <c:pt idx="10">
                  <c:v>0.33333333333333331</c:v>
                </c:pt>
                <c:pt idx="11">
                  <c:v>1</c:v>
                </c:pt>
                <c:pt idx="12">
                  <c:v>0</c:v>
                </c:pt>
                <c:pt idx="13">
                  <c:v>0.58333333333333337</c:v>
                </c:pt>
                <c:pt idx="14">
                  <c:v>0.16666666666666666</c:v>
                </c:pt>
                <c:pt idx="15">
                  <c:v>8.4532374100719426E-2</c:v>
                </c:pt>
                <c:pt idx="16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A5-4E2D-A43F-229C7D0B585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5A5-4E2D-A43F-229C7D0B585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BOTTOM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BOTTOM</c:v>
                </c:pt>
                <c:pt idx="11">
                  <c:v>COVER</c:v>
                </c:pt>
                <c:pt idx="12">
                  <c:v>F/A</c:v>
                </c:pt>
                <c:pt idx="13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'22'!$AE$6:$AE$22</c:f>
              <c:numCache>
                <c:formatCode>0%</c:formatCode>
                <c:ptCount val="17"/>
                <c:pt idx="0">
                  <c:v>0.42785771382893689</c:v>
                </c:pt>
                <c:pt idx="1">
                  <c:v>0.42785771382893689</c:v>
                </c:pt>
                <c:pt idx="2">
                  <c:v>0.42785771382893689</c:v>
                </c:pt>
                <c:pt idx="3">
                  <c:v>0.42785771382893689</c:v>
                </c:pt>
                <c:pt idx="4">
                  <c:v>0.42785771382893689</c:v>
                </c:pt>
                <c:pt idx="5">
                  <c:v>0.42785771382893689</c:v>
                </c:pt>
                <c:pt idx="6">
                  <c:v>0.42785771382893689</c:v>
                </c:pt>
                <c:pt idx="7">
                  <c:v>0.42785771382893689</c:v>
                </c:pt>
                <c:pt idx="8">
                  <c:v>0.42785771382893689</c:v>
                </c:pt>
                <c:pt idx="9">
                  <c:v>0.42785771382893689</c:v>
                </c:pt>
                <c:pt idx="10">
                  <c:v>0.42785771382893689</c:v>
                </c:pt>
                <c:pt idx="11">
                  <c:v>0.42785771382893689</c:v>
                </c:pt>
                <c:pt idx="12">
                  <c:v>0.42785771382893689</c:v>
                </c:pt>
                <c:pt idx="13">
                  <c:v>0.42785771382893689</c:v>
                </c:pt>
                <c:pt idx="14">
                  <c:v>0.42785771382893689</c:v>
                </c:pt>
                <c:pt idx="15">
                  <c:v>0.42785771382893689</c:v>
                </c:pt>
                <c:pt idx="16">
                  <c:v>0.42785771382893689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A5-4E2D-A43F-229C7D0B5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A06-4D13-A865-B59F237D5C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06-4D13-A865-B59F237D5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A06-4D13-A865-B59F237D5C7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06-4D13-A865-B59F237D5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COVER</c:v>
                </c:pt>
                <c:pt idx="7">
                  <c:v>SP-A/B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'23'!$L$6:$L$20</c:f>
              <c:numCache>
                <c:formatCode>_(* #,##0_);_(* \(#,##0\);_(* "-"_);_(@_)</c:formatCode>
                <c:ptCount val="15"/>
                <c:pt idx="2">
                  <c:v>10168</c:v>
                </c:pt>
                <c:pt idx="3">
                  <c:v>2156</c:v>
                </c:pt>
                <c:pt idx="4">
                  <c:v>5344</c:v>
                </c:pt>
                <c:pt idx="5">
                  <c:v>654</c:v>
                </c:pt>
                <c:pt idx="6">
                  <c:v>1125</c:v>
                </c:pt>
                <c:pt idx="7">
                  <c:v>2305</c:v>
                </c:pt>
                <c:pt idx="10">
                  <c:v>1290</c:v>
                </c:pt>
                <c:pt idx="12">
                  <c:v>5263</c:v>
                </c:pt>
                <c:pt idx="13">
                  <c:v>4165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3-4183-9111-122FD055C9E8}"/>
            </c:ext>
          </c:extLst>
        </c:ser>
        <c:ser>
          <c:idx val="1"/>
          <c:order val="1"/>
          <c:tx>
            <c:v>계획</c:v>
          </c:tx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COVER</c:v>
                </c:pt>
                <c:pt idx="7">
                  <c:v>SP-A/B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10168</c:v>
                </c:pt>
                <c:pt idx="3">
                  <c:v>2156</c:v>
                </c:pt>
                <c:pt idx="4">
                  <c:v>5344</c:v>
                </c:pt>
                <c:pt idx="5">
                  <c:v>654</c:v>
                </c:pt>
                <c:pt idx="6">
                  <c:v>1125</c:v>
                </c:pt>
                <c:pt idx="7">
                  <c:v>2305</c:v>
                </c:pt>
                <c:pt idx="8">
                  <c:v>318</c:v>
                </c:pt>
                <c:pt idx="9">
                  <c:v>1500</c:v>
                </c:pt>
                <c:pt idx="10">
                  <c:v>1290</c:v>
                </c:pt>
                <c:pt idx="11">
                  <c:v>6001</c:v>
                </c:pt>
                <c:pt idx="12">
                  <c:v>5263</c:v>
                </c:pt>
                <c:pt idx="13">
                  <c:v>4165</c:v>
                </c:pt>
                <c:pt idx="14">
                  <c:v>30378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83-4183-9111-122FD055C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42%</c:v>
                </c:pt>
                <c:pt idx="4">
                  <c:v>100%</c:v>
                </c:pt>
                <c:pt idx="5">
                  <c:v>17%</c:v>
                </c:pt>
                <c:pt idx="6">
                  <c:v>29%</c:v>
                </c:pt>
                <c:pt idx="7">
                  <c:v>58%</c:v>
                </c:pt>
                <c:pt idx="8">
                  <c:v>0%</c:v>
                </c:pt>
                <c:pt idx="9">
                  <c:v>0%</c:v>
                </c:pt>
                <c:pt idx="10">
                  <c:v>33%</c:v>
                </c:pt>
                <c:pt idx="11">
                  <c:v>0%</c:v>
                </c:pt>
                <c:pt idx="12">
                  <c:v>96%</c:v>
                </c:pt>
                <c:pt idx="13">
                  <c:v>88%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COVER</c:v>
                </c:pt>
                <c:pt idx="7">
                  <c:v>SP-A/B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0.41666666666666669</c:v>
                </c:pt>
                <c:pt idx="4">
                  <c:v>1</c:v>
                </c:pt>
                <c:pt idx="5">
                  <c:v>0.16666666666666666</c:v>
                </c:pt>
                <c:pt idx="6">
                  <c:v>0.29166666666666669</c:v>
                </c:pt>
                <c:pt idx="7">
                  <c:v>0.58333333333333337</c:v>
                </c:pt>
                <c:pt idx="8">
                  <c:v>0</c:v>
                </c:pt>
                <c:pt idx="9">
                  <c:v>0</c:v>
                </c:pt>
                <c:pt idx="10">
                  <c:v>0.33333333333333331</c:v>
                </c:pt>
                <c:pt idx="11">
                  <c:v>0</c:v>
                </c:pt>
                <c:pt idx="12">
                  <c:v>0.95833333333333337</c:v>
                </c:pt>
                <c:pt idx="13">
                  <c:v>0.875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BE-4C9F-B41C-F4729636DC3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4BE-4C9F-B41C-F4729636DC3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COVER</c:v>
                </c:pt>
                <c:pt idx="7">
                  <c:v>SP-A/B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'23'!$AE$6:$AE$20</c:f>
              <c:numCache>
                <c:formatCode>0%</c:formatCode>
                <c:ptCount val="15"/>
                <c:pt idx="0">
                  <c:v>0.375</c:v>
                </c:pt>
                <c:pt idx="1">
                  <c:v>0.375</c:v>
                </c:pt>
                <c:pt idx="2">
                  <c:v>0.375</c:v>
                </c:pt>
                <c:pt idx="3">
                  <c:v>0.375</c:v>
                </c:pt>
                <c:pt idx="4">
                  <c:v>0.375</c:v>
                </c:pt>
                <c:pt idx="5">
                  <c:v>0.375</c:v>
                </c:pt>
                <c:pt idx="6">
                  <c:v>0.375</c:v>
                </c:pt>
                <c:pt idx="7">
                  <c:v>0.375</c:v>
                </c:pt>
                <c:pt idx="8">
                  <c:v>0.375</c:v>
                </c:pt>
                <c:pt idx="9">
                  <c:v>0.375</c:v>
                </c:pt>
                <c:pt idx="10">
                  <c:v>0.375</c:v>
                </c:pt>
                <c:pt idx="11">
                  <c:v>0.375</c:v>
                </c:pt>
                <c:pt idx="12">
                  <c:v>0.375</c:v>
                </c:pt>
                <c:pt idx="13">
                  <c:v>0.375</c:v>
                </c:pt>
                <c:pt idx="14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BE-4C9F-B41C-F4729636D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COVER</c:v>
                </c:pt>
                <c:pt idx="7">
                  <c:v>SP-A/B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'23'!$L$6:$L$20</c:f>
              <c:numCache>
                <c:formatCode>_(* #,##0_);_(* \(#,##0\);_(* "-"_);_(@_)</c:formatCode>
                <c:ptCount val="15"/>
                <c:pt idx="2">
                  <c:v>10168</c:v>
                </c:pt>
                <c:pt idx="3">
                  <c:v>2156</c:v>
                </c:pt>
                <c:pt idx="4">
                  <c:v>5344</c:v>
                </c:pt>
                <c:pt idx="5">
                  <c:v>654</c:v>
                </c:pt>
                <c:pt idx="6">
                  <c:v>1125</c:v>
                </c:pt>
                <c:pt idx="7">
                  <c:v>2305</c:v>
                </c:pt>
                <c:pt idx="10">
                  <c:v>1290</c:v>
                </c:pt>
                <c:pt idx="12">
                  <c:v>5263</c:v>
                </c:pt>
                <c:pt idx="13">
                  <c:v>4165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8-46E4-851E-3F0B31CF61EF}"/>
            </c:ext>
          </c:extLst>
        </c:ser>
        <c:ser>
          <c:idx val="1"/>
          <c:order val="1"/>
          <c:tx>
            <c:v>계획</c:v>
          </c:tx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COVER</c:v>
                </c:pt>
                <c:pt idx="7">
                  <c:v>SP-A/B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10168</c:v>
                </c:pt>
                <c:pt idx="3">
                  <c:v>2156</c:v>
                </c:pt>
                <c:pt idx="4">
                  <c:v>5344</c:v>
                </c:pt>
                <c:pt idx="5">
                  <c:v>654</c:v>
                </c:pt>
                <c:pt idx="6">
                  <c:v>1125</c:v>
                </c:pt>
                <c:pt idx="7">
                  <c:v>2305</c:v>
                </c:pt>
                <c:pt idx="8">
                  <c:v>318</c:v>
                </c:pt>
                <c:pt idx="9">
                  <c:v>1500</c:v>
                </c:pt>
                <c:pt idx="10">
                  <c:v>1290</c:v>
                </c:pt>
                <c:pt idx="11">
                  <c:v>6001</c:v>
                </c:pt>
                <c:pt idx="12">
                  <c:v>5263</c:v>
                </c:pt>
                <c:pt idx="13">
                  <c:v>4165</c:v>
                </c:pt>
                <c:pt idx="14">
                  <c:v>30378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8-46E4-851E-3F0B31CF6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42%</c:v>
                </c:pt>
                <c:pt idx="4">
                  <c:v>100%</c:v>
                </c:pt>
                <c:pt idx="5">
                  <c:v>17%</c:v>
                </c:pt>
                <c:pt idx="6">
                  <c:v>29%</c:v>
                </c:pt>
                <c:pt idx="7">
                  <c:v>58%</c:v>
                </c:pt>
                <c:pt idx="8">
                  <c:v>0%</c:v>
                </c:pt>
                <c:pt idx="9">
                  <c:v>0%</c:v>
                </c:pt>
                <c:pt idx="10">
                  <c:v>33%</c:v>
                </c:pt>
                <c:pt idx="11">
                  <c:v>0%</c:v>
                </c:pt>
                <c:pt idx="12">
                  <c:v>96%</c:v>
                </c:pt>
                <c:pt idx="13">
                  <c:v>88%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COVER</c:v>
                </c:pt>
                <c:pt idx="7">
                  <c:v>SP-A/B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0.41666666666666669</c:v>
                </c:pt>
                <c:pt idx="4">
                  <c:v>1</c:v>
                </c:pt>
                <c:pt idx="5">
                  <c:v>0.16666666666666666</c:v>
                </c:pt>
                <c:pt idx="6">
                  <c:v>0.29166666666666669</c:v>
                </c:pt>
                <c:pt idx="7">
                  <c:v>0.58333333333333337</c:v>
                </c:pt>
                <c:pt idx="8">
                  <c:v>0</c:v>
                </c:pt>
                <c:pt idx="9">
                  <c:v>0</c:v>
                </c:pt>
                <c:pt idx="10">
                  <c:v>0.33333333333333331</c:v>
                </c:pt>
                <c:pt idx="11">
                  <c:v>0</c:v>
                </c:pt>
                <c:pt idx="12">
                  <c:v>0.95833333333333337</c:v>
                </c:pt>
                <c:pt idx="13">
                  <c:v>0.875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7C-4E41-9DD9-9E863EDD02D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E7C-4E41-9DD9-9E863EDD02D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COVER</c:v>
                </c:pt>
                <c:pt idx="7">
                  <c:v>SP-A/B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'23'!$AE$6:$AE$20</c:f>
              <c:numCache>
                <c:formatCode>0%</c:formatCode>
                <c:ptCount val="15"/>
                <c:pt idx="0">
                  <c:v>0.375</c:v>
                </c:pt>
                <c:pt idx="1">
                  <c:v>0.375</c:v>
                </c:pt>
                <c:pt idx="2">
                  <c:v>0.375</c:v>
                </c:pt>
                <c:pt idx="3">
                  <c:v>0.375</c:v>
                </c:pt>
                <c:pt idx="4">
                  <c:v>0.375</c:v>
                </c:pt>
                <c:pt idx="5">
                  <c:v>0.375</c:v>
                </c:pt>
                <c:pt idx="6">
                  <c:v>0.375</c:v>
                </c:pt>
                <c:pt idx="7">
                  <c:v>0.375</c:v>
                </c:pt>
                <c:pt idx="8">
                  <c:v>0.375</c:v>
                </c:pt>
                <c:pt idx="9">
                  <c:v>0.375</c:v>
                </c:pt>
                <c:pt idx="10">
                  <c:v>0.375</c:v>
                </c:pt>
                <c:pt idx="11">
                  <c:v>0.375</c:v>
                </c:pt>
                <c:pt idx="12">
                  <c:v>0.375</c:v>
                </c:pt>
                <c:pt idx="13">
                  <c:v>0.375</c:v>
                </c:pt>
                <c:pt idx="14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7C-4E41-9DD9-9E863EDD0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F0B-44FE-A1C7-BA69F6614F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0B-44FE-A1C7-BA69F6614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F0B-44FE-A1C7-BA69F6614F1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0B-44FE-A1C7-BA69F6614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COVER</c:v>
                </c:pt>
                <c:pt idx="7">
                  <c:v>SP-A/B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'25'!$L$6:$L$20</c:f>
              <c:numCache>
                <c:formatCode>_(* #,##0_);_(* \(#,##0\);_(* "-"_);_(@_)</c:formatCode>
                <c:ptCount val="15"/>
                <c:pt idx="2">
                  <c:v>9518</c:v>
                </c:pt>
                <c:pt idx="3">
                  <c:v>1926</c:v>
                </c:pt>
                <c:pt idx="4">
                  <c:v>5356</c:v>
                </c:pt>
                <c:pt idx="5">
                  <c:v>1383</c:v>
                </c:pt>
                <c:pt idx="7">
                  <c:v>2132</c:v>
                </c:pt>
                <c:pt idx="8">
                  <c:v>2296</c:v>
                </c:pt>
                <c:pt idx="9">
                  <c:v>4736</c:v>
                </c:pt>
                <c:pt idx="10">
                  <c:v>2964</c:v>
                </c:pt>
                <c:pt idx="12">
                  <c:v>901</c:v>
                </c:pt>
                <c:pt idx="13">
                  <c:v>3775</c:v>
                </c:pt>
                <c:pt idx="14">
                  <c:v>40932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84-4249-840E-8B779E63B09D}"/>
            </c:ext>
          </c:extLst>
        </c:ser>
        <c:ser>
          <c:idx val="1"/>
          <c:order val="1"/>
          <c:tx>
            <c:v>계획</c:v>
          </c:tx>
          <c:cat>
            <c:strRef>
              <c:f>'25'!$D$6:$D$20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COVER</c:v>
                </c:pt>
                <c:pt idx="7">
                  <c:v>SP-A/B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9518</c:v>
                </c:pt>
                <c:pt idx="3">
                  <c:v>1926</c:v>
                </c:pt>
                <c:pt idx="4">
                  <c:v>5356</c:v>
                </c:pt>
                <c:pt idx="5">
                  <c:v>1383</c:v>
                </c:pt>
                <c:pt idx="6">
                  <c:v>1125</c:v>
                </c:pt>
                <c:pt idx="7">
                  <c:v>2132</c:v>
                </c:pt>
                <c:pt idx="8">
                  <c:v>2296</c:v>
                </c:pt>
                <c:pt idx="9">
                  <c:v>4736</c:v>
                </c:pt>
                <c:pt idx="10">
                  <c:v>2964</c:v>
                </c:pt>
                <c:pt idx="11">
                  <c:v>6001</c:v>
                </c:pt>
                <c:pt idx="12">
                  <c:v>901</c:v>
                </c:pt>
                <c:pt idx="13">
                  <c:v>3775</c:v>
                </c:pt>
                <c:pt idx="14">
                  <c:v>40932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84-4249-840E-8B779E63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38%</c:v>
                </c:pt>
                <c:pt idx="4">
                  <c:v>100%</c:v>
                </c:pt>
                <c:pt idx="5">
                  <c:v>29%</c:v>
                </c:pt>
                <c:pt idx="6">
                  <c:v>0%</c:v>
                </c:pt>
                <c:pt idx="7">
                  <c:v>54%</c:v>
                </c:pt>
                <c:pt idx="8">
                  <c:v>42%</c:v>
                </c:pt>
                <c:pt idx="9">
                  <c:v>25%</c:v>
                </c:pt>
                <c:pt idx="10">
                  <c:v>58%</c:v>
                </c:pt>
                <c:pt idx="11">
                  <c:v>0%</c:v>
                </c:pt>
                <c:pt idx="12">
                  <c:v>21%</c:v>
                </c:pt>
                <c:pt idx="13">
                  <c:v>83%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COVER</c:v>
                </c:pt>
                <c:pt idx="7">
                  <c:v>SP-A/B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0.375</c:v>
                </c:pt>
                <c:pt idx="4">
                  <c:v>1</c:v>
                </c:pt>
                <c:pt idx="5">
                  <c:v>0.29166666666666669</c:v>
                </c:pt>
                <c:pt idx="6">
                  <c:v>0</c:v>
                </c:pt>
                <c:pt idx="7">
                  <c:v>0.54166666666666663</c:v>
                </c:pt>
                <c:pt idx="8">
                  <c:v>0.41666666666666669</c:v>
                </c:pt>
                <c:pt idx="9">
                  <c:v>0.25</c:v>
                </c:pt>
                <c:pt idx="10">
                  <c:v>0.58333333333333337</c:v>
                </c:pt>
                <c:pt idx="11">
                  <c:v>0</c:v>
                </c:pt>
                <c:pt idx="12">
                  <c:v>0.20833333333333334</c:v>
                </c:pt>
                <c:pt idx="13">
                  <c:v>0.83333333333333337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F2-47C3-90FD-A6D4716F5DE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F2-47C3-90FD-A6D4716F5DE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COVER</c:v>
                </c:pt>
                <c:pt idx="7">
                  <c:v>SP-A/B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'25'!$AE$6:$AE$20</c:f>
              <c:numCache>
                <c:formatCode>0%</c:formatCode>
                <c:ptCount val="15"/>
                <c:pt idx="0">
                  <c:v>0.4055555555555555</c:v>
                </c:pt>
                <c:pt idx="1">
                  <c:v>0.4055555555555555</c:v>
                </c:pt>
                <c:pt idx="2">
                  <c:v>0.4055555555555555</c:v>
                </c:pt>
                <c:pt idx="3">
                  <c:v>0.4055555555555555</c:v>
                </c:pt>
                <c:pt idx="4">
                  <c:v>0.4055555555555555</c:v>
                </c:pt>
                <c:pt idx="5">
                  <c:v>0.4055555555555555</c:v>
                </c:pt>
                <c:pt idx="6">
                  <c:v>0.4055555555555555</c:v>
                </c:pt>
                <c:pt idx="7">
                  <c:v>0.4055555555555555</c:v>
                </c:pt>
                <c:pt idx="8">
                  <c:v>0.4055555555555555</c:v>
                </c:pt>
                <c:pt idx="9">
                  <c:v>0.4055555555555555</c:v>
                </c:pt>
                <c:pt idx="10">
                  <c:v>0.4055555555555555</c:v>
                </c:pt>
                <c:pt idx="11">
                  <c:v>0.4055555555555555</c:v>
                </c:pt>
                <c:pt idx="12">
                  <c:v>0.4055555555555555</c:v>
                </c:pt>
                <c:pt idx="13">
                  <c:v>0.4055555555555555</c:v>
                </c:pt>
                <c:pt idx="14">
                  <c:v>0.4055555555555555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F2-47C3-90FD-A6D4716F5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COVER</c:v>
                </c:pt>
                <c:pt idx="7">
                  <c:v>SP-A/B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'25'!$L$6:$L$20</c:f>
              <c:numCache>
                <c:formatCode>_(* #,##0_);_(* \(#,##0\);_(* "-"_);_(@_)</c:formatCode>
                <c:ptCount val="15"/>
                <c:pt idx="2">
                  <c:v>9518</c:v>
                </c:pt>
                <c:pt idx="3">
                  <c:v>1926</c:v>
                </c:pt>
                <c:pt idx="4">
                  <c:v>5356</c:v>
                </c:pt>
                <c:pt idx="5">
                  <c:v>1383</c:v>
                </c:pt>
                <c:pt idx="7">
                  <c:v>2132</c:v>
                </c:pt>
                <c:pt idx="8">
                  <c:v>2296</c:v>
                </c:pt>
                <c:pt idx="9">
                  <c:v>4736</c:v>
                </c:pt>
                <c:pt idx="10">
                  <c:v>2964</c:v>
                </c:pt>
                <c:pt idx="12">
                  <c:v>901</c:v>
                </c:pt>
                <c:pt idx="13">
                  <c:v>3775</c:v>
                </c:pt>
                <c:pt idx="14">
                  <c:v>40932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E4-42D4-9C66-587777617002}"/>
            </c:ext>
          </c:extLst>
        </c:ser>
        <c:ser>
          <c:idx val="1"/>
          <c:order val="1"/>
          <c:tx>
            <c:v>계획</c:v>
          </c:tx>
          <c:cat>
            <c:strRef>
              <c:f>'25'!$D$6:$D$20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COVER</c:v>
                </c:pt>
                <c:pt idx="7">
                  <c:v>SP-A/B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9518</c:v>
                </c:pt>
                <c:pt idx="3">
                  <c:v>1926</c:v>
                </c:pt>
                <c:pt idx="4">
                  <c:v>5356</c:v>
                </c:pt>
                <c:pt idx="5">
                  <c:v>1383</c:v>
                </c:pt>
                <c:pt idx="6">
                  <c:v>1125</c:v>
                </c:pt>
                <c:pt idx="7">
                  <c:v>2132</c:v>
                </c:pt>
                <c:pt idx="8">
                  <c:v>2296</c:v>
                </c:pt>
                <c:pt idx="9">
                  <c:v>4736</c:v>
                </c:pt>
                <c:pt idx="10">
                  <c:v>2964</c:v>
                </c:pt>
                <c:pt idx="11">
                  <c:v>6001</c:v>
                </c:pt>
                <c:pt idx="12">
                  <c:v>901</c:v>
                </c:pt>
                <c:pt idx="13">
                  <c:v>3775</c:v>
                </c:pt>
                <c:pt idx="14">
                  <c:v>40932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E4-42D4-9C66-587777617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38%</c:v>
                </c:pt>
                <c:pt idx="4">
                  <c:v>100%</c:v>
                </c:pt>
                <c:pt idx="5">
                  <c:v>29%</c:v>
                </c:pt>
                <c:pt idx="6">
                  <c:v>0%</c:v>
                </c:pt>
                <c:pt idx="7">
                  <c:v>54%</c:v>
                </c:pt>
                <c:pt idx="8">
                  <c:v>42%</c:v>
                </c:pt>
                <c:pt idx="9">
                  <c:v>25%</c:v>
                </c:pt>
                <c:pt idx="10">
                  <c:v>58%</c:v>
                </c:pt>
                <c:pt idx="11">
                  <c:v>0%</c:v>
                </c:pt>
                <c:pt idx="12">
                  <c:v>21%</c:v>
                </c:pt>
                <c:pt idx="13">
                  <c:v>83%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COVER</c:v>
                </c:pt>
                <c:pt idx="7">
                  <c:v>SP-A/B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0.375</c:v>
                </c:pt>
                <c:pt idx="4">
                  <c:v>1</c:v>
                </c:pt>
                <c:pt idx="5">
                  <c:v>0.29166666666666669</c:v>
                </c:pt>
                <c:pt idx="6">
                  <c:v>0</c:v>
                </c:pt>
                <c:pt idx="7">
                  <c:v>0.54166666666666663</c:v>
                </c:pt>
                <c:pt idx="8">
                  <c:v>0.41666666666666669</c:v>
                </c:pt>
                <c:pt idx="9">
                  <c:v>0.25</c:v>
                </c:pt>
                <c:pt idx="10">
                  <c:v>0.58333333333333337</c:v>
                </c:pt>
                <c:pt idx="11">
                  <c:v>0</c:v>
                </c:pt>
                <c:pt idx="12">
                  <c:v>0.20833333333333334</c:v>
                </c:pt>
                <c:pt idx="13">
                  <c:v>0.83333333333333337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F1-494A-9971-156471999BA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CF1-494A-9971-156471999BA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COVER</c:v>
                </c:pt>
                <c:pt idx="7">
                  <c:v>SP-A/B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'25'!$AE$6:$AE$20</c:f>
              <c:numCache>
                <c:formatCode>0%</c:formatCode>
                <c:ptCount val="15"/>
                <c:pt idx="0">
                  <c:v>0.4055555555555555</c:v>
                </c:pt>
                <c:pt idx="1">
                  <c:v>0.4055555555555555</c:v>
                </c:pt>
                <c:pt idx="2">
                  <c:v>0.4055555555555555</c:v>
                </c:pt>
                <c:pt idx="3">
                  <c:v>0.4055555555555555</c:v>
                </c:pt>
                <c:pt idx="4">
                  <c:v>0.4055555555555555</c:v>
                </c:pt>
                <c:pt idx="5">
                  <c:v>0.4055555555555555</c:v>
                </c:pt>
                <c:pt idx="6">
                  <c:v>0.4055555555555555</c:v>
                </c:pt>
                <c:pt idx="7">
                  <c:v>0.4055555555555555</c:v>
                </c:pt>
                <c:pt idx="8">
                  <c:v>0.4055555555555555</c:v>
                </c:pt>
                <c:pt idx="9">
                  <c:v>0.4055555555555555</c:v>
                </c:pt>
                <c:pt idx="10">
                  <c:v>0.4055555555555555</c:v>
                </c:pt>
                <c:pt idx="11">
                  <c:v>0.4055555555555555</c:v>
                </c:pt>
                <c:pt idx="12">
                  <c:v>0.4055555555555555</c:v>
                </c:pt>
                <c:pt idx="13">
                  <c:v>0.4055555555555555</c:v>
                </c:pt>
                <c:pt idx="14">
                  <c:v>0.4055555555555555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F1-494A-9971-156471999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2C6-4ED4-A065-044A5DACEB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C6-4ED4-A065-044A5DACE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2C6-4ED4-A065-044A5DACEB1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C6-4ED4-A065-044A5DACE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LATCH PLATE</c:v>
                </c:pt>
                <c:pt idx="4">
                  <c:v>ACTUATOR</c:v>
                </c:pt>
                <c:pt idx="5">
                  <c:v>BASE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F/A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'26'!$L$6:$L$21</c:f>
              <c:numCache>
                <c:formatCode>_(* #,##0_);_(* \(#,##0\);_(* "-"_);_(@_)</c:formatCode>
                <c:ptCount val="16"/>
                <c:pt idx="2">
                  <c:v>3418</c:v>
                </c:pt>
                <c:pt idx="3">
                  <c:v>8046</c:v>
                </c:pt>
                <c:pt idx="4">
                  <c:v>2008</c:v>
                </c:pt>
                <c:pt idx="5">
                  <c:v>4291</c:v>
                </c:pt>
                <c:pt idx="6">
                  <c:v>1768</c:v>
                </c:pt>
                <c:pt idx="7">
                  <c:v>1687</c:v>
                </c:pt>
                <c:pt idx="8">
                  <c:v>9832</c:v>
                </c:pt>
                <c:pt idx="10">
                  <c:v>32276</c:v>
                </c:pt>
                <c:pt idx="11">
                  <c:v>5302</c:v>
                </c:pt>
                <c:pt idx="14">
                  <c:v>4964</c:v>
                </c:pt>
                <c:pt idx="15">
                  <c:v>41236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41-451A-99E2-A37D79DBE3F8}"/>
            </c:ext>
          </c:extLst>
        </c:ser>
        <c:ser>
          <c:idx val="1"/>
          <c:order val="1"/>
          <c:tx>
            <c:v>계획</c:v>
          </c:tx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LATCH PLATE</c:v>
                </c:pt>
                <c:pt idx="4">
                  <c:v>ACTUATOR</c:v>
                </c:pt>
                <c:pt idx="5">
                  <c:v>BASE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F/A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'26'!$J$6:$J$21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3418</c:v>
                </c:pt>
                <c:pt idx="3">
                  <c:v>8046</c:v>
                </c:pt>
                <c:pt idx="4">
                  <c:v>2008</c:v>
                </c:pt>
                <c:pt idx="5">
                  <c:v>4291</c:v>
                </c:pt>
                <c:pt idx="6">
                  <c:v>1768</c:v>
                </c:pt>
                <c:pt idx="7">
                  <c:v>1687</c:v>
                </c:pt>
                <c:pt idx="8">
                  <c:v>9832</c:v>
                </c:pt>
                <c:pt idx="9">
                  <c:v>2296</c:v>
                </c:pt>
                <c:pt idx="10">
                  <c:v>32276</c:v>
                </c:pt>
                <c:pt idx="11">
                  <c:v>5302</c:v>
                </c:pt>
                <c:pt idx="12">
                  <c:v>6001</c:v>
                </c:pt>
                <c:pt idx="13">
                  <c:v>901</c:v>
                </c:pt>
                <c:pt idx="14">
                  <c:v>4964</c:v>
                </c:pt>
                <c:pt idx="15">
                  <c:v>41236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41-451A-99E2-A37D79DBE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33%</c:v>
                </c:pt>
                <c:pt idx="3">
                  <c:v>63%</c:v>
                </c:pt>
                <c:pt idx="4">
                  <c:v>42%</c:v>
                </c:pt>
                <c:pt idx="5">
                  <c:v>92%</c:v>
                </c:pt>
                <c:pt idx="6">
                  <c:v>38%</c:v>
                </c:pt>
                <c:pt idx="7">
                  <c:v>38%</c:v>
                </c:pt>
                <c:pt idx="8">
                  <c:v>54%</c:v>
                </c:pt>
                <c:pt idx="9">
                  <c:v>0%</c:v>
                </c:pt>
                <c:pt idx="10">
                  <c:v>83%</c:v>
                </c:pt>
                <c:pt idx="11">
                  <c:v>100%</c:v>
                </c:pt>
                <c:pt idx="12">
                  <c:v>0%</c:v>
                </c:pt>
                <c:pt idx="13">
                  <c:v>0%</c:v>
                </c:pt>
                <c:pt idx="14">
                  <c:v>100%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LATCH PLATE</c:v>
                </c:pt>
                <c:pt idx="4">
                  <c:v>ACTUATOR</c:v>
                </c:pt>
                <c:pt idx="5">
                  <c:v>BASE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F/A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0.625</c:v>
                </c:pt>
                <c:pt idx="4">
                  <c:v>0.41666666666666669</c:v>
                </c:pt>
                <c:pt idx="5">
                  <c:v>0.91666666666666663</c:v>
                </c:pt>
                <c:pt idx="6">
                  <c:v>0.375</c:v>
                </c:pt>
                <c:pt idx="7">
                  <c:v>0.375</c:v>
                </c:pt>
                <c:pt idx="8">
                  <c:v>0.54166666666666663</c:v>
                </c:pt>
                <c:pt idx="9">
                  <c:v>0</c:v>
                </c:pt>
                <c:pt idx="10">
                  <c:v>0.83333333333333337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A7-4E2F-8680-7B9B339F718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A7-4E2F-8680-7B9B339F718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LATCH PLATE</c:v>
                </c:pt>
                <c:pt idx="4">
                  <c:v>ACTUATOR</c:v>
                </c:pt>
                <c:pt idx="5">
                  <c:v>BASE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F/A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'26'!$AE$6:$AE$21</c:f>
              <c:numCache>
                <c:formatCode>0%</c:formatCode>
                <c:ptCount val="16"/>
                <c:pt idx="0">
                  <c:v>0.46666666666666662</c:v>
                </c:pt>
                <c:pt idx="1">
                  <c:v>0.46666666666666662</c:v>
                </c:pt>
                <c:pt idx="2">
                  <c:v>0.46666666666666662</c:v>
                </c:pt>
                <c:pt idx="3">
                  <c:v>0.46666666666666662</c:v>
                </c:pt>
                <c:pt idx="4">
                  <c:v>0.46666666666666662</c:v>
                </c:pt>
                <c:pt idx="5">
                  <c:v>0.46666666666666662</c:v>
                </c:pt>
                <c:pt idx="6">
                  <c:v>0.46666666666666662</c:v>
                </c:pt>
                <c:pt idx="7">
                  <c:v>0.46666666666666662</c:v>
                </c:pt>
                <c:pt idx="8">
                  <c:v>0.46666666666666662</c:v>
                </c:pt>
                <c:pt idx="9">
                  <c:v>0.46666666666666662</c:v>
                </c:pt>
                <c:pt idx="10">
                  <c:v>0.46666666666666662</c:v>
                </c:pt>
                <c:pt idx="11">
                  <c:v>0.46666666666666662</c:v>
                </c:pt>
                <c:pt idx="12">
                  <c:v>0.46666666666666662</c:v>
                </c:pt>
                <c:pt idx="13">
                  <c:v>0.46666666666666662</c:v>
                </c:pt>
                <c:pt idx="14">
                  <c:v>0.46666666666666662</c:v>
                </c:pt>
                <c:pt idx="15">
                  <c:v>0.46666666666666662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7-4E2F-8680-7B9B339F7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LATCH PLATE</c:v>
                </c:pt>
                <c:pt idx="4">
                  <c:v>ACTUATOR</c:v>
                </c:pt>
                <c:pt idx="5">
                  <c:v>BASE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F/A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'26'!$L$6:$L$21</c:f>
              <c:numCache>
                <c:formatCode>_(* #,##0_);_(* \(#,##0\);_(* "-"_);_(@_)</c:formatCode>
                <c:ptCount val="16"/>
                <c:pt idx="2">
                  <c:v>3418</c:v>
                </c:pt>
                <c:pt idx="3">
                  <c:v>8046</c:v>
                </c:pt>
                <c:pt idx="4">
                  <c:v>2008</c:v>
                </c:pt>
                <c:pt idx="5">
                  <c:v>4291</c:v>
                </c:pt>
                <c:pt idx="6">
                  <c:v>1768</c:v>
                </c:pt>
                <c:pt idx="7">
                  <c:v>1687</c:v>
                </c:pt>
                <c:pt idx="8">
                  <c:v>9832</c:v>
                </c:pt>
                <c:pt idx="10">
                  <c:v>32276</c:v>
                </c:pt>
                <c:pt idx="11">
                  <c:v>5302</c:v>
                </c:pt>
                <c:pt idx="14">
                  <c:v>4964</c:v>
                </c:pt>
                <c:pt idx="15">
                  <c:v>41236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40-4B6F-BF53-2997847B1E2D}"/>
            </c:ext>
          </c:extLst>
        </c:ser>
        <c:ser>
          <c:idx val="1"/>
          <c:order val="1"/>
          <c:tx>
            <c:v>계획</c:v>
          </c:tx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LATCH PLATE</c:v>
                </c:pt>
                <c:pt idx="4">
                  <c:v>ACTUATOR</c:v>
                </c:pt>
                <c:pt idx="5">
                  <c:v>BASE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F/A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'26'!$J$6:$J$21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3418</c:v>
                </c:pt>
                <c:pt idx="3">
                  <c:v>8046</c:v>
                </c:pt>
                <c:pt idx="4">
                  <c:v>2008</c:v>
                </c:pt>
                <c:pt idx="5">
                  <c:v>4291</c:v>
                </c:pt>
                <c:pt idx="6">
                  <c:v>1768</c:v>
                </c:pt>
                <c:pt idx="7">
                  <c:v>1687</c:v>
                </c:pt>
                <c:pt idx="8">
                  <c:v>9832</c:v>
                </c:pt>
                <c:pt idx="9">
                  <c:v>2296</c:v>
                </c:pt>
                <c:pt idx="10">
                  <c:v>32276</c:v>
                </c:pt>
                <c:pt idx="11">
                  <c:v>5302</c:v>
                </c:pt>
                <c:pt idx="12">
                  <c:v>6001</c:v>
                </c:pt>
                <c:pt idx="13">
                  <c:v>901</c:v>
                </c:pt>
                <c:pt idx="14">
                  <c:v>4964</c:v>
                </c:pt>
                <c:pt idx="15">
                  <c:v>41236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40-4B6F-BF53-2997847B1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33%</c:v>
                </c:pt>
                <c:pt idx="3">
                  <c:v>63%</c:v>
                </c:pt>
                <c:pt idx="4">
                  <c:v>42%</c:v>
                </c:pt>
                <c:pt idx="5">
                  <c:v>92%</c:v>
                </c:pt>
                <c:pt idx="6">
                  <c:v>38%</c:v>
                </c:pt>
                <c:pt idx="7">
                  <c:v>38%</c:v>
                </c:pt>
                <c:pt idx="8">
                  <c:v>54%</c:v>
                </c:pt>
                <c:pt idx="9">
                  <c:v>0%</c:v>
                </c:pt>
                <c:pt idx="10">
                  <c:v>83%</c:v>
                </c:pt>
                <c:pt idx="11">
                  <c:v>100%</c:v>
                </c:pt>
                <c:pt idx="12">
                  <c:v>0%</c:v>
                </c:pt>
                <c:pt idx="13">
                  <c:v>0%</c:v>
                </c:pt>
                <c:pt idx="14">
                  <c:v>100%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LATCH PLATE</c:v>
                </c:pt>
                <c:pt idx="4">
                  <c:v>ACTUATOR</c:v>
                </c:pt>
                <c:pt idx="5">
                  <c:v>BASE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F/A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0.625</c:v>
                </c:pt>
                <c:pt idx="4">
                  <c:v>0.41666666666666669</c:v>
                </c:pt>
                <c:pt idx="5">
                  <c:v>0.91666666666666663</c:v>
                </c:pt>
                <c:pt idx="6">
                  <c:v>0.375</c:v>
                </c:pt>
                <c:pt idx="7">
                  <c:v>0.375</c:v>
                </c:pt>
                <c:pt idx="8">
                  <c:v>0.54166666666666663</c:v>
                </c:pt>
                <c:pt idx="9">
                  <c:v>0</c:v>
                </c:pt>
                <c:pt idx="10">
                  <c:v>0.83333333333333337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51-4751-B796-D1CCAFE5A62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B51-4751-B796-D1CCAFE5A62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LATCH PLATE</c:v>
                </c:pt>
                <c:pt idx="4">
                  <c:v>ACTUATOR</c:v>
                </c:pt>
                <c:pt idx="5">
                  <c:v>BASE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F/A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'26'!$AE$6:$AE$21</c:f>
              <c:numCache>
                <c:formatCode>0%</c:formatCode>
                <c:ptCount val="16"/>
                <c:pt idx="0">
                  <c:v>0.46666666666666662</c:v>
                </c:pt>
                <c:pt idx="1">
                  <c:v>0.46666666666666662</c:v>
                </c:pt>
                <c:pt idx="2">
                  <c:v>0.46666666666666662</c:v>
                </c:pt>
                <c:pt idx="3">
                  <c:v>0.46666666666666662</c:v>
                </c:pt>
                <c:pt idx="4">
                  <c:v>0.46666666666666662</c:v>
                </c:pt>
                <c:pt idx="5">
                  <c:v>0.46666666666666662</c:v>
                </c:pt>
                <c:pt idx="6">
                  <c:v>0.46666666666666662</c:v>
                </c:pt>
                <c:pt idx="7">
                  <c:v>0.46666666666666662</c:v>
                </c:pt>
                <c:pt idx="8">
                  <c:v>0.46666666666666662</c:v>
                </c:pt>
                <c:pt idx="9">
                  <c:v>0.46666666666666662</c:v>
                </c:pt>
                <c:pt idx="10">
                  <c:v>0.46666666666666662</c:v>
                </c:pt>
                <c:pt idx="11">
                  <c:v>0.46666666666666662</c:v>
                </c:pt>
                <c:pt idx="12">
                  <c:v>0.46666666666666662</c:v>
                </c:pt>
                <c:pt idx="13">
                  <c:v>0.46666666666666662</c:v>
                </c:pt>
                <c:pt idx="14">
                  <c:v>0.46666666666666662</c:v>
                </c:pt>
                <c:pt idx="15">
                  <c:v>0.46666666666666662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51-4751-B796-D1CCAFE5A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25F-4EC8-85EE-916BD33566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5F-4EC8-85EE-916BD3356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25F-4EC8-85EE-916BD33566C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5F-4EC8-85EE-916BD3356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'27'!$L$6:$L$20</c:f>
              <c:numCache>
                <c:formatCode>_(* #,##0_);_(* \(#,##0\);_(* "-"_);_(@_)</c:formatCode>
                <c:ptCount val="15"/>
                <c:pt idx="2">
                  <c:v>12682</c:v>
                </c:pt>
                <c:pt idx="3">
                  <c:v>4959</c:v>
                </c:pt>
                <c:pt idx="5">
                  <c:v>2486</c:v>
                </c:pt>
                <c:pt idx="6">
                  <c:v>1943</c:v>
                </c:pt>
                <c:pt idx="7">
                  <c:v>18976</c:v>
                </c:pt>
                <c:pt idx="9">
                  <c:v>34100</c:v>
                </c:pt>
                <c:pt idx="10">
                  <c:v>4904</c:v>
                </c:pt>
                <c:pt idx="12">
                  <c:v>2968</c:v>
                </c:pt>
                <c:pt idx="13">
                  <c:v>4960</c:v>
                </c:pt>
                <c:pt idx="14">
                  <c:v>41440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82-4BD4-B271-2DE9E7A9AF9B}"/>
            </c:ext>
          </c:extLst>
        </c:ser>
        <c:ser>
          <c:idx val="1"/>
          <c:order val="1"/>
          <c:tx>
            <c:v>계획</c:v>
          </c:tx>
          <c:cat>
            <c:strRef>
              <c:f>'27'!$D$6:$D$20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12682</c:v>
                </c:pt>
                <c:pt idx="3">
                  <c:v>4959</c:v>
                </c:pt>
                <c:pt idx="4">
                  <c:v>4291</c:v>
                </c:pt>
                <c:pt idx="5">
                  <c:v>2486</c:v>
                </c:pt>
                <c:pt idx="6">
                  <c:v>1943</c:v>
                </c:pt>
                <c:pt idx="7">
                  <c:v>18976</c:v>
                </c:pt>
                <c:pt idx="8">
                  <c:v>2296</c:v>
                </c:pt>
                <c:pt idx="9">
                  <c:v>34100</c:v>
                </c:pt>
                <c:pt idx="10">
                  <c:v>4904</c:v>
                </c:pt>
                <c:pt idx="11">
                  <c:v>6001</c:v>
                </c:pt>
                <c:pt idx="12">
                  <c:v>2968</c:v>
                </c:pt>
                <c:pt idx="13">
                  <c:v>4960</c:v>
                </c:pt>
                <c:pt idx="14">
                  <c:v>41440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82-4BD4-B271-2DE9E7A9A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96%</c:v>
                </c:pt>
                <c:pt idx="3">
                  <c:v>100%</c:v>
                </c:pt>
                <c:pt idx="4">
                  <c:v>0%</c:v>
                </c:pt>
                <c:pt idx="5">
                  <c:v>50%</c:v>
                </c:pt>
                <c:pt idx="6">
                  <c:v>42%</c:v>
                </c:pt>
                <c:pt idx="7">
                  <c:v>92%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0%</c:v>
                </c:pt>
                <c:pt idx="12">
                  <c:v>58%</c:v>
                </c:pt>
                <c:pt idx="13">
                  <c:v>100%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0.95833333333333337</c:v>
                </c:pt>
                <c:pt idx="3">
                  <c:v>1</c:v>
                </c:pt>
                <c:pt idx="4">
                  <c:v>0</c:v>
                </c:pt>
                <c:pt idx="5">
                  <c:v>0.5</c:v>
                </c:pt>
                <c:pt idx="6">
                  <c:v>0.41666666666666669</c:v>
                </c:pt>
                <c:pt idx="7">
                  <c:v>0.91666666666666663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0.58333333333333337</c:v>
                </c:pt>
                <c:pt idx="13">
                  <c:v>1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AC-49D1-A4CA-43DEEF54122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AC-49D1-A4CA-43DEEF54122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'27'!$AE$6:$AE$20</c:f>
              <c:numCache>
                <c:formatCode>0%</c:formatCode>
                <c:ptCount val="15"/>
                <c:pt idx="0">
                  <c:v>0.53055555555555545</c:v>
                </c:pt>
                <c:pt idx="1">
                  <c:v>0.53055555555555545</c:v>
                </c:pt>
                <c:pt idx="2">
                  <c:v>0.53055555555555545</c:v>
                </c:pt>
                <c:pt idx="3">
                  <c:v>0.53055555555555545</c:v>
                </c:pt>
                <c:pt idx="4">
                  <c:v>0.53055555555555545</c:v>
                </c:pt>
                <c:pt idx="5">
                  <c:v>0.53055555555555545</c:v>
                </c:pt>
                <c:pt idx="6">
                  <c:v>0.53055555555555545</c:v>
                </c:pt>
                <c:pt idx="7">
                  <c:v>0.53055555555555545</c:v>
                </c:pt>
                <c:pt idx="8">
                  <c:v>0.53055555555555545</c:v>
                </c:pt>
                <c:pt idx="9">
                  <c:v>0.53055555555555545</c:v>
                </c:pt>
                <c:pt idx="10">
                  <c:v>0.53055555555555545</c:v>
                </c:pt>
                <c:pt idx="11">
                  <c:v>0.53055555555555545</c:v>
                </c:pt>
                <c:pt idx="12">
                  <c:v>0.53055555555555545</c:v>
                </c:pt>
                <c:pt idx="13">
                  <c:v>0.53055555555555545</c:v>
                </c:pt>
                <c:pt idx="14">
                  <c:v>0.53055555555555545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AC-49D1-A4CA-43DEEF541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'27'!$L$6:$L$20</c:f>
              <c:numCache>
                <c:formatCode>_(* #,##0_);_(* \(#,##0\);_(* "-"_);_(@_)</c:formatCode>
                <c:ptCount val="15"/>
                <c:pt idx="2">
                  <c:v>12682</c:v>
                </c:pt>
                <c:pt idx="3">
                  <c:v>4959</c:v>
                </c:pt>
                <c:pt idx="5">
                  <c:v>2486</c:v>
                </c:pt>
                <c:pt idx="6">
                  <c:v>1943</c:v>
                </c:pt>
                <c:pt idx="7">
                  <c:v>18976</c:v>
                </c:pt>
                <c:pt idx="9">
                  <c:v>34100</c:v>
                </c:pt>
                <c:pt idx="10">
                  <c:v>4904</c:v>
                </c:pt>
                <c:pt idx="12">
                  <c:v>2968</c:v>
                </c:pt>
                <c:pt idx="13">
                  <c:v>4960</c:v>
                </c:pt>
                <c:pt idx="14">
                  <c:v>41440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33-44AE-81B4-59DC8EDE7129}"/>
            </c:ext>
          </c:extLst>
        </c:ser>
        <c:ser>
          <c:idx val="1"/>
          <c:order val="1"/>
          <c:tx>
            <c:v>계획</c:v>
          </c:tx>
          <c:cat>
            <c:strRef>
              <c:f>'27'!$D$6:$D$20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12682</c:v>
                </c:pt>
                <c:pt idx="3">
                  <c:v>4959</c:v>
                </c:pt>
                <c:pt idx="4">
                  <c:v>4291</c:v>
                </c:pt>
                <c:pt idx="5">
                  <c:v>2486</c:v>
                </c:pt>
                <c:pt idx="6">
                  <c:v>1943</c:v>
                </c:pt>
                <c:pt idx="7">
                  <c:v>18976</c:v>
                </c:pt>
                <c:pt idx="8">
                  <c:v>2296</c:v>
                </c:pt>
                <c:pt idx="9">
                  <c:v>34100</c:v>
                </c:pt>
                <c:pt idx="10">
                  <c:v>4904</c:v>
                </c:pt>
                <c:pt idx="11">
                  <c:v>6001</c:v>
                </c:pt>
                <c:pt idx="12">
                  <c:v>2968</c:v>
                </c:pt>
                <c:pt idx="13">
                  <c:v>4960</c:v>
                </c:pt>
                <c:pt idx="14">
                  <c:v>41440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33-44AE-81B4-59DC8EDE7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96%</c:v>
                </c:pt>
                <c:pt idx="3">
                  <c:v>100%</c:v>
                </c:pt>
                <c:pt idx="4">
                  <c:v>0%</c:v>
                </c:pt>
                <c:pt idx="5">
                  <c:v>50%</c:v>
                </c:pt>
                <c:pt idx="6">
                  <c:v>42%</c:v>
                </c:pt>
                <c:pt idx="7">
                  <c:v>92%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0%</c:v>
                </c:pt>
                <c:pt idx="12">
                  <c:v>58%</c:v>
                </c:pt>
                <c:pt idx="13">
                  <c:v>100%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0.95833333333333337</c:v>
                </c:pt>
                <c:pt idx="3">
                  <c:v>1</c:v>
                </c:pt>
                <c:pt idx="4">
                  <c:v>0</c:v>
                </c:pt>
                <c:pt idx="5">
                  <c:v>0.5</c:v>
                </c:pt>
                <c:pt idx="6">
                  <c:v>0.41666666666666669</c:v>
                </c:pt>
                <c:pt idx="7">
                  <c:v>0.91666666666666663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0.58333333333333337</c:v>
                </c:pt>
                <c:pt idx="13">
                  <c:v>1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4B-44BA-9872-F0F6D635FC3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04B-44BA-9872-F0F6D635FC3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'27'!$AE$6:$AE$20</c:f>
              <c:numCache>
                <c:formatCode>0%</c:formatCode>
                <c:ptCount val="15"/>
                <c:pt idx="0">
                  <c:v>0.53055555555555545</c:v>
                </c:pt>
                <c:pt idx="1">
                  <c:v>0.53055555555555545</c:v>
                </c:pt>
                <c:pt idx="2">
                  <c:v>0.53055555555555545</c:v>
                </c:pt>
                <c:pt idx="3">
                  <c:v>0.53055555555555545</c:v>
                </c:pt>
                <c:pt idx="4">
                  <c:v>0.53055555555555545</c:v>
                </c:pt>
                <c:pt idx="5">
                  <c:v>0.53055555555555545</c:v>
                </c:pt>
                <c:pt idx="6">
                  <c:v>0.53055555555555545</c:v>
                </c:pt>
                <c:pt idx="7">
                  <c:v>0.53055555555555545</c:v>
                </c:pt>
                <c:pt idx="8">
                  <c:v>0.53055555555555545</c:v>
                </c:pt>
                <c:pt idx="9">
                  <c:v>0.53055555555555545</c:v>
                </c:pt>
                <c:pt idx="10">
                  <c:v>0.53055555555555545</c:v>
                </c:pt>
                <c:pt idx="11">
                  <c:v>0.53055555555555545</c:v>
                </c:pt>
                <c:pt idx="12">
                  <c:v>0.53055555555555545</c:v>
                </c:pt>
                <c:pt idx="13">
                  <c:v>0.53055555555555545</c:v>
                </c:pt>
                <c:pt idx="14">
                  <c:v>0.53055555555555545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4B-44BA-9872-F0F6D635F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6B8-4B1A-945F-F18974E77A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8-4B1A-945F-F18974E77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B8-4B1A-945F-F18974E77A0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B8-4B1A-945F-F18974E77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'28'!$L$6:$L$20</c:f>
              <c:numCache>
                <c:formatCode>_(* #,##0_);_(* \(#,##0\);_(* "-"_);_(@_)</c:formatCode>
                <c:ptCount val="15"/>
                <c:pt idx="2">
                  <c:v>13444</c:v>
                </c:pt>
                <c:pt idx="3">
                  <c:v>2003</c:v>
                </c:pt>
                <c:pt idx="4">
                  <c:v>3140</c:v>
                </c:pt>
                <c:pt idx="5">
                  <c:v>4382</c:v>
                </c:pt>
                <c:pt idx="6">
                  <c:v>4107</c:v>
                </c:pt>
                <c:pt idx="7">
                  <c:v>17056</c:v>
                </c:pt>
                <c:pt idx="9">
                  <c:v>4048</c:v>
                </c:pt>
                <c:pt idx="10">
                  <c:v>5084</c:v>
                </c:pt>
                <c:pt idx="11">
                  <c:v>3037</c:v>
                </c:pt>
                <c:pt idx="12">
                  <c:v>2173</c:v>
                </c:pt>
                <c:pt idx="13">
                  <c:v>4873</c:v>
                </c:pt>
                <c:pt idx="14">
                  <c:v>41856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0C-4687-BC9F-7AC724036186}"/>
            </c:ext>
          </c:extLst>
        </c:ser>
        <c:ser>
          <c:idx val="1"/>
          <c:order val="1"/>
          <c:tx>
            <c:v>계획</c:v>
          </c:tx>
          <c:cat>
            <c:strRef>
              <c:f>'28'!$D$6:$D$20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13444</c:v>
                </c:pt>
                <c:pt idx="3">
                  <c:v>2003</c:v>
                </c:pt>
                <c:pt idx="4">
                  <c:v>3140</c:v>
                </c:pt>
                <c:pt idx="5">
                  <c:v>4382</c:v>
                </c:pt>
                <c:pt idx="6">
                  <c:v>4107</c:v>
                </c:pt>
                <c:pt idx="7">
                  <c:v>17056</c:v>
                </c:pt>
                <c:pt idx="8">
                  <c:v>2296</c:v>
                </c:pt>
                <c:pt idx="9">
                  <c:v>4048</c:v>
                </c:pt>
                <c:pt idx="10">
                  <c:v>5084</c:v>
                </c:pt>
                <c:pt idx="11">
                  <c:v>3037</c:v>
                </c:pt>
                <c:pt idx="12">
                  <c:v>2173</c:v>
                </c:pt>
                <c:pt idx="13">
                  <c:v>4873</c:v>
                </c:pt>
                <c:pt idx="14">
                  <c:v>41856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0C-4687-BC9F-7AC724036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42%</c:v>
                </c:pt>
                <c:pt idx="4">
                  <c:v>63%</c:v>
                </c:pt>
                <c:pt idx="5">
                  <c:v>83%</c:v>
                </c:pt>
                <c:pt idx="6">
                  <c:v>88%</c:v>
                </c:pt>
                <c:pt idx="7">
                  <c:v>88%</c:v>
                </c:pt>
                <c:pt idx="8">
                  <c:v>0%</c:v>
                </c:pt>
                <c:pt idx="9">
                  <c:v>25%</c:v>
                </c:pt>
                <c:pt idx="10">
                  <c:v>100%</c:v>
                </c:pt>
                <c:pt idx="11">
                  <c:v>63%</c:v>
                </c:pt>
                <c:pt idx="12">
                  <c:v>38%</c:v>
                </c:pt>
                <c:pt idx="13">
                  <c:v>100%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0.41666666666666669</c:v>
                </c:pt>
                <c:pt idx="4">
                  <c:v>0.625</c:v>
                </c:pt>
                <c:pt idx="5">
                  <c:v>0.83333333333333337</c:v>
                </c:pt>
                <c:pt idx="6">
                  <c:v>0.875</c:v>
                </c:pt>
                <c:pt idx="7">
                  <c:v>0.875</c:v>
                </c:pt>
                <c:pt idx="8">
                  <c:v>0</c:v>
                </c:pt>
                <c:pt idx="9">
                  <c:v>0.25</c:v>
                </c:pt>
                <c:pt idx="10">
                  <c:v>1</c:v>
                </c:pt>
                <c:pt idx="11">
                  <c:v>0.625</c:v>
                </c:pt>
                <c:pt idx="12">
                  <c:v>0.375</c:v>
                </c:pt>
                <c:pt idx="13">
                  <c:v>1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CF-43EE-B4AE-2CE3723F7DC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5CF-43EE-B4AE-2CE3723F7DC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'28'!$AE$6:$AE$20</c:f>
              <c:numCache>
                <c:formatCode>0%</c:formatCode>
                <c:ptCount val="15"/>
                <c:pt idx="0">
                  <c:v>0.56388888888888888</c:v>
                </c:pt>
                <c:pt idx="1">
                  <c:v>0.56388888888888888</c:v>
                </c:pt>
                <c:pt idx="2">
                  <c:v>0.56388888888888888</c:v>
                </c:pt>
                <c:pt idx="3">
                  <c:v>0.56388888888888888</c:v>
                </c:pt>
                <c:pt idx="4">
                  <c:v>0.56388888888888888</c:v>
                </c:pt>
                <c:pt idx="5">
                  <c:v>0.56388888888888888</c:v>
                </c:pt>
                <c:pt idx="6">
                  <c:v>0.56388888888888888</c:v>
                </c:pt>
                <c:pt idx="7">
                  <c:v>0.56388888888888888</c:v>
                </c:pt>
                <c:pt idx="8">
                  <c:v>0.56388888888888888</c:v>
                </c:pt>
                <c:pt idx="9">
                  <c:v>0.56388888888888888</c:v>
                </c:pt>
                <c:pt idx="10">
                  <c:v>0.56388888888888888</c:v>
                </c:pt>
                <c:pt idx="11">
                  <c:v>0.56388888888888888</c:v>
                </c:pt>
                <c:pt idx="12">
                  <c:v>0.56388888888888888</c:v>
                </c:pt>
                <c:pt idx="13">
                  <c:v>0.56388888888888888</c:v>
                </c:pt>
                <c:pt idx="14">
                  <c:v>0.56388888888888888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CF-43EE-B4AE-2CE3723F7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'28'!$L$6:$L$20</c:f>
              <c:numCache>
                <c:formatCode>_(* #,##0_);_(* \(#,##0\);_(* "-"_);_(@_)</c:formatCode>
                <c:ptCount val="15"/>
                <c:pt idx="2">
                  <c:v>13444</c:v>
                </c:pt>
                <c:pt idx="3">
                  <c:v>2003</c:v>
                </c:pt>
                <c:pt idx="4">
                  <c:v>3140</c:v>
                </c:pt>
                <c:pt idx="5">
                  <c:v>4382</c:v>
                </c:pt>
                <c:pt idx="6">
                  <c:v>4107</c:v>
                </c:pt>
                <c:pt idx="7">
                  <c:v>17056</c:v>
                </c:pt>
                <c:pt idx="9">
                  <c:v>4048</c:v>
                </c:pt>
                <c:pt idx="10">
                  <c:v>5084</c:v>
                </c:pt>
                <c:pt idx="11">
                  <c:v>3037</c:v>
                </c:pt>
                <c:pt idx="12">
                  <c:v>2173</c:v>
                </c:pt>
                <c:pt idx="13">
                  <c:v>4873</c:v>
                </c:pt>
                <c:pt idx="14">
                  <c:v>41856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A1-439B-BFB0-34B1840032C4}"/>
            </c:ext>
          </c:extLst>
        </c:ser>
        <c:ser>
          <c:idx val="1"/>
          <c:order val="1"/>
          <c:tx>
            <c:v>계획</c:v>
          </c:tx>
          <c:cat>
            <c:strRef>
              <c:f>'28'!$D$6:$D$20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13444</c:v>
                </c:pt>
                <c:pt idx="3">
                  <c:v>2003</c:v>
                </c:pt>
                <c:pt idx="4">
                  <c:v>3140</c:v>
                </c:pt>
                <c:pt idx="5">
                  <c:v>4382</c:v>
                </c:pt>
                <c:pt idx="6">
                  <c:v>4107</c:v>
                </c:pt>
                <c:pt idx="7">
                  <c:v>17056</c:v>
                </c:pt>
                <c:pt idx="8">
                  <c:v>2296</c:v>
                </c:pt>
                <c:pt idx="9">
                  <c:v>4048</c:v>
                </c:pt>
                <c:pt idx="10">
                  <c:v>5084</c:v>
                </c:pt>
                <c:pt idx="11">
                  <c:v>3037</c:v>
                </c:pt>
                <c:pt idx="12">
                  <c:v>2173</c:v>
                </c:pt>
                <c:pt idx="13">
                  <c:v>4873</c:v>
                </c:pt>
                <c:pt idx="14">
                  <c:v>41856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A1-439B-BFB0-34B184003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42%</c:v>
                </c:pt>
                <c:pt idx="4">
                  <c:v>63%</c:v>
                </c:pt>
                <c:pt idx="5">
                  <c:v>83%</c:v>
                </c:pt>
                <c:pt idx="6">
                  <c:v>88%</c:v>
                </c:pt>
                <c:pt idx="7">
                  <c:v>88%</c:v>
                </c:pt>
                <c:pt idx="8">
                  <c:v>0%</c:v>
                </c:pt>
                <c:pt idx="9">
                  <c:v>25%</c:v>
                </c:pt>
                <c:pt idx="10">
                  <c:v>100%</c:v>
                </c:pt>
                <c:pt idx="11">
                  <c:v>63%</c:v>
                </c:pt>
                <c:pt idx="12">
                  <c:v>38%</c:v>
                </c:pt>
                <c:pt idx="13">
                  <c:v>100%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0.41666666666666669</c:v>
                </c:pt>
                <c:pt idx="4">
                  <c:v>0.625</c:v>
                </c:pt>
                <c:pt idx="5">
                  <c:v>0.83333333333333337</c:v>
                </c:pt>
                <c:pt idx="6">
                  <c:v>0.875</c:v>
                </c:pt>
                <c:pt idx="7">
                  <c:v>0.875</c:v>
                </c:pt>
                <c:pt idx="8">
                  <c:v>0</c:v>
                </c:pt>
                <c:pt idx="9">
                  <c:v>0.25</c:v>
                </c:pt>
                <c:pt idx="10">
                  <c:v>1</c:v>
                </c:pt>
                <c:pt idx="11">
                  <c:v>0.625</c:v>
                </c:pt>
                <c:pt idx="12">
                  <c:v>0.375</c:v>
                </c:pt>
                <c:pt idx="13">
                  <c:v>1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D5-4CC2-B61B-70BE3B8CD0E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6D5-4CC2-B61B-70BE3B8CD0E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'28'!$AE$6:$AE$20</c:f>
              <c:numCache>
                <c:formatCode>0%</c:formatCode>
                <c:ptCount val="15"/>
                <c:pt idx="0">
                  <c:v>0.56388888888888888</c:v>
                </c:pt>
                <c:pt idx="1">
                  <c:v>0.56388888888888888</c:v>
                </c:pt>
                <c:pt idx="2">
                  <c:v>0.56388888888888888</c:v>
                </c:pt>
                <c:pt idx="3">
                  <c:v>0.56388888888888888</c:v>
                </c:pt>
                <c:pt idx="4">
                  <c:v>0.56388888888888888</c:v>
                </c:pt>
                <c:pt idx="5">
                  <c:v>0.56388888888888888</c:v>
                </c:pt>
                <c:pt idx="6">
                  <c:v>0.56388888888888888</c:v>
                </c:pt>
                <c:pt idx="7">
                  <c:v>0.56388888888888888</c:v>
                </c:pt>
                <c:pt idx="8">
                  <c:v>0.56388888888888888</c:v>
                </c:pt>
                <c:pt idx="9">
                  <c:v>0.56388888888888888</c:v>
                </c:pt>
                <c:pt idx="10">
                  <c:v>0.56388888888888888</c:v>
                </c:pt>
                <c:pt idx="11">
                  <c:v>0.56388888888888888</c:v>
                </c:pt>
                <c:pt idx="12">
                  <c:v>0.56388888888888888</c:v>
                </c:pt>
                <c:pt idx="13">
                  <c:v>0.56388888888888888</c:v>
                </c:pt>
                <c:pt idx="14">
                  <c:v>0.56388888888888888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D5-4CC2-B61B-70BE3B8CD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FBE-4C75-B33F-F2473136A9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E-4C75-B33F-F2473136A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FBE-4C75-B33F-F2473136A91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BE-4C75-B33F-F2473136A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HOLDER</c:v>
                </c:pt>
              </c:strCache>
            </c:strRef>
          </c:cat>
          <c:val>
            <c:numRef>
              <c:f>'29'!$L$6:$L$20</c:f>
              <c:numCache>
                <c:formatCode>_(* #,##0_);_(* \(#,##0\);_(* "-"_);_(@_)</c:formatCode>
                <c:ptCount val="15"/>
                <c:pt idx="2">
                  <c:v>13918</c:v>
                </c:pt>
                <c:pt idx="3">
                  <c:v>5012</c:v>
                </c:pt>
                <c:pt idx="4">
                  <c:v>3929</c:v>
                </c:pt>
                <c:pt idx="5">
                  <c:v>5489</c:v>
                </c:pt>
                <c:pt idx="6">
                  <c:v>3383</c:v>
                </c:pt>
                <c:pt idx="7">
                  <c:v>1702</c:v>
                </c:pt>
                <c:pt idx="10">
                  <c:v>3203</c:v>
                </c:pt>
                <c:pt idx="11">
                  <c:v>5533</c:v>
                </c:pt>
                <c:pt idx="12">
                  <c:v>2867</c:v>
                </c:pt>
                <c:pt idx="13">
                  <c:v>1484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3B-4B91-952A-73373B53178A}"/>
            </c:ext>
          </c:extLst>
        </c:ser>
        <c:ser>
          <c:idx val="1"/>
          <c:order val="1"/>
          <c:tx>
            <c:v>계획</c:v>
          </c:tx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HOLDER</c:v>
                </c:pt>
              </c:strCache>
            </c:strRef>
          </c:cat>
          <c:val>
            <c:numRef>
              <c:f>'29'!$J$6:$J$20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13918</c:v>
                </c:pt>
                <c:pt idx="3">
                  <c:v>5012</c:v>
                </c:pt>
                <c:pt idx="4">
                  <c:v>3140</c:v>
                </c:pt>
                <c:pt idx="5">
                  <c:v>5489</c:v>
                </c:pt>
                <c:pt idx="6">
                  <c:v>3383</c:v>
                </c:pt>
                <c:pt idx="7">
                  <c:v>1702</c:v>
                </c:pt>
                <c:pt idx="8">
                  <c:v>2296</c:v>
                </c:pt>
                <c:pt idx="9">
                  <c:v>4048</c:v>
                </c:pt>
                <c:pt idx="10">
                  <c:v>3203</c:v>
                </c:pt>
                <c:pt idx="11">
                  <c:v>5533</c:v>
                </c:pt>
                <c:pt idx="12">
                  <c:v>2867</c:v>
                </c:pt>
                <c:pt idx="13">
                  <c:v>1484</c:v>
                </c:pt>
                <c:pt idx="14">
                  <c:v>41856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3B-4B91-952A-73373B531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99%</c:v>
                </c:pt>
                <c:pt idx="5">
                  <c:v>100%</c:v>
                </c:pt>
                <c:pt idx="6">
                  <c:v>75%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67%</c:v>
                </c:pt>
                <c:pt idx="11">
                  <c:v>83%</c:v>
                </c:pt>
                <c:pt idx="12">
                  <c:v>58%</c:v>
                </c:pt>
                <c:pt idx="13">
                  <c:v>33%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HOLDER</c:v>
                </c:pt>
              </c:strCache>
            </c:strRef>
          </c:cat>
          <c:val>
            <c:numRef>
              <c:f>'29'!$AD$6:$AD$20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0.99059182590233541</c:v>
                </c:pt>
                <c:pt idx="5">
                  <c:v>1</c:v>
                </c:pt>
                <c:pt idx="6">
                  <c:v>0.75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0.66666666666666663</c:v>
                </c:pt>
                <c:pt idx="11">
                  <c:v>0.83333333333333337</c:v>
                </c:pt>
                <c:pt idx="12">
                  <c:v>0.58333333333333337</c:v>
                </c:pt>
                <c:pt idx="13">
                  <c:v>0.33333333333333331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9B-4563-AE9C-EBBD6BA913A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E9B-4563-AE9C-EBBD6BA913A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HOLDER</c:v>
                </c:pt>
              </c:strCache>
            </c:strRef>
          </c:cat>
          <c:val>
            <c:numRef>
              <c:f>'29'!$AE$6:$AE$20</c:f>
              <c:numCache>
                <c:formatCode>0%</c:formatCode>
                <c:ptCount val="15"/>
                <c:pt idx="0">
                  <c:v>0.50492834394904451</c:v>
                </c:pt>
                <c:pt idx="1">
                  <c:v>0.50492834394904451</c:v>
                </c:pt>
                <c:pt idx="2">
                  <c:v>0.50492834394904451</c:v>
                </c:pt>
                <c:pt idx="3">
                  <c:v>0.50492834394904451</c:v>
                </c:pt>
                <c:pt idx="4">
                  <c:v>0.50492834394904451</c:v>
                </c:pt>
                <c:pt idx="5">
                  <c:v>0.50492834394904451</c:v>
                </c:pt>
                <c:pt idx="6">
                  <c:v>0.50492834394904451</c:v>
                </c:pt>
                <c:pt idx="7">
                  <c:v>0.50492834394904451</c:v>
                </c:pt>
                <c:pt idx="8">
                  <c:v>0.50492834394904451</c:v>
                </c:pt>
                <c:pt idx="9">
                  <c:v>0.50492834394904451</c:v>
                </c:pt>
                <c:pt idx="10">
                  <c:v>0.50492834394904451</c:v>
                </c:pt>
                <c:pt idx="11">
                  <c:v>0.50492834394904451</c:v>
                </c:pt>
                <c:pt idx="12">
                  <c:v>0.50492834394904451</c:v>
                </c:pt>
                <c:pt idx="13">
                  <c:v>0.50492834394904451</c:v>
                </c:pt>
                <c:pt idx="14">
                  <c:v>0.50492834394904451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9B-4563-AE9C-EBBD6BA91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HOLDER</c:v>
                </c:pt>
              </c:strCache>
            </c:strRef>
          </c:cat>
          <c:val>
            <c:numRef>
              <c:f>'29'!$L$6:$L$20</c:f>
              <c:numCache>
                <c:formatCode>_(* #,##0_);_(* \(#,##0\);_(* "-"_);_(@_)</c:formatCode>
                <c:ptCount val="15"/>
                <c:pt idx="2">
                  <c:v>13918</c:v>
                </c:pt>
                <c:pt idx="3">
                  <c:v>5012</c:v>
                </c:pt>
                <c:pt idx="4">
                  <c:v>3929</c:v>
                </c:pt>
                <c:pt idx="5">
                  <c:v>5489</c:v>
                </c:pt>
                <c:pt idx="6">
                  <c:v>3383</c:v>
                </c:pt>
                <c:pt idx="7">
                  <c:v>1702</c:v>
                </c:pt>
                <c:pt idx="10">
                  <c:v>3203</c:v>
                </c:pt>
                <c:pt idx="11">
                  <c:v>5533</c:v>
                </c:pt>
                <c:pt idx="12">
                  <c:v>2867</c:v>
                </c:pt>
                <c:pt idx="13">
                  <c:v>1484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30-4373-9311-74912B06E034}"/>
            </c:ext>
          </c:extLst>
        </c:ser>
        <c:ser>
          <c:idx val="1"/>
          <c:order val="1"/>
          <c:tx>
            <c:v>계획</c:v>
          </c:tx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HOLDER</c:v>
                </c:pt>
              </c:strCache>
            </c:strRef>
          </c:cat>
          <c:val>
            <c:numRef>
              <c:f>'29'!$J$6:$J$20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13918</c:v>
                </c:pt>
                <c:pt idx="3">
                  <c:v>5012</c:v>
                </c:pt>
                <c:pt idx="4">
                  <c:v>3140</c:v>
                </c:pt>
                <c:pt idx="5">
                  <c:v>5489</c:v>
                </c:pt>
                <c:pt idx="6">
                  <c:v>3383</c:v>
                </c:pt>
                <c:pt idx="7">
                  <c:v>1702</c:v>
                </c:pt>
                <c:pt idx="8">
                  <c:v>2296</c:v>
                </c:pt>
                <c:pt idx="9">
                  <c:v>4048</c:v>
                </c:pt>
                <c:pt idx="10">
                  <c:v>3203</c:v>
                </c:pt>
                <c:pt idx="11">
                  <c:v>5533</c:v>
                </c:pt>
                <c:pt idx="12">
                  <c:v>2867</c:v>
                </c:pt>
                <c:pt idx="13">
                  <c:v>1484</c:v>
                </c:pt>
                <c:pt idx="14">
                  <c:v>41856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30-4373-9311-74912B06E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99%</c:v>
                </c:pt>
                <c:pt idx="5">
                  <c:v>100%</c:v>
                </c:pt>
                <c:pt idx="6">
                  <c:v>75%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67%</c:v>
                </c:pt>
                <c:pt idx="11">
                  <c:v>83%</c:v>
                </c:pt>
                <c:pt idx="12">
                  <c:v>58%</c:v>
                </c:pt>
                <c:pt idx="13">
                  <c:v>33%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HOLDER</c:v>
                </c:pt>
              </c:strCache>
            </c:strRef>
          </c:cat>
          <c:val>
            <c:numRef>
              <c:f>'29'!$AD$6:$AD$20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0.99059182590233541</c:v>
                </c:pt>
                <c:pt idx="5">
                  <c:v>1</c:v>
                </c:pt>
                <c:pt idx="6">
                  <c:v>0.75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0.66666666666666663</c:v>
                </c:pt>
                <c:pt idx="11">
                  <c:v>0.83333333333333337</c:v>
                </c:pt>
                <c:pt idx="12">
                  <c:v>0.58333333333333337</c:v>
                </c:pt>
                <c:pt idx="13">
                  <c:v>0.33333333333333331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88-44C6-BD44-C8FCBC55C5B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588-44C6-BD44-C8FCBC55C5B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HOLDER</c:v>
                </c:pt>
              </c:strCache>
            </c:strRef>
          </c:cat>
          <c:val>
            <c:numRef>
              <c:f>'29'!$AE$6:$AE$20</c:f>
              <c:numCache>
                <c:formatCode>0%</c:formatCode>
                <c:ptCount val="15"/>
                <c:pt idx="0">
                  <c:v>0.50492834394904451</c:v>
                </c:pt>
                <c:pt idx="1">
                  <c:v>0.50492834394904451</c:v>
                </c:pt>
                <c:pt idx="2">
                  <c:v>0.50492834394904451</c:v>
                </c:pt>
                <c:pt idx="3">
                  <c:v>0.50492834394904451</c:v>
                </c:pt>
                <c:pt idx="4">
                  <c:v>0.50492834394904451</c:v>
                </c:pt>
                <c:pt idx="5">
                  <c:v>0.50492834394904451</c:v>
                </c:pt>
                <c:pt idx="6">
                  <c:v>0.50492834394904451</c:v>
                </c:pt>
                <c:pt idx="7">
                  <c:v>0.50492834394904451</c:v>
                </c:pt>
                <c:pt idx="8">
                  <c:v>0.50492834394904451</c:v>
                </c:pt>
                <c:pt idx="9">
                  <c:v>0.50492834394904451</c:v>
                </c:pt>
                <c:pt idx="10">
                  <c:v>0.50492834394904451</c:v>
                </c:pt>
                <c:pt idx="11">
                  <c:v>0.50492834394904451</c:v>
                </c:pt>
                <c:pt idx="12">
                  <c:v>0.50492834394904451</c:v>
                </c:pt>
                <c:pt idx="13">
                  <c:v>0.50492834394904451</c:v>
                </c:pt>
                <c:pt idx="14">
                  <c:v>0.50492834394904451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88-44C6-BD44-C8FCBC55C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7CF-4FB2-9DF6-638A5BF9F7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CF-4FB2-9DF6-638A5BF9F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7CF-4FB2-9DF6-638A5BF9F7C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CF-4FB2-9DF6-638A5BF9F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HOLDER</c:v>
                </c:pt>
              </c:strCache>
            </c:strRef>
          </c:cat>
          <c:val>
            <c:numRef>
              <c:f>'30'!$L$6:$L$20</c:f>
              <c:numCache>
                <c:formatCode>_(* #,##0_);_(* \(#,##0\);_(* "-"_);_(@_)</c:formatCode>
                <c:ptCount val="15"/>
                <c:pt idx="2">
                  <c:v>13496</c:v>
                </c:pt>
                <c:pt idx="3">
                  <c:v>1587</c:v>
                </c:pt>
                <c:pt idx="4">
                  <c:v>1957</c:v>
                </c:pt>
                <c:pt idx="5">
                  <c:v>1915</c:v>
                </c:pt>
                <c:pt idx="6">
                  <c:v>1502</c:v>
                </c:pt>
                <c:pt idx="10">
                  <c:v>4632</c:v>
                </c:pt>
                <c:pt idx="11">
                  <c:v>6099</c:v>
                </c:pt>
                <c:pt idx="12">
                  <c:v>4710</c:v>
                </c:pt>
                <c:pt idx="13">
                  <c:v>4928</c:v>
                </c:pt>
                <c:pt idx="14">
                  <c:v>23708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98-4CF7-9023-CF16EFB612DB}"/>
            </c:ext>
          </c:extLst>
        </c:ser>
        <c:ser>
          <c:idx val="1"/>
          <c:order val="1"/>
          <c:tx>
            <c:v>계획</c:v>
          </c:tx>
          <c:cat>
            <c:strRef>
              <c:f>'30'!$D$6:$D$20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HOLDER</c:v>
                </c:pt>
              </c:strCache>
            </c:strRef>
          </c:cat>
          <c:val>
            <c:numRef>
              <c:f>'30'!$J$6:$J$20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13496</c:v>
                </c:pt>
                <c:pt idx="3">
                  <c:v>1587</c:v>
                </c:pt>
                <c:pt idx="4">
                  <c:v>1957</c:v>
                </c:pt>
                <c:pt idx="5">
                  <c:v>1915</c:v>
                </c:pt>
                <c:pt idx="6">
                  <c:v>1502</c:v>
                </c:pt>
                <c:pt idx="7">
                  <c:v>1702</c:v>
                </c:pt>
                <c:pt idx="8">
                  <c:v>2296</c:v>
                </c:pt>
                <c:pt idx="9">
                  <c:v>4048</c:v>
                </c:pt>
                <c:pt idx="10">
                  <c:v>4632</c:v>
                </c:pt>
                <c:pt idx="11">
                  <c:v>6099</c:v>
                </c:pt>
                <c:pt idx="12">
                  <c:v>4710</c:v>
                </c:pt>
                <c:pt idx="13">
                  <c:v>4928</c:v>
                </c:pt>
                <c:pt idx="14">
                  <c:v>23708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98-4CF7-9023-CF16EFB61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33%</c:v>
                </c:pt>
                <c:pt idx="4">
                  <c:v>38%</c:v>
                </c:pt>
                <c:pt idx="5">
                  <c:v>38%</c:v>
                </c:pt>
                <c:pt idx="6">
                  <c:v>33%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92%</c:v>
                </c:pt>
                <c:pt idx="11">
                  <c:v>100%</c:v>
                </c:pt>
                <c:pt idx="12">
                  <c:v>88%</c:v>
                </c:pt>
                <c:pt idx="13">
                  <c:v>100%</c:v>
                </c:pt>
                <c:pt idx="14">
                  <c:v>38%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HOLDER</c:v>
                </c:pt>
              </c:strCache>
            </c:strRef>
          </c:cat>
          <c:val>
            <c:numRef>
              <c:f>'30'!$AD$6:$AD$20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0.33333333333333331</c:v>
                </c:pt>
                <c:pt idx="4">
                  <c:v>0.375</c:v>
                </c:pt>
                <c:pt idx="5">
                  <c:v>0.375</c:v>
                </c:pt>
                <c:pt idx="6">
                  <c:v>0.33333333333333331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0.91666666666666663</c:v>
                </c:pt>
                <c:pt idx="11">
                  <c:v>1</c:v>
                </c:pt>
                <c:pt idx="12">
                  <c:v>0.875</c:v>
                </c:pt>
                <c:pt idx="13">
                  <c:v>1</c:v>
                </c:pt>
                <c:pt idx="14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00-4624-ADEC-7F49F7869F6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500-4624-ADEC-7F49F7869F6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HOLDER</c:v>
                </c:pt>
              </c:strCache>
            </c:strRef>
          </c:cat>
          <c:val>
            <c:numRef>
              <c:f>'30'!$AE$6:$AE$20</c:f>
              <c:numCache>
                <c:formatCode>0%</c:formatCode>
                <c:ptCount val="15"/>
                <c:pt idx="0">
                  <c:v>0.43888888888888888</c:v>
                </c:pt>
                <c:pt idx="1">
                  <c:v>0.43888888888888888</c:v>
                </c:pt>
                <c:pt idx="2">
                  <c:v>0.43888888888888888</c:v>
                </c:pt>
                <c:pt idx="3">
                  <c:v>0.43888888888888888</c:v>
                </c:pt>
                <c:pt idx="4">
                  <c:v>0.43888888888888888</c:v>
                </c:pt>
                <c:pt idx="5">
                  <c:v>0.43888888888888888</c:v>
                </c:pt>
                <c:pt idx="6">
                  <c:v>0.43888888888888888</c:v>
                </c:pt>
                <c:pt idx="7">
                  <c:v>0.43888888888888888</c:v>
                </c:pt>
                <c:pt idx="8">
                  <c:v>0.43888888888888888</c:v>
                </c:pt>
                <c:pt idx="9">
                  <c:v>0.43888888888888888</c:v>
                </c:pt>
                <c:pt idx="10">
                  <c:v>0.43888888888888888</c:v>
                </c:pt>
                <c:pt idx="11">
                  <c:v>0.43888888888888888</c:v>
                </c:pt>
                <c:pt idx="12">
                  <c:v>0.43888888888888888</c:v>
                </c:pt>
                <c:pt idx="13">
                  <c:v>0.43888888888888888</c:v>
                </c:pt>
                <c:pt idx="14">
                  <c:v>0.43888888888888888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0-4624-ADEC-7F49F7869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HOLDER</c:v>
                </c:pt>
              </c:strCache>
            </c:strRef>
          </c:cat>
          <c:val>
            <c:numRef>
              <c:f>'30'!$L$6:$L$20</c:f>
              <c:numCache>
                <c:formatCode>_(* #,##0_);_(* \(#,##0\);_(* "-"_);_(@_)</c:formatCode>
                <c:ptCount val="15"/>
                <c:pt idx="2">
                  <c:v>13496</c:v>
                </c:pt>
                <c:pt idx="3">
                  <c:v>1587</c:v>
                </c:pt>
                <c:pt idx="4">
                  <c:v>1957</c:v>
                </c:pt>
                <c:pt idx="5">
                  <c:v>1915</c:v>
                </c:pt>
                <c:pt idx="6">
                  <c:v>1502</c:v>
                </c:pt>
                <c:pt idx="10">
                  <c:v>4632</c:v>
                </c:pt>
                <c:pt idx="11">
                  <c:v>6099</c:v>
                </c:pt>
                <c:pt idx="12">
                  <c:v>4710</c:v>
                </c:pt>
                <c:pt idx="13">
                  <c:v>4928</c:v>
                </c:pt>
                <c:pt idx="14">
                  <c:v>23708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C-487C-A487-892EB17AFDF8}"/>
            </c:ext>
          </c:extLst>
        </c:ser>
        <c:ser>
          <c:idx val="1"/>
          <c:order val="1"/>
          <c:tx>
            <c:v>계획</c:v>
          </c:tx>
          <c:cat>
            <c:strRef>
              <c:f>'30'!$D$6:$D$20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HOLDER</c:v>
                </c:pt>
              </c:strCache>
            </c:strRef>
          </c:cat>
          <c:val>
            <c:numRef>
              <c:f>'30'!$J$6:$J$20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13496</c:v>
                </c:pt>
                <c:pt idx="3">
                  <c:v>1587</c:v>
                </c:pt>
                <c:pt idx="4">
                  <c:v>1957</c:v>
                </c:pt>
                <c:pt idx="5">
                  <c:v>1915</c:v>
                </c:pt>
                <c:pt idx="6">
                  <c:v>1502</c:v>
                </c:pt>
                <c:pt idx="7">
                  <c:v>1702</c:v>
                </c:pt>
                <c:pt idx="8">
                  <c:v>2296</c:v>
                </c:pt>
                <c:pt idx="9">
                  <c:v>4048</c:v>
                </c:pt>
                <c:pt idx="10">
                  <c:v>4632</c:v>
                </c:pt>
                <c:pt idx="11">
                  <c:v>6099</c:v>
                </c:pt>
                <c:pt idx="12">
                  <c:v>4710</c:v>
                </c:pt>
                <c:pt idx="13">
                  <c:v>4928</c:v>
                </c:pt>
                <c:pt idx="14">
                  <c:v>23708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C-487C-A487-892EB17AF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33%</c:v>
                </c:pt>
                <c:pt idx="4">
                  <c:v>38%</c:v>
                </c:pt>
                <c:pt idx="5">
                  <c:v>38%</c:v>
                </c:pt>
                <c:pt idx="6">
                  <c:v>33%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92%</c:v>
                </c:pt>
                <c:pt idx="11">
                  <c:v>100%</c:v>
                </c:pt>
                <c:pt idx="12">
                  <c:v>88%</c:v>
                </c:pt>
                <c:pt idx="13">
                  <c:v>100%</c:v>
                </c:pt>
                <c:pt idx="14">
                  <c:v>38%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HOLDER</c:v>
                </c:pt>
              </c:strCache>
            </c:strRef>
          </c:cat>
          <c:val>
            <c:numRef>
              <c:f>'30'!$AD$6:$AD$20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0.33333333333333331</c:v>
                </c:pt>
                <c:pt idx="4">
                  <c:v>0.375</c:v>
                </c:pt>
                <c:pt idx="5">
                  <c:v>0.375</c:v>
                </c:pt>
                <c:pt idx="6">
                  <c:v>0.33333333333333331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0.91666666666666663</c:v>
                </c:pt>
                <c:pt idx="11">
                  <c:v>1</c:v>
                </c:pt>
                <c:pt idx="12">
                  <c:v>0.875</c:v>
                </c:pt>
                <c:pt idx="13">
                  <c:v>1</c:v>
                </c:pt>
                <c:pt idx="14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E2-44D1-88DE-C67664B9376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8E2-44D1-88DE-C67664B9376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'30'!$D$6:$D$20</c:f>
              <c:strCache>
                <c:ptCount val="14"/>
                <c:pt idx="1">
                  <c:v>88P</c:v>
                </c:pt>
                <c:pt idx="2">
                  <c:v>LATCH PLATE</c:v>
                </c:pt>
                <c:pt idx="3">
                  <c:v>ACTUATOR</c:v>
                </c:pt>
                <c:pt idx="4">
                  <c:v>COVER</c:v>
                </c:pt>
                <c:pt idx="5">
                  <c:v>SLIDER</c:v>
                </c:pt>
                <c:pt idx="6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STOPPER</c:v>
                </c:pt>
                <c:pt idx="13">
                  <c:v>HOLDER</c:v>
                </c:pt>
              </c:strCache>
            </c:strRef>
          </c:cat>
          <c:val>
            <c:numRef>
              <c:f>'30'!$AE$6:$AE$20</c:f>
              <c:numCache>
                <c:formatCode>0%</c:formatCode>
                <c:ptCount val="15"/>
                <c:pt idx="0">
                  <c:v>0.43888888888888888</c:v>
                </c:pt>
                <c:pt idx="1">
                  <c:v>0.43888888888888888</c:v>
                </c:pt>
                <c:pt idx="2">
                  <c:v>0.43888888888888888</c:v>
                </c:pt>
                <c:pt idx="3">
                  <c:v>0.43888888888888888</c:v>
                </c:pt>
                <c:pt idx="4">
                  <c:v>0.43888888888888888</c:v>
                </c:pt>
                <c:pt idx="5">
                  <c:v>0.43888888888888888</c:v>
                </c:pt>
                <c:pt idx="6">
                  <c:v>0.43888888888888888</c:v>
                </c:pt>
                <c:pt idx="7">
                  <c:v>0.43888888888888888</c:v>
                </c:pt>
                <c:pt idx="8">
                  <c:v>0.43888888888888888</c:v>
                </c:pt>
                <c:pt idx="9">
                  <c:v>0.43888888888888888</c:v>
                </c:pt>
                <c:pt idx="10">
                  <c:v>0.43888888888888888</c:v>
                </c:pt>
                <c:pt idx="11">
                  <c:v>0.43888888888888888</c:v>
                </c:pt>
                <c:pt idx="12">
                  <c:v>0.43888888888888888</c:v>
                </c:pt>
                <c:pt idx="13">
                  <c:v>0.43888888888888888</c:v>
                </c:pt>
                <c:pt idx="14">
                  <c:v>0.43888888888888888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E2-44D1-88DE-C67664B93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285-4E1E-8F6F-A3D84CAF8B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0.53333333333333333</c:v>
                </c:pt>
                <c:pt idx="1">
                  <c:v>0.41111111111111115</c:v>
                </c:pt>
                <c:pt idx="2">
                  <c:v>0.20833333333333331</c:v>
                </c:pt>
                <c:pt idx="3">
                  <c:v>0.30555555555555558</c:v>
                </c:pt>
                <c:pt idx="4">
                  <c:v>0.36388888888888893</c:v>
                </c:pt>
                <c:pt idx="5">
                  <c:v>0.38611111111111102</c:v>
                </c:pt>
                <c:pt idx="6">
                  <c:v>0.51944444444444449</c:v>
                </c:pt>
                <c:pt idx="7">
                  <c:v>0.43812468158028811</c:v>
                </c:pt>
                <c:pt idx="8">
                  <c:v>0.42500000000000004</c:v>
                </c:pt>
                <c:pt idx="9">
                  <c:v>0.17222222222222219</c:v>
                </c:pt>
                <c:pt idx="10">
                  <c:v>0.43611111111111112</c:v>
                </c:pt>
                <c:pt idx="11">
                  <c:v>0.36388888888888887</c:v>
                </c:pt>
                <c:pt idx="12">
                  <c:v>0.54722222222222228</c:v>
                </c:pt>
                <c:pt idx="13">
                  <c:v>0.56388888888888888</c:v>
                </c:pt>
                <c:pt idx="14">
                  <c:v>0.31111111111111106</c:v>
                </c:pt>
                <c:pt idx="15">
                  <c:v>0.42222222222222222</c:v>
                </c:pt>
                <c:pt idx="16">
                  <c:v>0.17222222222222222</c:v>
                </c:pt>
                <c:pt idx="17">
                  <c:v>0.51388888888888884</c:v>
                </c:pt>
                <c:pt idx="18">
                  <c:v>0.48055555555555557</c:v>
                </c:pt>
                <c:pt idx="19">
                  <c:v>0.51944444444444449</c:v>
                </c:pt>
                <c:pt idx="20">
                  <c:v>0.53055555555555556</c:v>
                </c:pt>
                <c:pt idx="21">
                  <c:v>0.42785771382893689</c:v>
                </c:pt>
                <c:pt idx="22">
                  <c:v>0.375</c:v>
                </c:pt>
                <c:pt idx="24">
                  <c:v>0.4055555555555555</c:v>
                </c:pt>
                <c:pt idx="25">
                  <c:v>0.46666666666666662</c:v>
                </c:pt>
                <c:pt idx="26">
                  <c:v>0.53055555555555545</c:v>
                </c:pt>
                <c:pt idx="27">
                  <c:v>0.56388888888888888</c:v>
                </c:pt>
                <c:pt idx="28">
                  <c:v>0.50492834394904451</c:v>
                </c:pt>
                <c:pt idx="29">
                  <c:v>0.43888888888888888</c:v>
                </c:pt>
                <c:pt idx="31">
                  <c:v>0.41125258020083116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85-4E1E-8F6F-A3D84CAF8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285-4E1E-8F6F-A3D84CAF8BF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85-4E1E-8F6F-A3D84CAF8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7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6" Type="http://schemas.openxmlformats.org/officeDocument/2006/relationships/chart" Target="../charts/chart77.xml"/><Relationship Id="rId5" Type="http://schemas.openxmlformats.org/officeDocument/2006/relationships/chart" Target="../charts/chart76.xml"/><Relationship Id="rId4" Type="http://schemas.openxmlformats.org/officeDocument/2006/relationships/chart" Target="../charts/chart75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2.xml"/><Relationship Id="rId5" Type="http://schemas.openxmlformats.org/officeDocument/2006/relationships/chart" Target="../charts/chart81.xml"/><Relationship Id="rId4" Type="http://schemas.openxmlformats.org/officeDocument/2006/relationships/chart" Target="../charts/chart80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9.xml"/><Relationship Id="rId1" Type="http://schemas.openxmlformats.org/officeDocument/2006/relationships/chart" Target="../charts/chart88.xml"/><Relationship Id="rId6" Type="http://schemas.openxmlformats.org/officeDocument/2006/relationships/chart" Target="../charts/chart92.xml"/><Relationship Id="rId5" Type="http://schemas.openxmlformats.org/officeDocument/2006/relationships/chart" Target="../charts/chart91.xml"/><Relationship Id="rId4" Type="http://schemas.openxmlformats.org/officeDocument/2006/relationships/chart" Target="../charts/chart90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4.xml"/><Relationship Id="rId1" Type="http://schemas.openxmlformats.org/officeDocument/2006/relationships/chart" Target="../charts/chart93.xml"/><Relationship Id="rId6" Type="http://schemas.openxmlformats.org/officeDocument/2006/relationships/chart" Target="../charts/chart97.xml"/><Relationship Id="rId5" Type="http://schemas.openxmlformats.org/officeDocument/2006/relationships/chart" Target="../charts/chart96.xml"/><Relationship Id="rId4" Type="http://schemas.openxmlformats.org/officeDocument/2006/relationships/chart" Target="../charts/chart9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9.xml"/><Relationship Id="rId1" Type="http://schemas.openxmlformats.org/officeDocument/2006/relationships/chart" Target="../charts/chart98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4.xml"/><Relationship Id="rId1" Type="http://schemas.openxmlformats.org/officeDocument/2006/relationships/chart" Target="../charts/chart103.xml"/><Relationship Id="rId6" Type="http://schemas.openxmlformats.org/officeDocument/2006/relationships/chart" Target="../charts/chart107.xml"/><Relationship Id="rId5" Type="http://schemas.openxmlformats.org/officeDocument/2006/relationships/chart" Target="../charts/chart106.xml"/><Relationship Id="rId4" Type="http://schemas.openxmlformats.org/officeDocument/2006/relationships/chart" Target="../charts/chart105.xml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9.xml"/><Relationship Id="rId1" Type="http://schemas.openxmlformats.org/officeDocument/2006/relationships/chart" Target="../charts/chart108.xml"/><Relationship Id="rId6" Type="http://schemas.openxmlformats.org/officeDocument/2006/relationships/chart" Target="../charts/chart112.xml"/><Relationship Id="rId5" Type="http://schemas.openxmlformats.org/officeDocument/2006/relationships/chart" Target="../charts/chart111.xml"/><Relationship Id="rId4" Type="http://schemas.openxmlformats.org/officeDocument/2006/relationships/chart" Target="../charts/chart110.xml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4.xml"/><Relationship Id="rId1" Type="http://schemas.openxmlformats.org/officeDocument/2006/relationships/chart" Target="../charts/chart113.xml"/><Relationship Id="rId6" Type="http://schemas.openxmlformats.org/officeDocument/2006/relationships/chart" Target="../charts/chart117.xml"/><Relationship Id="rId5" Type="http://schemas.openxmlformats.org/officeDocument/2006/relationships/chart" Target="../charts/chart116.xml"/><Relationship Id="rId4" Type="http://schemas.openxmlformats.org/officeDocument/2006/relationships/chart" Target="../charts/chart115.xml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9.xml"/><Relationship Id="rId1" Type="http://schemas.openxmlformats.org/officeDocument/2006/relationships/chart" Target="../charts/chart118.xml"/><Relationship Id="rId6" Type="http://schemas.openxmlformats.org/officeDocument/2006/relationships/chart" Target="../charts/chart122.xml"/><Relationship Id="rId5" Type="http://schemas.openxmlformats.org/officeDocument/2006/relationships/chart" Target="../charts/chart121.xml"/><Relationship Id="rId4" Type="http://schemas.openxmlformats.org/officeDocument/2006/relationships/chart" Target="../charts/chart120.xml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4.xml"/><Relationship Id="rId1" Type="http://schemas.openxmlformats.org/officeDocument/2006/relationships/chart" Target="../charts/chart123.xml"/><Relationship Id="rId6" Type="http://schemas.openxmlformats.org/officeDocument/2006/relationships/chart" Target="../charts/chart127.xml"/><Relationship Id="rId5" Type="http://schemas.openxmlformats.org/officeDocument/2006/relationships/chart" Target="../charts/chart126.xml"/><Relationship Id="rId4" Type="http://schemas.openxmlformats.org/officeDocument/2006/relationships/chart" Target="../charts/chart125.xml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9.xml"/><Relationship Id="rId1" Type="http://schemas.openxmlformats.org/officeDocument/2006/relationships/chart" Target="../charts/chart128.xml"/><Relationship Id="rId6" Type="http://schemas.openxmlformats.org/officeDocument/2006/relationships/chart" Target="../charts/chart132.xml"/><Relationship Id="rId5" Type="http://schemas.openxmlformats.org/officeDocument/2006/relationships/chart" Target="../charts/chart131.xml"/><Relationship Id="rId4" Type="http://schemas.openxmlformats.org/officeDocument/2006/relationships/chart" Target="../charts/chart130.xml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34.xml"/><Relationship Id="rId1" Type="http://schemas.openxmlformats.org/officeDocument/2006/relationships/chart" Target="../charts/chart133.xml"/><Relationship Id="rId6" Type="http://schemas.openxmlformats.org/officeDocument/2006/relationships/chart" Target="../charts/chart137.xml"/><Relationship Id="rId5" Type="http://schemas.openxmlformats.org/officeDocument/2006/relationships/chart" Target="../charts/chart136.xml"/><Relationship Id="rId4" Type="http://schemas.openxmlformats.org/officeDocument/2006/relationships/chart" Target="../charts/chart135.xml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39.xml"/><Relationship Id="rId1" Type="http://schemas.openxmlformats.org/officeDocument/2006/relationships/chart" Target="../charts/chart138.xml"/><Relationship Id="rId6" Type="http://schemas.openxmlformats.org/officeDocument/2006/relationships/chart" Target="../charts/chart142.xml"/><Relationship Id="rId5" Type="http://schemas.openxmlformats.org/officeDocument/2006/relationships/chart" Target="../charts/chart141.xml"/><Relationship Id="rId4" Type="http://schemas.openxmlformats.org/officeDocument/2006/relationships/chart" Target="../charts/chart140.xml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4.xml"/><Relationship Id="rId1" Type="http://schemas.openxmlformats.org/officeDocument/2006/relationships/chart" Target="../charts/chart143.xml"/><Relationship Id="rId6" Type="http://schemas.openxmlformats.org/officeDocument/2006/relationships/chart" Target="../charts/chart147.xml"/><Relationship Id="rId5" Type="http://schemas.openxmlformats.org/officeDocument/2006/relationships/chart" Target="../charts/chart146.xml"/><Relationship Id="rId4" Type="http://schemas.openxmlformats.org/officeDocument/2006/relationships/chart" Target="../charts/chart14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104775</xdr:rowOff>
    </xdr:from>
    <xdr:to>
      <xdr:col>16</xdr:col>
      <xdr:colOff>66675</xdr:colOff>
      <xdr:row>31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19</xdr:row>
      <xdr:rowOff>123825</xdr:rowOff>
    </xdr:from>
    <xdr:to>
      <xdr:col>32</xdr:col>
      <xdr:colOff>371474</xdr:colOff>
      <xdr:row>31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43F0466-5434-43C7-BCC1-8C02986068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1DBEFC7-016A-4F63-AD6C-972F07CF35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C2FB70D-72AB-480E-86F2-EF72425EB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8D92641-2646-419E-B069-6D87504016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794119C-74DC-4FF8-91F7-892674AF4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E1C2C26-9671-445D-80C3-30BF1B1BF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DFBE17F-E55B-4309-9942-1567B1AC9A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4B8BC08-EBCF-482C-AAE5-487AB26659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C4914DF-B99C-4C0B-83D6-CE4EDD8F92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1299E05-E2DB-4399-8908-8F5723342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DE510E3-B35B-47B8-A96A-8816670EE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24E6582-AD10-4FA0-A2A2-6E53CC20D5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36C2F29-4456-4C2D-A0FD-8C310DF51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23E9344-CB41-4E0C-88D2-EE973B79D7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903C2CB-BF6C-4B60-B225-5518883D68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CF512E7-0EC3-43DF-8D69-22206317D0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3A8D087-752A-49FF-A695-91CE8E5C6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215A835-E1EC-4C27-9300-AD23934A2D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441E850-6937-4004-9BA8-0A1721033F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9129451-7415-4415-AE66-BF28371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75EDFE4-015C-42D0-9EFC-B6C9A8E511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AED9DB4-F7BF-4F4F-8127-DF56E82DF6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DEF318A-2501-4D01-B4E0-8B070B8E43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8C5992E-861B-4E36-8D48-C5ED1E681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A08ECDC-3562-4A31-BEBC-C8C07FF77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63A69F8-9B78-438A-8147-404311595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11151F6-F85B-4D83-BC52-5AD1BF534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6450E99-8ED4-447E-A9CB-526832FA4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99DBBB2-D5EE-42C0-8048-707866267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98E07BC-C350-4F95-A1A4-644D38C45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D00CCBC-B439-4BAF-BA7E-886C1B527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9355B70-F425-4D53-AF6C-80B9B33F4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67E7922-1EBA-4C05-A0BE-54CC922684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41B0444-6E89-4418-984C-01AAB69F9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0DC375E-9BFE-4F47-A3B9-A907AD5D20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BEDA15B-28F8-4038-A52F-D762C151FB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638CCC1-0466-4E7D-977A-6A2ACD0AD5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D6CCB73-184D-44AE-8DC8-9EDFB32E9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33A3FB1-3CF7-40F4-AFB7-67D698CE1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46F7BEC-3FC0-402A-AFD6-AAE008614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3AAE351-0CB0-4143-8483-2FCD4AB7E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DBEBE00-7201-4D03-914B-0618A68EC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13FEE69-3BF3-46ED-ADDF-A18026D8A8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920C74D-9824-4842-9F6D-860F10DAE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8313CFB-88DD-4358-B32B-499173D6A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97680D9-111B-426A-A761-D9F8B9D6A9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307677A-419C-4260-80DD-B26F98B8FB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B63B3EB-7229-457C-B8F0-22B9AEDB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E8C18F5-7F5D-4299-AB8E-499D5C3EA6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C43940C-3D2A-4A37-9C7D-5285A9DBB7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0CE939D-3D30-4BAF-8652-5BDB3CB8D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7D5EF14-3045-4EA6-BC3A-D3307AA04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DC8D2F6-B51F-46FA-882F-75EA60BD62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967A262-9692-46FD-A82F-EC4D93927A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24F211A-BFE3-4CAA-B717-FF97E894D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C80C7D4-D4E3-4222-AD3A-CC7466C2BA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DB0DABA-2D9A-4B05-9C81-928AD2D793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FE633ED-A334-47B5-868E-C47ADA2CB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A9183F7-EF29-4661-ABF9-9A48151D1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6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2239FCE-8111-474E-93FA-25DBFA2EC7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C9F2E55-04DA-4EEC-8DC4-DCDB2BA2A6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3AFB026-C0E0-4C62-88AD-DB62CD8E2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6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16A1D79-B55C-4849-B1E4-D5DFE4B61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572F2E5-F415-4838-9EA5-5DD311F869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686C008-5FDA-4609-950C-BE3D61C602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33BC810-72F4-46FD-9CCE-47FD12F35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6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F4F59F5-748F-4EF1-A016-17A8EC055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3F28C7E-D428-4BC2-89BF-24113CB6CB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5F72018-E64B-4C40-B629-087EDE97E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6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096CDB9-C2FA-42E1-8A2D-F2FFB1164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B297F50-8998-419F-A7DC-70AB577BD5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F823912-3FE3-44F7-AD47-B69AD962E1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FD145E7-EAB6-4B88-8FD5-103D765D1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6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2210856-8F76-4493-9F74-241A36168E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815AB85-D1C1-4300-A466-91BA6ADF80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4B9BCC9-11F9-4FC8-8C88-22110151F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6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5F5D161-A282-444A-9898-1D7528ED4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5ADFCBE-0368-40C1-A921-E63DF48AB9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268F599-F174-415F-B5EB-D19AB4BDD0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2358691-9F88-43AA-96CC-5F477B4BE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6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B5BD0F2-72B8-4535-B30C-772157FA7B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388253B-A4A8-4BDD-A0FA-24128FC5DB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151F11C-E4B4-41A8-BEA3-66B949C23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6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098E8E3-A862-42D1-98BF-057B25CFE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2D53D5D-DE5E-47A2-9FE5-DA42CCC225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C396969-F31A-4B87-8C81-FD94694C4F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E70AE22-4EFF-4A9D-BF7A-FB5397E20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6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CF0B991-44B2-41FD-965B-E1C6A7A099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A4FCC86-B2C1-4BD8-987E-FF0B2C0430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4233AF4-12A9-40D6-A5EE-224C96C20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647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DD5E15A-B8DA-49D0-B333-0C658493C3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3DAD6FC-73EB-4E73-A39E-A49600F3D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23383B7-A726-437D-B94D-02E0CC395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B97566C-8790-4F0F-B60A-5B88F4E58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0EE8E5F-5356-4072-8D53-8C679A489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BE88179-9334-4F75-AD31-3423C6C399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6009ABA-8C7C-4727-8797-CA57ED390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5126C37-0145-4C28-9B50-57BBB9F288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D0443C9-B1E0-4341-A1C9-8AF82C839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4B4C454-0505-4D96-8F2D-96A8755B9C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20FB04E-7EF1-48ED-A3F7-6A73846BA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B2B4E0F-326C-434C-9C94-622BB2F10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DFE405D-2D6A-47AE-B621-60D86C68C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4716F15-0F0E-47BB-84A2-8721F0E24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BB2B5D4-5E17-4185-B985-87BAC2715E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88273DA-9D59-4566-BA93-3829144A8C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647AE12-BA97-43FF-9B20-2174725C2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AD45B04-CDF1-40CA-9E63-DAA237BE7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248E640-E639-47C6-B8A2-05216B5B0D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C9E5D8C-14BF-414B-B38F-9DFEE1FD15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F179E4F-9738-4EB9-8DE3-4A1280547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BCF4687-C437-4F51-9EB4-A671304F7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61B4145-BA39-4B4D-93F9-52A1F3D98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C22FDD3-F8E5-4901-84F3-7197A0894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0F26F9B-2261-45F8-A5AD-A50179D14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7BF005E-B742-405E-8398-851DADC7EE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ADA3019-F1DD-4F9D-8251-B65D3A315A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D341911-135F-47AD-8504-4C821DA62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E78C0F7-8168-4CE6-BB09-CE781061D6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787CD4F-D9A3-423F-BD2F-09201607C8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DC28EAF-612D-4DDA-8F4F-244483247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8A33DFE-912A-4231-85F8-8F76A6567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C2CA176-5F5A-41F9-AD6A-FAA57122D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5EB7AFB-A851-42BC-8189-EE0E1C4D5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88F5199-48B6-415F-8B0A-8C67B43C8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56A6DD5-E509-4739-84E1-9C194B67AD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58B58A9-31DB-4810-9CB8-FBE981913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B9D2873-67ED-436D-AE1D-A73A9E96A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544790E-3528-47E3-B757-C059456A3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F5C3375-EFA4-454C-A6C2-2FCE63766A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362CE62-A9ED-4EBB-94FE-63A6F26ECE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B3A67A2-136F-424B-BC65-9FB4A6635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E0DB598-4527-4D27-9E40-F97EE2D711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05495C2-772E-4ABE-AACE-259CC1D8A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6F1577A-201F-4964-B587-49042B6C8D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FEF18A4-8282-4B7D-B1AD-4846D32EA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168CE9B-CD65-4FEC-9252-9D68F0BB9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82825D1-C544-4088-804A-7D35CD49C7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EA209CF-DD6A-4CC4-ABD8-BA7A43C3A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EABB1BA-693A-4769-8FB9-60620077EC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064B333-DC77-4588-A3BC-CBAF39002F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9A2E441-E2D3-4DE5-8CF8-C2E1FB0BAA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06578BC-7FAC-43AC-AFA0-65B465049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A5974E0-EACB-4BAD-BC7A-BBD12BFE7C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3BB6995-346C-4915-B9CA-94F06C097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4F18859-2FA2-4A28-9007-DC90B141E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8FE89C4-6279-41A9-8C57-92E0C26068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1398198-3066-4E33-BB36-0DDA1F6B73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DC04B63-F190-4CF5-BD1E-EC06CA323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DB52A4C-1D73-49E2-B6C3-37049215A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F064A2F-9539-4283-9881-545833CC9A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54CACB1-CDD7-46BE-8C6B-724BA81A81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A4B1946-A738-41E5-987A-DF3D788DA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266B830-03A0-44F9-B691-7FAC325082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8FDAD48-D9BD-465C-AA94-926644195D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6DED534-C20E-4AED-88F4-70833453D0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D7FA6BA-79F6-42EE-90C1-D82603F32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AC6E107-1676-40E7-8E6D-A0DB33818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0C29BB5-A54E-430C-930D-25D54E9665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8B3753E-F249-4D75-A174-45D6D8292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3802648-F252-46B6-A622-49D8AB3F9C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32C3D03-68C2-4899-A882-BB8ABFF3B6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0731178-A717-4104-90DA-C6730AFFA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F433BC4-82D0-4EFD-B919-0ED0069EC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C143DFB-A2D2-4EFF-B7CE-14F1C54DC2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C2CD11B-6B7E-4515-A512-449340CF6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1928A9E-968D-425D-B0E4-10A0E434B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7FD8084-E333-4273-AF04-1CC9F0C5E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9AB89A5-94D2-456B-A948-F8DBBEDAE9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E36093D-AA30-4811-A872-36E957B21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E562549-9F65-49AF-BF41-CB7964F12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DC9FDE0-FDC1-4459-B4EB-B1DA6A0741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6624E34-4DA4-47B6-ACEB-695E0FE50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DE35CF3-03D2-4CFB-A2DA-49FDB68EF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FEB3BF9-85A2-4C8A-90F5-0F77C17831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DEA5EAF-7B5F-43F3-9BEE-9D45485D02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1A27B21-C897-474F-AC44-20DAEC9E39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C33A207-857D-4EE6-BC72-BB53D88FF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A43B58E-B7D2-41C2-8BA4-AA0927D849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820B496-11E0-4F9D-A182-7B8CEA0DD0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3DB87F4-875A-4683-9483-2CA254FB7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431E72C-EEBE-42F2-B6E5-CFF7CF8238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2827257-4F9D-41BE-8E4A-05F69715DD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2056FED-B85B-4C7A-8BBB-65881528B7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0CD8F91-71FD-4EF0-A19B-9BA68E6DF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AF8AD47-9495-4BFA-BA90-08720439A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DC44995-EA89-498E-BF2B-0B28F91AE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CE5112D-CDAC-499A-AE82-AAEBE15B1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A331C3D-DC9F-43A5-B90D-5148311B54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3F6254C-4223-4B66-89D2-46F355F31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E1FC62F-84D2-4843-8FD6-7B01AAB99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4AEECCE-F724-4FC4-945A-2F3AC6BA2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B65F995-55EE-4ED0-8774-E196157F1B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882B0B9-142B-4C6D-BE52-FF399B192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0DB2574-34ED-4FAF-9928-EABC05DB6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3AABB45-513B-4E6A-B486-9B17DFCD8F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5C976C8-40F8-4B38-BE84-879D6AE455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A2DB644-DED9-485D-9D21-7F98BDB76C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13F16DE-0DA3-4704-BDD5-0432A4B1D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2233F64-B309-41E2-AB73-BE0667D4B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0D01F2F-8ACA-44A9-8101-4D494E39B5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AA392FC-F926-414E-BAB0-0522B6786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3103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73FD8E9-52A9-4DD2-A0BE-53974AB9E2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19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I9" sqref="AI9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3" width="5.5" style="68" bestFit="1" customWidth="1"/>
    <col min="34" max="16384" width="9" style="68"/>
  </cols>
  <sheetData>
    <row r="1" spans="1:33" ht="33.75" customHeight="1" thickBot="1">
      <c r="A1" s="451" t="s">
        <v>167</v>
      </c>
      <c r="B1" s="451"/>
      <c r="C1" s="451"/>
      <c r="D1" s="451"/>
      <c r="E1" s="451"/>
      <c r="F1" s="451"/>
      <c r="G1" s="451"/>
      <c r="H1" s="451"/>
    </row>
    <row r="2" spans="1:33" ht="21.75" customHeight="1" thickBot="1">
      <c r="A2" s="89" t="s">
        <v>59</v>
      </c>
      <c r="B2" s="91" t="s">
        <v>74</v>
      </c>
      <c r="C2" s="92" t="s">
        <v>75</v>
      </c>
      <c r="D2" s="92" t="s">
        <v>76</v>
      </c>
      <c r="E2" s="92" t="s">
        <v>77</v>
      </c>
      <c r="F2" s="92" t="s">
        <v>78</v>
      </c>
      <c r="G2" s="92" t="s">
        <v>79</v>
      </c>
      <c r="H2" s="92" t="s">
        <v>80</v>
      </c>
      <c r="I2" s="92" t="s">
        <v>81</v>
      </c>
      <c r="J2" s="92" t="s">
        <v>82</v>
      </c>
      <c r="K2" s="92" t="s">
        <v>83</v>
      </c>
      <c r="L2" s="92" t="s">
        <v>84</v>
      </c>
      <c r="M2" s="92" t="s">
        <v>85</v>
      </c>
      <c r="N2" s="92" t="s">
        <v>86</v>
      </c>
      <c r="O2" s="92" t="s">
        <v>87</v>
      </c>
      <c r="P2" s="92" t="s">
        <v>88</v>
      </c>
      <c r="Q2" s="92" t="s">
        <v>89</v>
      </c>
      <c r="R2" s="92" t="s">
        <v>90</v>
      </c>
      <c r="S2" s="92" t="s">
        <v>91</v>
      </c>
      <c r="T2" s="92" t="s">
        <v>92</v>
      </c>
      <c r="U2" s="92" t="s">
        <v>93</v>
      </c>
      <c r="V2" s="92" t="s">
        <v>94</v>
      </c>
      <c r="W2" s="92" t="s">
        <v>95</v>
      </c>
      <c r="X2" s="92" t="s">
        <v>96</v>
      </c>
      <c r="Y2" s="92" t="s">
        <v>97</v>
      </c>
      <c r="Z2" s="92" t="s">
        <v>98</v>
      </c>
      <c r="AA2" s="92" t="s">
        <v>99</v>
      </c>
      <c r="AB2" s="92" t="s">
        <v>100</v>
      </c>
      <c r="AC2" s="92" t="s">
        <v>101</v>
      </c>
      <c r="AD2" s="92" t="s">
        <v>102</v>
      </c>
      <c r="AE2" s="92" t="s">
        <v>103</v>
      </c>
      <c r="AF2" s="93" t="s">
        <v>104</v>
      </c>
      <c r="AG2" s="89" t="s">
        <v>106</v>
      </c>
    </row>
    <row r="3" spans="1:33" ht="21.75" customHeight="1">
      <c r="A3" s="109" t="s">
        <v>60</v>
      </c>
      <c r="B3" s="104">
        <f>'01'!AD6</f>
        <v>0</v>
      </c>
      <c r="C3" s="104">
        <f>'02'!AD6</f>
        <v>0</v>
      </c>
      <c r="D3" s="97">
        <f>'03'!AD6</f>
        <v>0</v>
      </c>
      <c r="E3" s="97">
        <f>'04'!AD6</f>
        <v>0</v>
      </c>
      <c r="F3" s="97">
        <f>'05'!AD6</f>
        <v>0</v>
      </c>
      <c r="G3" s="97">
        <f>'06'!AD6</f>
        <v>0</v>
      </c>
      <c r="H3" s="97">
        <f>'07'!AD6</f>
        <v>0</v>
      </c>
      <c r="I3" s="97">
        <f>'08'!AD6</f>
        <v>0</v>
      </c>
      <c r="J3" s="97">
        <f>'09'!AD6</f>
        <v>0</v>
      </c>
      <c r="K3" s="97">
        <f>'10'!AD6</f>
        <v>0</v>
      </c>
      <c r="L3" s="97">
        <f>'11'!AD6</f>
        <v>0</v>
      </c>
      <c r="M3" s="97">
        <f>'12'!AD6</f>
        <v>0</v>
      </c>
      <c r="N3" s="115">
        <f>'13'!AD6</f>
        <v>0</v>
      </c>
      <c r="O3" s="97">
        <f>'14'!AD6</f>
        <v>0</v>
      </c>
      <c r="P3" s="97">
        <f>'15'!AD6</f>
        <v>0</v>
      </c>
      <c r="Q3" s="97">
        <f>'16'!AD6</f>
        <v>0</v>
      </c>
      <c r="R3" s="97">
        <f>'17'!AD6</f>
        <v>0</v>
      </c>
      <c r="S3" s="97">
        <f>'18'!AD6</f>
        <v>0</v>
      </c>
      <c r="T3" s="97">
        <f>'19'!AD6</f>
        <v>0</v>
      </c>
      <c r="U3" s="97">
        <f>'20'!AD6</f>
        <v>0</v>
      </c>
      <c r="V3" s="97">
        <f>'21'!AD6</f>
        <v>0</v>
      </c>
      <c r="W3" s="115">
        <f>'22'!AD6</f>
        <v>0</v>
      </c>
      <c r="X3" s="97">
        <f>'23'!AD6</f>
        <v>0</v>
      </c>
      <c r="Y3" s="97"/>
      <c r="Z3" s="97">
        <f>'25'!AD6</f>
        <v>0</v>
      </c>
      <c r="AA3" s="97">
        <f>'26'!AD6</f>
        <v>0</v>
      </c>
      <c r="AB3" s="97">
        <f>'27'!AD6</f>
        <v>0</v>
      </c>
      <c r="AC3" s="97">
        <f>'28'!AD6</f>
        <v>0</v>
      </c>
      <c r="AD3" s="97">
        <f>'29'!AD6</f>
        <v>0</v>
      </c>
      <c r="AE3" s="97">
        <f>'30'!AD6</f>
        <v>0</v>
      </c>
      <c r="AF3" s="98"/>
      <c r="AG3" s="100">
        <f>SUM(B3:AF3)/30</f>
        <v>0</v>
      </c>
    </row>
    <row r="4" spans="1:33" ht="21.75" customHeight="1">
      <c r="A4" s="110" t="s">
        <v>61</v>
      </c>
      <c r="B4" s="105">
        <f>'01'!AD7</f>
        <v>0</v>
      </c>
      <c r="C4" s="105">
        <f>'02'!AD7</f>
        <v>0</v>
      </c>
      <c r="D4" s="74">
        <f>'03'!AD7</f>
        <v>0</v>
      </c>
      <c r="E4" s="74">
        <f>'04'!AD7</f>
        <v>0</v>
      </c>
      <c r="F4" s="74">
        <f>'05'!AD7</f>
        <v>0</v>
      </c>
      <c r="G4" s="74">
        <f>'06'!AD7</f>
        <v>0</v>
      </c>
      <c r="H4" s="74">
        <f>'07'!AD7</f>
        <v>0</v>
      </c>
      <c r="I4" s="74">
        <f>'08'!AD7</f>
        <v>0</v>
      </c>
      <c r="J4" s="74">
        <f>'09'!AD7</f>
        <v>0</v>
      </c>
      <c r="K4" s="74">
        <f>'10'!AD7</f>
        <v>0</v>
      </c>
      <c r="L4" s="74">
        <f>'11'!AD7</f>
        <v>0</v>
      </c>
      <c r="M4" s="74">
        <f>'12'!AD7</f>
        <v>0</v>
      </c>
      <c r="N4" s="74">
        <f>'13'!AD7</f>
        <v>0</v>
      </c>
      <c r="O4" s="74">
        <f>'14'!AD7</f>
        <v>0</v>
      </c>
      <c r="P4" s="74">
        <f>'15'!AD7</f>
        <v>0</v>
      </c>
      <c r="Q4" s="74">
        <f>'16'!AD7</f>
        <v>0</v>
      </c>
      <c r="R4" s="74">
        <f>'17'!AD7</f>
        <v>0</v>
      </c>
      <c r="S4" s="74">
        <f>'18'!AD7</f>
        <v>0</v>
      </c>
      <c r="T4" s="74">
        <f>'19'!AD7</f>
        <v>0</v>
      </c>
      <c r="U4" s="74">
        <f>'20'!AD7</f>
        <v>0</v>
      </c>
      <c r="V4" s="74">
        <f>'21'!AD7</f>
        <v>0</v>
      </c>
      <c r="W4" s="74">
        <f>'22'!AD7</f>
        <v>0</v>
      </c>
      <c r="X4" s="74">
        <f>'23'!AD7</f>
        <v>0</v>
      </c>
      <c r="Y4" s="74"/>
      <c r="Z4" s="74">
        <f>'25'!AD7</f>
        <v>0</v>
      </c>
      <c r="AA4" s="74">
        <f>'26'!AD7</f>
        <v>0</v>
      </c>
      <c r="AB4" s="74">
        <f>'27'!AD7</f>
        <v>0</v>
      </c>
      <c r="AC4" s="74">
        <f>'28'!AD7</f>
        <v>0</v>
      </c>
      <c r="AD4" s="74">
        <f>'29'!AD7</f>
        <v>0</v>
      </c>
      <c r="AE4" s="74">
        <f>'30'!AD7</f>
        <v>0</v>
      </c>
      <c r="AF4" s="75"/>
      <c r="AG4" s="76">
        <f t="shared" ref="AG4:AG18" si="0">SUM(B4:AF4)/30</f>
        <v>0</v>
      </c>
    </row>
    <row r="5" spans="1:33" ht="21.75" customHeight="1">
      <c r="A5" s="111" t="s">
        <v>62</v>
      </c>
      <c r="B5" s="106">
        <f>'01'!AD8</f>
        <v>0.33333333333333331</v>
      </c>
      <c r="C5" s="106">
        <f>'02'!AD8</f>
        <v>0.5</v>
      </c>
      <c r="D5" s="77">
        <f>'03'!AD8</f>
        <v>0.41666666666666669</v>
      </c>
      <c r="E5" s="77">
        <f>'04'!AD8</f>
        <v>0.375</v>
      </c>
      <c r="F5" s="77">
        <f>'05'!AD8</f>
        <v>0.25</v>
      </c>
      <c r="G5" s="77">
        <f>'06'!AD8</f>
        <v>0.66666666666666663</v>
      </c>
      <c r="H5" s="77">
        <f>'07'!AD8</f>
        <v>0.91666666666666663</v>
      </c>
      <c r="I5" s="77">
        <f>'08'!AD8</f>
        <v>0.16666666666666666</v>
      </c>
      <c r="J5" s="77">
        <f>'09'!AD8</f>
        <v>0</v>
      </c>
      <c r="K5" s="77">
        <f>'10'!AD8</f>
        <v>0</v>
      </c>
      <c r="L5" s="77">
        <f>'11'!AD8</f>
        <v>0.54166666666666663</v>
      </c>
      <c r="M5" s="77">
        <f>'12'!AD8+'12'!AD9</f>
        <v>0.875</v>
      </c>
      <c r="N5" s="77">
        <f>'13'!AD8+'13'!AD9</f>
        <v>0.95833333333333326</v>
      </c>
      <c r="O5" s="77">
        <f>'14'!AD8</f>
        <v>1</v>
      </c>
      <c r="P5" s="77">
        <f>'15'!AD8</f>
        <v>1</v>
      </c>
      <c r="Q5" s="77">
        <f>'16'!AD8</f>
        <v>1</v>
      </c>
      <c r="R5" s="77">
        <f>'17'!AD8</f>
        <v>0.41666666666666669</v>
      </c>
      <c r="S5" s="77">
        <f>'18'!AD8</f>
        <v>1</v>
      </c>
      <c r="T5" s="77">
        <f>'19'!AD8</f>
        <v>0.58333333333333337</v>
      </c>
      <c r="U5" s="77">
        <f>'20'!AD8</f>
        <v>1</v>
      </c>
      <c r="V5" s="77">
        <f>'21'!AD8</f>
        <v>1</v>
      </c>
      <c r="W5" s="116">
        <f>'22'!AD8</f>
        <v>1</v>
      </c>
      <c r="X5" s="77">
        <f>'23'!AD8</f>
        <v>1</v>
      </c>
      <c r="Y5" s="77"/>
      <c r="Z5" s="77">
        <f>'25'!AD8</f>
        <v>1</v>
      </c>
      <c r="AA5" s="77">
        <f>'26'!AD8+'26'!AD9</f>
        <v>0.95833333333333326</v>
      </c>
      <c r="AB5" s="77">
        <f>'27'!AD8</f>
        <v>0.95833333333333337</v>
      </c>
      <c r="AC5" s="77">
        <f>'28'!AD8</f>
        <v>1</v>
      </c>
      <c r="AD5" s="77">
        <f>'29'!AD8</f>
        <v>1</v>
      </c>
      <c r="AE5" s="77">
        <f>'30'!AD8</f>
        <v>1</v>
      </c>
      <c r="AF5" s="78"/>
      <c r="AG5" s="79">
        <f t="shared" si="0"/>
        <v>0.69722222222222219</v>
      </c>
    </row>
    <row r="6" spans="1:33" ht="21.75" customHeight="1">
      <c r="A6" s="112" t="s">
        <v>63</v>
      </c>
      <c r="B6" s="107">
        <f>'01'!AD9</f>
        <v>0.875</v>
      </c>
      <c r="C6" s="107">
        <f>'02'!AD9</f>
        <v>0.625</v>
      </c>
      <c r="D6" s="80">
        <f>'03'!AD9</f>
        <v>0.41666666666666669</v>
      </c>
      <c r="E6" s="80">
        <f>'04'!AD9</f>
        <v>0.58333333333333337</v>
      </c>
      <c r="F6" s="80">
        <f>'05'!AD9</f>
        <v>0.625</v>
      </c>
      <c r="G6" s="80">
        <f>'06'!AD9</f>
        <v>0.75</v>
      </c>
      <c r="H6" s="80">
        <f>'07'!AD9</f>
        <v>0.83333333333333337</v>
      </c>
      <c r="I6" s="80">
        <f>'08'!AD9</f>
        <v>0.91666666666666663</v>
      </c>
      <c r="J6" s="80">
        <f>'09'!AD9</f>
        <v>0.875</v>
      </c>
      <c r="K6" s="80">
        <f>'10'!AD9</f>
        <v>0.33333333333333331</v>
      </c>
      <c r="L6" s="80">
        <f>'11'!AD9</f>
        <v>0.875</v>
      </c>
      <c r="M6" s="80">
        <f>'12'!AD10</f>
        <v>1</v>
      </c>
      <c r="N6" s="80">
        <f>'13'!AD10</f>
        <v>0.83333333333333337</v>
      </c>
      <c r="O6" s="80">
        <f>'14'!AD9</f>
        <v>0.875</v>
      </c>
      <c r="P6" s="80">
        <f>'15'!AD9</f>
        <v>0.79166666666666663</v>
      </c>
      <c r="Q6" s="80">
        <f>'16'!AD9</f>
        <v>1</v>
      </c>
      <c r="R6" s="80">
        <f>'17'!AD9</f>
        <v>0.33333333333333331</v>
      </c>
      <c r="S6" s="80">
        <f>'18'!AD9</f>
        <v>0.75</v>
      </c>
      <c r="T6" s="80">
        <f>'19'!AD9</f>
        <v>1</v>
      </c>
      <c r="U6" s="80">
        <f>'20'!AD9</f>
        <v>0.58333333333333337</v>
      </c>
      <c r="V6" s="80">
        <f>'21'!AD9</f>
        <v>1</v>
      </c>
      <c r="W6" s="80">
        <f>'22'!AD9</f>
        <v>0.66666666666666663</v>
      </c>
      <c r="X6" s="80">
        <f>'23'!AD9</f>
        <v>0.41666666666666669</v>
      </c>
      <c r="Y6" s="80"/>
      <c r="Z6" s="80">
        <f>'25'!AD9</f>
        <v>0.375</v>
      </c>
      <c r="AA6" s="80">
        <f>'26'!AD10</f>
        <v>0.41666666666666669</v>
      </c>
      <c r="AB6" s="80">
        <f>'27'!AD9</f>
        <v>1</v>
      </c>
      <c r="AC6" s="80">
        <f>'28'!AD9</f>
        <v>0.41666666666666669</v>
      </c>
      <c r="AD6" s="80">
        <f>'29'!AD9</f>
        <v>1</v>
      </c>
      <c r="AE6" s="80">
        <f>'30'!AD9</f>
        <v>0.33333333333333331</v>
      </c>
      <c r="AF6" s="81"/>
      <c r="AG6" s="82">
        <f t="shared" si="0"/>
        <v>0.68333333333333346</v>
      </c>
    </row>
    <row r="7" spans="1:33" ht="21.75" customHeight="1">
      <c r="A7" s="112" t="s">
        <v>64</v>
      </c>
      <c r="B7" s="107">
        <f>'01'!AD10</f>
        <v>0.875</v>
      </c>
      <c r="C7" s="107">
        <f>'02'!AD10</f>
        <v>0.58333333333333337</v>
      </c>
      <c r="D7" s="80">
        <f>'03'!AD10</f>
        <v>0.41666666666666669</v>
      </c>
      <c r="E7" s="80">
        <f>'04'!AD10</f>
        <v>0.79166666666666663</v>
      </c>
      <c r="F7" s="80">
        <f>'05'!AD10</f>
        <v>0.91666666666666663</v>
      </c>
      <c r="G7" s="80">
        <f>'06'!AD10</f>
        <v>0.375</v>
      </c>
      <c r="H7" s="80">
        <f>'07'!AD10</f>
        <v>0.95833333333333337</v>
      </c>
      <c r="I7" s="80">
        <f>'08'!AD10</f>
        <v>1</v>
      </c>
      <c r="J7" s="80">
        <f>'09'!AD10</f>
        <v>0.41666666666666669</v>
      </c>
      <c r="K7" s="80">
        <f>'10'!AD10</f>
        <v>0.41666666666666669</v>
      </c>
      <c r="L7" s="80">
        <f>'11'!AD10+'11'!AD11</f>
        <v>0.375</v>
      </c>
      <c r="M7" s="80">
        <f>'12'!AD11</f>
        <v>0</v>
      </c>
      <c r="N7" s="80">
        <f>'13'!AD11</f>
        <v>0</v>
      </c>
      <c r="O7" s="80">
        <f>'14'!AD10</f>
        <v>0.33333333333333331</v>
      </c>
      <c r="P7" s="80">
        <f>'15'!AD10</f>
        <v>0.54166666666666663</v>
      </c>
      <c r="Q7" s="80">
        <f>'16'!AD10</f>
        <v>1</v>
      </c>
      <c r="R7" s="80">
        <f>'17'!AD10</f>
        <v>0.29166666666666669</v>
      </c>
      <c r="S7" s="80">
        <f>'18'!AD10</f>
        <v>0.91666666666666663</v>
      </c>
      <c r="T7" s="80">
        <f>'19'!AD10</f>
        <v>1</v>
      </c>
      <c r="U7" s="80">
        <f>'20'!AD10</f>
        <v>1</v>
      </c>
      <c r="V7" s="80">
        <f>'21'!AD10</f>
        <v>0.75</v>
      </c>
      <c r="W7" s="80">
        <f>'22'!AD10</f>
        <v>0.45833333333333331</v>
      </c>
      <c r="X7" s="80">
        <f>'23'!AD10</f>
        <v>1</v>
      </c>
      <c r="Y7" s="80"/>
      <c r="Z7" s="80">
        <f>'25'!AD10</f>
        <v>1</v>
      </c>
      <c r="AA7" s="80">
        <f>'26'!AD11</f>
        <v>0.91666666666666663</v>
      </c>
      <c r="AB7" s="80">
        <f>'27'!AD10</f>
        <v>0</v>
      </c>
      <c r="AC7" s="80">
        <f>'28'!AD10</f>
        <v>0.625</v>
      </c>
      <c r="AD7" s="80">
        <f>'29'!AD10</f>
        <v>0.99059182590233541</v>
      </c>
      <c r="AE7" s="80">
        <f>'30'!AD10</f>
        <v>0.375</v>
      </c>
      <c r="AF7" s="81"/>
      <c r="AG7" s="82">
        <f t="shared" si="0"/>
        <v>0.61079750530785559</v>
      </c>
    </row>
    <row r="8" spans="1:33" ht="21.75" customHeight="1">
      <c r="A8" s="112" t="s">
        <v>65</v>
      </c>
      <c r="B8" s="107">
        <f>'01'!AD11</f>
        <v>0.33333333333333331</v>
      </c>
      <c r="C8" s="107">
        <f>'02'!AD11</f>
        <v>0.125</v>
      </c>
      <c r="D8" s="80">
        <f>'03'!AD11</f>
        <v>8.3333333333333329E-2</v>
      </c>
      <c r="E8" s="80">
        <f>'04'!AD11</f>
        <v>0</v>
      </c>
      <c r="F8" s="80">
        <f>'05'!AD11</f>
        <v>0.16666666666666666</v>
      </c>
      <c r="G8" s="80">
        <f>'06'!AD11</f>
        <v>0</v>
      </c>
      <c r="H8" s="80">
        <f>'07'!AD11</f>
        <v>0.45833333333333331</v>
      </c>
      <c r="I8" s="80">
        <f>'08'!AD11</f>
        <v>0.58333333333333337</v>
      </c>
      <c r="J8" s="80">
        <f>'09'!AD11</f>
        <v>1</v>
      </c>
      <c r="K8" s="80">
        <f>'10'!AD11</f>
        <v>0.41666666666666669</v>
      </c>
      <c r="L8" s="80">
        <f>'11'!AD12</f>
        <v>0.79166666666666663</v>
      </c>
      <c r="M8" s="80">
        <f>'12'!AD12</f>
        <v>0.54166666666666663</v>
      </c>
      <c r="N8" s="80">
        <f>'13'!AD12</f>
        <v>1</v>
      </c>
      <c r="O8" s="80">
        <f>'14'!AD11</f>
        <v>0.875</v>
      </c>
      <c r="P8" s="80">
        <f>'15'!AD11+'15'!AD12</f>
        <v>0.125</v>
      </c>
      <c r="Q8" s="80">
        <f>'16'!AD11</f>
        <v>0.16666666666666666</v>
      </c>
      <c r="R8" s="80">
        <f>'17'!AD11</f>
        <v>0.29166666666666669</v>
      </c>
      <c r="S8" s="80">
        <f>'18'!AD11</f>
        <v>1</v>
      </c>
      <c r="T8" s="80">
        <f>'19'!AD11</f>
        <v>0.54166666666666663</v>
      </c>
      <c r="U8" s="80">
        <f>'20'!AD11</f>
        <v>0.58333333333333337</v>
      </c>
      <c r="V8" s="80">
        <f>'21'!AD11</f>
        <v>0.54166666666666663</v>
      </c>
      <c r="W8" s="80">
        <f>'22'!AD11</f>
        <v>0.33333333333333331</v>
      </c>
      <c r="X8" s="80">
        <f>'23'!AD11</f>
        <v>0.16666666666666666</v>
      </c>
      <c r="Y8" s="80"/>
      <c r="Z8" s="80">
        <f>'25'!AD11</f>
        <v>0.29166666666666669</v>
      </c>
      <c r="AA8" s="80">
        <f>'26'!AD12</f>
        <v>0.375</v>
      </c>
      <c r="AB8" s="80">
        <f>'27'!AD11</f>
        <v>0.5</v>
      </c>
      <c r="AC8" s="80">
        <f>'28'!AD11</f>
        <v>0.83333333333333337</v>
      </c>
      <c r="AD8" s="80">
        <f>'29'!AD11</f>
        <v>1</v>
      </c>
      <c r="AE8" s="80">
        <f>'30'!AD11</f>
        <v>0.375</v>
      </c>
      <c r="AF8" s="81"/>
      <c r="AG8" s="82">
        <f t="shared" si="0"/>
        <v>0.45</v>
      </c>
    </row>
    <row r="9" spans="1:33" ht="21.75" customHeight="1">
      <c r="A9" s="112" t="s">
        <v>66</v>
      </c>
      <c r="B9" s="107">
        <f>'01'!AD12</f>
        <v>0.875</v>
      </c>
      <c r="C9" s="107">
        <f>'02'!AD12</f>
        <v>0.45833333333333331</v>
      </c>
      <c r="D9" s="80">
        <f>'03'!AD12</f>
        <v>0</v>
      </c>
      <c r="E9" s="80">
        <f>'04'!AD12</f>
        <v>0.125</v>
      </c>
      <c r="F9" s="80">
        <f>'05'!AD12</f>
        <v>0.70833333333333337</v>
      </c>
      <c r="G9" s="80">
        <f>'06'!AD12</f>
        <v>1</v>
      </c>
      <c r="H9" s="80">
        <f>'07'!AD12</f>
        <v>0.625</v>
      </c>
      <c r="I9" s="80">
        <f>'08'!AD12</f>
        <v>0.44687022370432122</v>
      </c>
      <c r="J9" s="80">
        <f>'09'!AD12</f>
        <v>0.41666666666666669</v>
      </c>
      <c r="K9" s="80">
        <f>'10'!AD12</f>
        <v>0.33333333333333331</v>
      </c>
      <c r="L9" s="80">
        <f>'11'!AD13</f>
        <v>0.70833333333333337</v>
      </c>
      <c r="M9" s="80">
        <f>'12'!AD13</f>
        <v>0.66666666666666663</v>
      </c>
      <c r="N9" s="80">
        <f>'13'!AD13</f>
        <v>0.45833333333333331</v>
      </c>
      <c r="O9" s="80">
        <f>'14'!AD12</f>
        <v>1</v>
      </c>
      <c r="P9" s="80">
        <f>'15'!AD13</f>
        <v>0.20833333333333334</v>
      </c>
      <c r="Q9" s="80">
        <f>'16'!AD12</f>
        <v>0.33333333333333331</v>
      </c>
      <c r="R9" s="80">
        <f>'17'!AD12</f>
        <v>0.20833333333333334</v>
      </c>
      <c r="S9" s="80">
        <f>'18'!AD12</f>
        <v>0.625</v>
      </c>
      <c r="T9" s="80">
        <f>'19'!AD12</f>
        <v>0.79166666666666663</v>
      </c>
      <c r="U9" s="80">
        <f>'20'!AD12</f>
        <v>0.58333333333333337</v>
      </c>
      <c r="V9" s="80">
        <f>'21'!AD12</f>
        <v>0.125</v>
      </c>
      <c r="W9" s="80">
        <f>'22'!AD12</f>
        <v>0.29166666666666669</v>
      </c>
      <c r="X9" s="80">
        <f>'23'!AD12</f>
        <v>0.29166666666666669</v>
      </c>
      <c r="Y9" s="80"/>
      <c r="Z9" s="80">
        <f>'25'!AD12</f>
        <v>0</v>
      </c>
      <c r="AA9" s="80">
        <f>'26'!AD13</f>
        <v>0.375</v>
      </c>
      <c r="AB9" s="80">
        <f>'27'!AD12</f>
        <v>0.41666666666666669</v>
      </c>
      <c r="AC9" s="80">
        <f>'28'!AD12</f>
        <v>0.875</v>
      </c>
      <c r="AD9" s="80">
        <f>'29'!AD12</f>
        <v>0.75</v>
      </c>
      <c r="AE9" s="80">
        <f>'30'!AD12</f>
        <v>0.33333333333333331</v>
      </c>
      <c r="AF9" s="81"/>
      <c r="AG9" s="82">
        <f t="shared" si="0"/>
        <v>0.46767345190125514</v>
      </c>
    </row>
    <row r="10" spans="1:33" ht="21.75" customHeight="1">
      <c r="A10" s="112" t="s">
        <v>67</v>
      </c>
      <c r="B10" s="107">
        <f>'01'!AD13</f>
        <v>0.91666666666666663</v>
      </c>
      <c r="C10" s="107">
        <f>'02'!AD13</f>
        <v>0</v>
      </c>
      <c r="D10" s="80">
        <f>'03'!AD13</f>
        <v>0.33333333333333331</v>
      </c>
      <c r="E10" s="80">
        <f>'04'!AD13</f>
        <v>0</v>
      </c>
      <c r="F10" s="80">
        <f>'05'!AD13</f>
        <v>0.25</v>
      </c>
      <c r="G10" s="80">
        <f>'06'!AD13</f>
        <v>0</v>
      </c>
      <c r="H10" s="80">
        <f>'07'!AD13</f>
        <v>0.16666666666666666</v>
      </c>
      <c r="I10" s="80">
        <f>'08'!AD13</f>
        <v>0</v>
      </c>
      <c r="J10" s="80">
        <f>'09'!AD13+'09'!AD14</f>
        <v>0.75</v>
      </c>
      <c r="K10" s="80">
        <f>'10'!AD13</f>
        <v>0.25</v>
      </c>
      <c r="L10" s="80">
        <f>'11'!AD14</f>
        <v>0.66666666666666663</v>
      </c>
      <c r="M10" s="80">
        <f>'12'!AD14</f>
        <v>0</v>
      </c>
      <c r="N10" s="80">
        <f>'13'!AD14</f>
        <v>0</v>
      </c>
      <c r="O10" s="80">
        <f>'14'!AD13+'14'!AD14</f>
        <v>0.625</v>
      </c>
      <c r="P10" s="80">
        <f>'15'!AD14</f>
        <v>0</v>
      </c>
      <c r="Q10" s="80">
        <f>'16'!AD13</f>
        <v>0.875</v>
      </c>
      <c r="R10" s="80">
        <f>'17'!AD13</f>
        <v>0.41666666666666669</v>
      </c>
      <c r="S10" s="80">
        <f>'18'!AD13</f>
        <v>0.625</v>
      </c>
      <c r="T10" s="80">
        <f>'19'!AD13</f>
        <v>0.75</v>
      </c>
      <c r="U10" s="80">
        <f>'20'!AD13</f>
        <v>0.70833333333333337</v>
      </c>
      <c r="V10" s="80">
        <f>'21'!AD13</f>
        <v>0.83333333333333337</v>
      </c>
      <c r="W10" s="80">
        <f>'22'!AD13</f>
        <v>0.375</v>
      </c>
      <c r="X10" s="80">
        <f>'23'!AD13</f>
        <v>0.58333333333333337</v>
      </c>
      <c r="Y10" s="80"/>
      <c r="Z10" s="80">
        <f>'25'!AD13</f>
        <v>0.54166666666666663</v>
      </c>
      <c r="AA10" s="80">
        <f>'26'!AD14</f>
        <v>0.54166666666666663</v>
      </c>
      <c r="AB10" s="80">
        <f>'27'!AD13</f>
        <v>0.91666666666666663</v>
      </c>
      <c r="AC10" s="80">
        <f>'28'!AD13</f>
        <v>0.875</v>
      </c>
      <c r="AD10" s="80">
        <f>'29'!AD13</f>
        <v>0.41666666666666669</v>
      </c>
      <c r="AE10" s="80">
        <f>'30'!AD13</f>
        <v>0</v>
      </c>
      <c r="AF10" s="81"/>
      <c r="AG10" s="82">
        <f t="shared" si="0"/>
        <v>0.41388888888888886</v>
      </c>
    </row>
    <row r="11" spans="1:33" ht="21.75" customHeight="1">
      <c r="A11" s="119" t="s">
        <v>68</v>
      </c>
      <c r="B11" s="120">
        <f>'01'!AD14</f>
        <v>0</v>
      </c>
      <c r="C11" s="120">
        <f>'02'!AD14</f>
        <v>0</v>
      </c>
      <c r="D11" s="121">
        <f>'03'!AD14</f>
        <v>0</v>
      </c>
      <c r="E11" s="121">
        <f>'04'!AD14</f>
        <v>0</v>
      </c>
      <c r="F11" s="121">
        <f>'05'!AD14</f>
        <v>0</v>
      </c>
      <c r="G11" s="121">
        <f>'06'!AD14</f>
        <v>0.16666666666666666</v>
      </c>
      <c r="H11" s="121">
        <f>'07'!AD14</f>
        <v>0.20833333333333334</v>
      </c>
      <c r="I11" s="121">
        <f>'08'!AD14</f>
        <v>0.41666666666666669</v>
      </c>
      <c r="J11" s="121">
        <f>'09'!AD15</f>
        <v>0</v>
      </c>
      <c r="K11" s="121">
        <f>'10'!AD14</f>
        <v>0</v>
      </c>
      <c r="L11" s="121">
        <f>'11'!AD15</f>
        <v>0</v>
      </c>
      <c r="M11" s="121">
        <f>'12'!AD15</f>
        <v>0</v>
      </c>
      <c r="N11" s="121">
        <f>'13'!AD15</f>
        <v>0</v>
      </c>
      <c r="O11" s="121">
        <f>'14'!AD15</f>
        <v>0.20833333333333334</v>
      </c>
      <c r="P11" s="121">
        <f>'15'!AD15</f>
        <v>0</v>
      </c>
      <c r="Q11" s="121">
        <f>'16'!AD14</f>
        <v>0</v>
      </c>
      <c r="R11" s="121">
        <f>'17'!AD14</f>
        <v>0</v>
      </c>
      <c r="S11" s="121">
        <f>'18'!AD14</f>
        <v>0</v>
      </c>
      <c r="T11" s="121">
        <f>'19'!AD14</f>
        <v>0</v>
      </c>
      <c r="U11" s="121">
        <f>'20'!AD14</f>
        <v>0</v>
      </c>
      <c r="V11" s="121">
        <f>'21'!AD14</f>
        <v>0</v>
      </c>
      <c r="W11" s="121">
        <f>'22'!AD14</f>
        <v>0.58333333333333337</v>
      </c>
      <c r="X11" s="121">
        <f>'23'!AD14</f>
        <v>0</v>
      </c>
      <c r="Y11" s="121"/>
      <c r="Z11" s="121">
        <f>'25'!AD14</f>
        <v>0.41666666666666669</v>
      </c>
      <c r="AA11" s="121">
        <f>'26'!AD15</f>
        <v>0</v>
      </c>
      <c r="AB11" s="121">
        <f>'27'!AD14</f>
        <v>0</v>
      </c>
      <c r="AC11" s="121">
        <f>'28'!AD14</f>
        <v>0</v>
      </c>
      <c r="AD11" s="121">
        <f>'29'!AD14</f>
        <v>0</v>
      </c>
      <c r="AE11" s="121">
        <f>'30'!AD14</f>
        <v>0</v>
      </c>
      <c r="AF11" s="122"/>
      <c r="AG11" s="123">
        <f t="shared" si="0"/>
        <v>6.6666666666666666E-2</v>
      </c>
    </row>
    <row r="12" spans="1:33" ht="21.75" customHeight="1">
      <c r="A12" s="111" t="s">
        <v>69</v>
      </c>
      <c r="B12" s="106">
        <f>'01'!AD15</f>
        <v>0</v>
      </c>
      <c r="C12" s="106">
        <f>'02'!AD15</f>
        <v>0</v>
      </c>
      <c r="D12" s="77">
        <f>'03'!AD15</f>
        <v>0</v>
      </c>
      <c r="E12" s="77">
        <f>'04'!AD15</f>
        <v>0</v>
      </c>
      <c r="F12" s="77">
        <f>'05'!AD15</f>
        <v>0</v>
      </c>
      <c r="G12" s="77">
        <f>'06'!AD15</f>
        <v>0.41666666666666669</v>
      </c>
      <c r="H12" s="77">
        <f>'07'!AD15</f>
        <v>0</v>
      </c>
      <c r="I12" s="77">
        <f>'08'!AD15</f>
        <v>0</v>
      </c>
      <c r="J12" s="77">
        <f>'09'!AD16</f>
        <v>0</v>
      </c>
      <c r="K12" s="77">
        <f>'10'!AD15</f>
        <v>0</v>
      </c>
      <c r="L12" s="77">
        <f>'11'!AD16</f>
        <v>0</v>
      </c>
      <c r="M12" s="77">
        <f>'12'!AD16</f>
        <v>0.58333333333333337</v>
      </c>
      <c r="N12" s="77">
        <f>'13'!AD16</f>
        <v>1</v>
      </c>
      <c r="O12" s="77">
        <f>'14'!AD16</f>
        <v>1</v>
      </c>
      <c r="P12" s="77">
        <f>'15'!AD16</f>
        <v>0.70833333333333337</v>
      </c>
      <c r="Q12" s="77">
        <f>'16'!AD15</f>
        <v>0</v>
      </c>
      <c r="R12" s="77">
        <f>'17'!AD15</f>
        <v>0</v>
      </c>
      <c r="S12" s="77">
        <f>'18'!AD15</f>
        <v>0</v>
      </c>
      <c r="T12" s="77">
        <f>'19'!AD15</f>
        <v>0</v>
      </c>
      <c r="U12" s="77">
        <f>'20'!AD15</f>
        <v>0</v>
      </c>
      <c r="V12" s="77">
        <f>'21'!AD15</f>
        <v>0</v>
      </c>
      <c r="W12" s="77">
        <f>'22'!AD15</f>
        <v>0</v>
      </c>
      <c r="X12" s="77">
        <f>'23'!AD15</f>
        <v>0</v>
      </c>
      <c r="Y12" s="77"/>
      <c r="Z12" s="77">
        <f>'25'!AD15</f>
        <v>0.25</v>
      </c>
      <c r="AA12" s="77">
        <f>'26'!AD16</f>
        <v>0.83333333333333337</v>
      </c>
      <c r="AB12" s="77">
        <f>'27'!AD15</f>
        <v>1</v>
      </c>
      <c r="AC12" s="77">
        <f>'28'!AD15</f>
        <v>0.25</v>
      </c>
      <c r="AD12" s="77">
        <f>'29'!AD15</f>
        <v>0</v>
      </c>
      <c r="AE12" s="77">
        <f>'30'!AD15</f>
        <v>0</v>
      </c>
      <c r="AF12" s="78"/>
      <c r="AG12" s="79">
        <f t="shared" si="0"/>
        <v>0.2013888888888889</v>
      </c>
    </row>
    <row r="13" spans="1:33" ht="21.75" customHeight="1">
      <c r="A13" s="111" t="s">
        <v>70</v>
      </c>
      <c r="B13" s="106">
        <f>'01'!AD16</f>
        <v>1</v>
      </c>
      <c r="C13" s="106">
        <f>'02'!AD16</f>
        <v>1</v>
      </c>
      <c r="D13" s="77">
        <f>'03'!AD16</f>
        <v>0.41666666666666669</v>
      </c>
      <c r="E13" s="77">
        <f>'04'!AD16</f>
        <v>1</v>
      </c>
      <c r="F13" s="77">
        <f>'05'!AD16</f>
        <v>1</v>
      </c>
      <c r="G13" s="77">
        <f>'06'!AD16</f>
        <v>0.66666666666666663</v>
      </c>
      <c r="H13" s="77">
        <f>'07'!AD16+'07'!AD17+'07'!AD18</f>
        <v>0.83333333333333326</v>
      </c>
      <c r="I13" s="77">
        <f>'08'!AD16</f>
        <v>0.95833333333333337</v>
      </c>
      <c r="J13" s="77">
        <f>'09'!AD17</f>
        <v>1</v>
      </c>
      <c r="K13" s="77">
        <f>'10'!AD16</f>
        <v>0.41666666666666669</v>
      </c>
      <c r="L13" s="77">
        <f>'11'!AD17</f>
        <v>0</v>
      </c>
      <c r="M13" s="77">
        <f>'12'!AD17</f>
        <v>0.41666666666666669</v>
      </c>
      <c r="N13" s="77">
        <f>'13'!AD17</f>
        <v>0.95833333333333337</v>
      </c>
      <c r="O13" s="77">
        <f>'14'!AD17</f>
        <v>0</v>
      </c>
      <c r="P13" s="77">
        <f>'15'!AD17</f>
        <v>0</v>
      </c>
      <c r="Q13" s="77">
        <f>'16'!AD16</f>
        <v>0</v>
      </c>
      <c r="R13" s="77">
        <f>'17'!AD16</f>
        <v>0</v>
      </c>
      <c r="S13" s="77">
        <f>'18'!AD16</f>
        <v>0.25</v>
      </c>
      <c r="T13" s="77">
        <f>'19'!AD16</f>
        <v>0.5</v>
      </c>
      <c r="U13" s="77">
        <f>'20'!AD16</f>
        <v>1</v>
      </c>
      <c r="V13" s="77">
        <f>'21'!AD16</f>
        <v>1</v>
      </c>
      <c r="W13" s="77">
        <f>'22'!AD16</f>
        <v>0.33333333333333331</v>
      </c>
      <c r="X13" s="77">
        <f>'23'!AD16</f>
        <v>0.33333333333333331</v>
      </c>
      <c r="Y13" s="77"/>
      <c r="Z13" s="77">
        <f>'25'!AD16</f>
        <v>0.58333333333333337</v>
      </c>
      <c r="AA13" s="77">
        <f>'26'!AD17</f>
        <v>1</v>
      </c>
      <c r="AB13" s="77">
        <f>'27'!AD16</f>
        <v>1</v>
      </c>
      <c r="AC13" s="77">
        <f>'28'!AD16</f>
        <v>1</v>
      </c>
      <c r="AD13" s="77">
        <f>'29'!AD16</f>
        <v>0.66666666666666663</v>
      </c>
      <c r="AE13" s="77">
        <f>'30'!AD16</f>
        <v>0.91666666666666663</v>
      </c>
      <c r="AF13" s="78"/>
      <c r="AG13" s="79">
        <f t="shared" si="0"/>
        <v>0.6083333333333335</v>
      </c>
    </row>
    <row r="14" spans="1:33" ht="21.75" customHeight="1">
      <c r="A14" s="111" t="s">
        <v>71</v>
      </c>
      <c r="B14" s="106">
        <f>'01'!AD17</f>
        <v>0.58333333333333337</v>
      </c>
      <c r="C14" s="106">
        <f>'02'!AD17</f>
        <v>1</v>
      </c>
      <c r="D14" s="77">
        <f>'03'!AD17</f>
        <v>0.41666666666666669</v>
      </c>
      <c r="E14" s="77">
        <f>'04'!AD17</f>
        <v>0</v>
      </c>
      <c r="F14" s="77">
        <f>'05'!AD17</f>
        <v>0.20833333333333334</v>
      </c>
      <c r="G14" s="77">
        <f>'06'!AD17</f>
        <v>0</v>
      </c>
      <c r="H14" s="77">
        <f>'07'!AD19</f>
        <v>0</v>
      </c>
      <c r="I14" s="77">
        <f>'08'!AD17</f>
        <v>0</v>
      </c>
      <c r="J14" s="77">
        <f>'09'!AD18</f>
        <v>0</v>
      </c>
      <c r="K14" s="77">
        <f>'10'!AD17</f>
        <v>0</v>
      </c>
      <c r="L14" s="77">
        <f>'11'!AD18</f>
        <v>0</v>
      </c>
      <c r="M14" s="77">
        <f>'12'!AD18</f>
        <v>0</v>
      </c>
      <c r="N14" s="77">
        <f>'13'!AD18</f>
        <v>0.33333333333333331</v>
      </c>
      <c r="O14" s="77">
        <f>'14'!AD18</f>
        <v>0.70833333333333337</v>
      </c>
      <c r="P14" s="77">
        <f>'15'!AD18</f>
        <v>0.29166666666666669</v>
      </c>
      <c r="Q14" s="77">
        <f>'16'!AD17</f>
        <v>0.95833333333333337</v>
      </c>
      <c r="R14" s="77">
        <f>'17'!AD17</f>
        <v>0.41666666666666669</v>
      </c>
      <c r="S14" s="77">
        <f>'18'!AD17</f>
        <v>0.83333333333333337</v>
      </c>
      <c r="T14" s="77">
        <f>'19'!AD17</f>
        <v>0.91666666666666663</v>
      </c>
      <c r="U14" s="77">
        <f>'20'!AD17</f>
        <v>1</v>
      </c>
      <c r="V14" s="77">
        <f>'21'!AD17</f>
        <v>1</v>
      </c>
      <c r="W14" s="77">
        <f>'22'!AD17</f>
        <v>1</v>
      </c>
      <c r="X14" s="77">
        <f>'23'!AD17</f>
        <v>0</v>
      </c>
      <c r="Y14" s="77"/>
      <c r="Z14" s="77">
        <f>'25'!AD17</f>
        <v>0</v>
      </c>
      <c r="AA14" s="77">
        <f>'26'!AD18</f>
        <v>0</v>
      </c>
      <c r="AB14" s="77">
        <f>'27'!AD17</f>
        <v>0</v>
      </c>
      <c r="AC14" s="77">
        <f>'28'!AD17</f>
        <v>0.625</v>
      </c>
      <c r="AD14" s="77">
        <f>'29'!AD17</f>
        <v>0.83333333333333337</v>
      </c>
      <c r="AE14" s="77">
        <f>'30'!AD17</f>
        <v>1</v>
      </c>
      <c r="AF14" s="78"/>
      <c r="AG14" s="79">
        <f t="shared" si="0"/>
        <v>0.40416666666666673</v>
      </c>
    </row>
    <row r="15" spans="1:33" ht="21.75" customHeight="1">
      <c r="A15" s="112" t="s">
        <v>72</v>
      </c>
      <c r="B15" s="107">
        <f>'01'!AD18</f>
        <v>1</v>
      </c>
      <c r="C15" s="107">
        <f>'02'!AD18</f>
        <v>1</v>
      </c>
      <c r="D15" s="80">
        <f>'03'!AD18</f>
        <v>0.41666666666666669</v>
      </c>
      <c r="E15" s="80">
        <f>'04'!AD18</f>
        <v>0.375</v>
      </c>
      <c r="F15" s="80">
        <f>'05'!AD18</f>
        <v>0.16666666666666666</v>
      </c>
      <c r="G15" s="80">
        <f>'06'!AD18</f>
        <v>0.625</v>
      </c>
      <c r="H15" s="80">
        <f>'07'!AD20</f>
        <v>0.79166666666666663</v>
      </c>
      <c r="I15" s="80">
        <f>'08'!AD18+'08'!AD19</f>
        <v>0.75</v>
      </c>
      <c r="J15" s="80">
        <f>'09'!AD19</f>
        <v>0.91666666666666663</v>
      </c>
      <c r="K15" s="80">
        <f>'10'!AD18</f>
        <v>0.41666666666666669</v>
      </c>
      <c r="L15" s="80">
        <f>'11'!AD19</f>
        <v>0.875</v>
      </c>
      <c r="M15" s="80">
        <f>'12'!AD19</f>
        <v>0.375</v>
      </c>
      <c r="N15" s="80">
        <f>'13'!AD19</f>
        <v>0.91666666666666663</v>
      </c>
      <c r="O15" s="80">
        <f>'14'!AD19</f>
        <v>0.75</v>
      </c>
      <c r="P15" s="80">
        <f>'15'!AD19</f>
        <v>0</v>
      </c>
      <c r="Q15" s="80">
        <f>'16'!AD18</f>
        <v>0</v>
      </c>
      <c r="R15" s="80">
        <f>'17'!AD18</f>
        <v>0.20833333333333334</v>
      </c>
      <c r="S15" s="80">
        <f>'18'!AD18</f>
        <v>0.79166666666666663</v>
      </c>
      <c r="T15" s="80">
        <f>'19'!AD18</f>
        <v>0.16666666666666666</v>
      </c>
      <c r="U15" s="80">
        <f>'20'!AD18</f>
        <v>8.3333333333333329E-2</v>
      </c>
      <c r="V15" s="80">
        <f>'21'!AD18</f>
        <v>0.16666666666666666</v>
      </c>
      <c r="W15" s="80">
        <f>'22'!AD18</f>
        <v>0</v>
      </c>
      <c r="X15" s="80">
        <f>'23'!AD18</f>
        <v>0.95833333333333337</v>
      </c>
      <c r="Y15" s="80"/>
      <c r="Z15" s="80">
        <f>'25'!AD18</f>
        <v>0.20833333333333334</v>
      </c>
      <c r="AA15" s="80">
        <f>'26'!AD19</f>
        <v>0</v>
      </c>
      <c r="AB15" s="80">
        <f>'27'!AD18</f>
        <v>0.58333333333333337</v>
      </c>
      <c r="AC15" s="80">
        <f>'28'!AD18</f>
        <v>0.375</v>
      </c>
      <c r="AD15" s="80">
        <f>'29'!AD18</f>
        <v>0.58333333333333337</v>
      </c>
      <c r="AE15" s="80">
        <f>'30'!AD18</f>
        <v>0.875</v>
      </c>
      <c r="AF15" s="81"/>
      <c r="AG15" s="82">
        <f t="shared" si="0"/>
        <v>0.47916666666666674</v>
      </c>
    </row>
    <row r="16" spans="1:33" ht="21.75" customHeight="1">
      <c r="A16" s="112" t="s">
        <v>73</v>
      </c>
      <c r="B16" s="107">
        <f>'01'!AD19</f>
        <v>0.625</v>
      </c>
      <c r="C16" s="107">
        <f>'02'!AD19</f>
        <v>0.875</v>
      </c>
      <c r="D16" s="80">
        <f>'03'!AD19</f>
        <v>0.20833333333333334</v>
      </c>
      <c r="E16" s="80">
        <f>'04'!AD19</f>
        <v>0.33333333333333331</v>
      </c>
      <c r="F16" s="80">
        <f>'05'!AD19</f>
        <v>0.16666666666666666</v>
      </c>
      <c r="G16" s="80">
        <f>'06'!AD19+'06'!AD20</f>
        <v>0.66666666666666663</v>
      </c>
      <c r="H16" s="80">
        <f>'07'!AD21</f>
        <v>1</v>
      </c>
      <c r="I16" s="80">
        <f>'08'!AD20</f>
        <v>0.91666666666666663</v>
      </c>
      <c r="J16" s="80">
        <f>'09'!AD20</f>
        <v>1</v>
      </c>
      <c r="K16" s="80">
        <f>'10'!AD19</f>
        <v>0</v>
      </c>
      <c r="L16" s="80">
        <f>'11'!AD20</f>
        <v>0.91666666666666663</v>
      </c>
      <c r="M16" s="80">
        <f>'12'!AD20</f>
        <v>1</v>
      </c>
      <c r="N16" s="80">
        <f>'13'!AD20+'13'!AD21</f>
        <v>0.79166666666666663</v>
      </c>
      <c r="O16" s="80">
        <f>'14'!AD20</f>
        <v>0.54166666666666663</v>
      </c>
      <c r="P16" s="80">
        <f>'15'!AD20</f>
        <v>0</v>
      </c>
      <c r="Q16" s="80">
        <f>'16'!AD19</f>
        <v>0</v>
      </c>
      <c r="R16" s="80">
        <f>'17'!AD19</f>
        <v>0</v>
      </c>
      <c r="S16" s="80">
        <f>'18'!AD19</f>
        <v>0.41666666666666669</v>
      </c>
      <c r="T16" s="80">
        <f>'19'!AD19</f>
        <v>0.41666666666666669</v>
      </c>
      <c r="U16" s="80">
        <f>'20'!AD19+'20'!AD20</f>
        <v>0.70833333333333337</v>
      </c>
      <c r="V16" s="80">
        <f>'21'!AD19</f>
        <v>1</v>
      </c>
      <c r="W16" s="80">
        <f>'22'!AD20+'22'!AD21</f>
        <v>0.25119904076738608</v>
      </c>
      <c r="X16" s="80">
        <f>'23'!AD19</f>
        <v>0.875</v>
      </c>
      <c r="Y16" s="80"/>
      <c r="Z16" s="80">
        <f>'25'!AD19</f>
        <v>0.83333333333333337</v>
      </c>
      <c r="AA16" s="80">
        <f>'26'!AD20</f>
        <v>1</v>
      </c>
      <c r="AB16" s="80">
        <f>'27'!AD19</f>
        <v>1</v>
      </c>
      <c r="AC16" s="80">
        <f>'28'!AD19</f>
        <v>1</v>
      </c>
      <c r="AD16" s="80">
        <f>'29'!AD19</f>
        <v>0.33333333333333331</v>
      </c>
      <c r="AE16" s="80">
        <f>'30'!AD19</f>
        <v>1</v>
      </c>
      <c r="AF16" s="81"/>
      <c r="AG16" s="82">
        <f t="shared" si="0"/>
        <v>0.59587330135891281</v>
      </c>
    </row>
    <row r="17" spans="1:33" ht="21.75" customHeight="1" thickBot="1">
      <c r="A17" s="113" t="s">
        <v>111</v>
      </c>
      <c r="B17" s="108">
        <f>'01'!AD20</f>
        <v>0.58333333333333337</v>
      </c>
      <c r="C17" s="108">
        <f>'02'!AD20</f>
        <v>0</v>
      </c>
      <c r="D17" s="83">
        <f>'03'!AD20</f>
        <v>0</v>
      </c>
      <c r="E17" s="83">
        <f>'04'!AD20</f>
        <v>1</v>
      </c>
      <c r="F17" s="83">
        <f>'05'!AD20</f>
        <v>1</v>
      </c>
      <c r="G17" s="83">
        <f>'06'!AD21</f>
        <v>0.45833333333333331</v>
      </c>
      <c r="H17" s="83">
        <f>'07'!AD22</f>
        <v>1</v>
      </c>
      <c r="I17" s="83">
        <f>'08'!AD21</f>
        <v>0.41666666666666669</v>
      </c>
      <c r="J17" s="83">
        <f>'09'!AD21</f>
        <v>0</v>
      </c>
      <c r="K17" s="83">
        <f>'10'!AD20</f>
        <v>0</v>
      </c>
      <c r="L17" s="83">
        <f>'11'!AD21</f>
        <v>0.79166666666666663</v>
      </c>
      <c r="M17" s="83">
        <f>'12'!AD21</f>
        <v>0</v>
      </c>
      <c r="N17" s="83">
        <f>'13'!AD22</f>
        <v>0.95833333333333337</v>
      </c>
      <c r="O17" s="83">
        <f>'14'!AD21</f>
        <v>0.54166666666666663</v>
      </c>
      <c r="P17" s="83">
        <f>'15'!AD21</f>
        <v>1</v>
      </c>
      <c r="Q17" s="83">
        <f>'16'!AD20</f>
        <v>1</v>
      </c>
      <c r="R17" s="83">
        <f>'17'!AD20</f>
        <v>0</v>
      </c>
      <c r="S17" s="83">
        <f>'18'!AD20</f>
        <v>0.5</v>
      </c>
      <c r="T17" s="83">
        <f>'19'!AD20</f>
        <v>0.54166666666666663</v>
      </c>
      <c r="U17" s="83">
        <f>'20'!AD21</f>
        <v>0.54166666666666663</v>
      </c>
      <c r="V17" s="83">
        <f>'21'!AD20</f>
        <v>0.54166666666666663</v>
      </c>
      <c r="W17" s="83">
        <f>'22'!AD22</f>
        <v>0.54166666666666663</v>
      </c>
      <c r="X17" s="83">
        <f>'23'!AD20</f>
        <v>0</v>
      </c>
      <c r="Y17" s="83"/>
      <c r="Z17" s="83">
        <f>'25'!AD20</f>
        <v>0.58333333333333337</v>
      </c>
      <c r="AA17" s="83">
        <f>'26'!AD21</f>
        <v>0.58333333333333337</v>
      </c>
      <c r="AB17" s="83">
        <f>'27'!AD20</f>
        <v>0.58333333333333337</v>
      </c>
      <c r="AC17" s="83">
        <f>'28'!AD20</f>
        <v>0.58333333333333337</v>
      </c>
      <c r="AD17" s="83">
        <f>'29'!AD20</f>
        <v>0</v>
      </c>
      <c r="AE17" s="83">
        <f>'30'!AD20</f>
        <v>0.375</v>
      </c>
      <c r="AF17" s="84"/>
      <c r="AG17" s="85">
        <f t="shared" si="0"/>
        <v>0.47083333333333333</v>
      </c>
    </row>
    <row r="18" spans="1:33" s="86" customFormat="1" ht="21.75" customHeight="1">
      <c r="A18" s="90" t="s">
        <v>105</v>
      </c>
      <c r="B18" s="94">
        <f>'01'!AD21</f>
        <v>0.53333333333333333</v>
      </c>
      <c r="C18" s="94">
        <f>'02'!AD21</f>
        <v>0.41111111111111115</v>
      </c>
      <c r="D18" s="95">
        <f>'03'!AD21</f>
        <v>0.20833333333333331</v>
      </c>
      <c r="E18" s="95">
        <f>'04'!AD21</f>
        <v>0.30555555555555558</v>
      </c>
      <c r="F18" s="95">
        <f>'05'!AD21</f>
        <v>0.36388888888888893</v>
      </c>
      <c r="G18" s="95">
        <f>'06'!AD22</f>
        <v>0.38611111111111102</v>
      </c>
      <c r="H18" s="95">
        <f>'07'!AD23</f>
        <v>0.51944444444444449</v>
      </c>
      <c r="I18" s="95">
        <f>'08'!AD22</f>
        <v>0.43812468158028811</v>
      </c>
      <c r="J18" s="95">
        <f>'09'!AD22</f>
        <v>0.42500000000000004</v>
      </c>
      <c r="K18" s="95">
        <f>'10'!AD21</f>
        <v>0.17222222222222219</v>
      </c>
      <c r="L18" s="95">
        <f>'11'!AD22</f>
        <v>0.43611111111111112</v>
      </c>
      <c r="M18" s="95">
        <f>'12'!AD22</f>
        <v>0.36388888888888887</v>
      </c>
      <c r="N18" s="95">
        <f>'13'!AD23</f>
        <v>0.54722222222222228</v>
      </c>
      <c r="O18" s="95">
        <f>'14'!AD22</f>
        <v>0.56388888888888888</v>
      </c>
      <c r="P18" s="95">
        <f>'15'!AD22</f>
        <v>0.31111111111111106</v>
      </c>
      <c r="Q18" s="95">
        <f>'16'!AD21</f>
        <v>0.42222222222222222</v>
      </c>
      <c r="R18" s="95">
        <f>'17'!AD21</f>
        <v>0.17222222222222222</v>
      </c>
      <c r="S18" s="95">
        <f>'18'!AD21</f>
        <v>0.51388888888888884</v>
      </c>
      <c r="T18" s="95">
        <f>'19'!AD21</f>
        <v>0.48055555555555557</v>
      </c>
      <c r="U18" s="95">
        <f>'20'!AD22</f>
        <v>0.51944444444444449</v>
      </c>
      <c r="V18" s="95">
        <f>'21'!AD21</f>
        <v>0.53055555555555556</v>
      </c>
      <c r="W18" s="95">
        <f>'22'!AD23</f>
        <v>0.42785771382893689</v>
      </c>
      <c r="X18" s="95">
        <f>'23'!AD21</f>
        <v>0.375</v>
      </c>
      <c r="Y18" s="95"/>
      <c r="Z18" s="95">
        <f>'25'!AD21</f>
        <v>0.4055555555555555</v>
      </c>
      <c r="AA18" s="95">
        <f>'26'!AD22</f>
        <v>0.46666666666666662</v>
      </c>
      <c r="AB18" s="95">
        <f>'27'!AD21</f>
        <v>0.53055555555555545</v>
      </c>
      <c r="AC18" s="95">
        <f>'28'!AD21</f>
        <v>0.56388888888888888</v>
      </c>
      <c r="AD18" s="95">
        <f>'29'!AD21</f>
        <v>0.50492834394904451</v>
      </c>
      <c r="AE18" s="95">
        <f>'30'!AD21</f>
        <v>0.43888888888888888</v>
      </c>
      <c r="AF18" s="96"/>
      <c r="AG18" s="99">
        <f t="shared" si="0"/>
        <v>0.41125258020083116</v>
      </c>
    </row>
    <row r="19" spans="1:33" ht="21.75" customHeight="1" thickBot="1">
      <c r="A19" s="69" t="s">
        <v>109</v>
      </c>
      <c r="B19" s="70">
        <v>0.62</v>
      </c>
      <c r="C19" s="71">
        <v>0.62</v>
      </c>
      <c r="D19" s="71">
        <v>0.62</v>
      </c>
      <c r="E19" s="71">
        <v>0.62</v>
      </c>
      <c r="F19" s="71">
        <v>0.62</v>
      </c>
      <c r="G19" s="71">
        <v>0.62</v>
      </c>
      <c r="H19" s="71">
        <v>0.62</v>
      </c>
      <c r="I19" s="71">
        <v>0.62</v>
      </c>
      <c r="J19" s="71">
        <v>0.62</v>
      </c>
      <c r="K19" s="71">
        <v>0.62</v>
      </c>
      <c r="L19" s="71">
        <v>0.62</v>
      </c>
      <c r="M19" s="71">
        <v>0.62</v>
      </c>
      <c r="N19" s="71">
        <v>0.62</v>
      </c>
      <c r="O19" s="71">
        <v>0.62</v>
      </c>
      <c r="P19" s="71">
        <v>0.62</v>
      </c>
      <c r="Q19" s="71">
        <v>0.62</v>
      </c>
      <c r="R19" s="71">
        <v>0.62</v>
      </c>
      <c r="S19" s="71">
        <v>0.62</v>
      </c>
      <c r="T19" s="71">
        <v>0.62</v>
      </c>
      <c r="U19" s="71">
        <v>0.62</v>
      </c>
      <c r="V19" s="71">
        <v>0.62</v>
      </c>
      <c r="W19" s="71">
        <v>0.62</v>
      </c>
      <c r="X19" s="71">
        <v>0.62</v>
      </c>
      <c r="Y19" s="71">
        <v>0.62</v>
      </c>
      <c r="Z19" s="71">
        <v>0.62</v>
      </c>
      <c r="AA19" s="71">
        <v>0.62</v>
      </c>
      <c r="AB19" s="71">
        <v>0.62</v>
      </c>
      <c r="AC19" s="71">
        <v>0.62</v>
      </c>
      <c r="AD19" s="71">
        <v>0.62</v>
      </c>
      <c r="AE19" s="71">
        <v>0.62</v>
      </c>
      <c r="AF19" s="72">
        <v>0.62</v>
      </c>
      <c r="AG19" s="73">
        <v>0.62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4843-24A4-4BD6-B567-418E61AA04CA}"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166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135" t="s">
        <v>17</v>
      </c>
      <c r="L5" s="135" t="s">
        <v>18</v>
      </c>
      <c r="M5" s="135" t="s">
        <v>19</v>
      </c>
      <c r="N5" s="13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0.53333333333333333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0.53333333333333333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125</v>
      </c>
      <c r="E8" s="53" t="s">
        <v>168</v>
      </c>
      <c r="F8" s="30" t="s">
        <v>141</v>
      </c>
      <c r="G8" s="33">
        <v>1</v>
      </c>
      <c r="H8" s="35">
        <v>24</v>
      </c>
      <c r="I8" s="7">
        <v>7700</v>
      </c>
      <c r="J8" s="14">
        <v>1235</v>
      </c>
      <c r="K8" s="15">
        <f>L8</f>
        <v>1235</v>
      </c>
      <c r="L8" s="15">
        <v>1235</v>
      </c>
      <c r="M8" s="15">
        <f t="shared" si="1"/>
        <v>1235</v>
      </c>
      <c r="N8" s="15">
        <v>0</v>
      </c>
      <c r="O8" s="58">
        <f t="shared" si="2"/>
        <v>0</v>
      </c>
      <c r="P8" s="39">
        <f t="shared" si="3"/>
        <v>8</v>
      </c>
      <c r="Q8" s="40">
        <f t="shared" si="4"/>
        <v>16</v>
      </c>
      <c r="R8" s="7"/>
      <c r="S8" s="6"/>
      <c r="T8" s="16">
        <v>4</v>
      </c>
      <c r="U8" s="16"/>
      <c r="V8" s="17"/>
      <c r="W8" s="5"/>
      <c r="X8" s="16"/>
      <c r="Y8" s="16"/>
      <c r="Z8" s="16"/>
      <c r="AA8" s="18">
        <v>12</v>
      </c>
      <c r="AB8" s="8">
        <f t="shared" si="5"/>
        <v>1</v>
      </c>
      <c r="AC8" s="9">
        <f t="shared" si="6"/>
        <v>0.33333333333333331</v>
      </c>
      <c r="AD8" s="10">
        <f t="shared" si="7"/>
        <v>0.33333333333333331</v>
      </c>
      <c r="AE8" s="36">
        <f t="shared" si="8"/>
        <v>0.53333333333333333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4639</v>
      </c>
      <c r="K9" s="15">
        <f>L9+1036+2500</f>
        <v>8175</v>
      </c>
      <c r="L9" s="15">
        <f>2081+2558</f>
        <v>4639</v>
      </c>
      <c r="M9" s="15">
        <f t="shared" si="1"/>
        <v>4639</v>
      </c>
      <c r="N9" s="15">
        <v>0</v>
      </c>
      <c r="O9" s="58">
        <f t="shared" si="2"/>
        <v>0</v>
      </c>
      <c r="P9" s="39">
        <f t="shared" si="3"/>
        <v>21</v>
      </c>
      <c r="Q9" s="40">
        <f t="shared" si="4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0.875</v>
      </c>
      <c r="AD9" s="10">
        <f t="shared" si="7"/>
        <v>0.875</v>
      </c>
      <c r="AE9" s="36">
        <f t="shared" si="8"/>
        <v>0.53333333333333333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138</v>
      </c>
      <c r="D10" s="52" t="s">
        <v>139</v>
      </c>
      <c r="E10" s="53" t="s">
        <v>146</v>
      </c>
      <c r="F10" s="30" t="s">
        <v>140</v>
      </c>
      <c r="G10" s="33" t="s">
        <v>136</v>
      </c>
      <c r="H10" s="35">
        <v>24</v>
      </c>
      <c r="I10" s="7">
        <v>35000</v>
      </c>
      <c r="J10" s="5">
        <v>7270</v>
      </c>
      <c r="K10" s="15">
        <f>L10+3601+2209+6181+7284+1089+15594+5320+6949+5143</f>
        <v>60640</v>
      </c>
      <c r="L10" s="15">
        <f>4769+2501</f>
        <v>7270</v>
      </c>
      <c r="M10" s="15">
        <f t="shared" si="1"/>
        <v>7270</v>
      </c>
      <c r="N10" s="15">
        <v>0</v>
      </c>
      <c r="O10" s="58">
        <f t="shared" si="2"/>
        <v>0</v>
      </c>
      <c r="P10" s="39">
        <f t="shared" si="3"/>
        <v>21</v>
      </c>
      <c r="Q10" s="40">
        <f t="shared" si="4"/>
        <v>3</v>
      </c>
      <c r="R10" s="7"/>
      <c r="S10" s="6">
        <v>3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0.875</v>
      </c>
      <c r="AD10" s="10">
        <f>AC10*AB10*(1-O10)</f>
        <v>0.875</v>
      </c>
      <c r="AE10" s="36">
        <f t="shared" si="8"/>
        <v>0.53333333333333333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128</v>
      </c>
      <c r="D11" s="52" t="s">
        <v>152</v>
      </c>
      <c r="E11" s="53" t="s">
        <v>151</v>
      </c>
      <c r="F11" s="30" t="s">
        <v>141</v>
      </c>
      <c r="G11" s="33">
        <v>2</v>
      </c>
      <c r="H11" s="35">
        <v>24</v>
      </c>
      <c r="I11" s="7">
        <v>10000</v>
      </c>
      <c r="J11" s="5">
        <v>3270</v>
      </c>
      <c r="K11" s="15">
        <f>L11+4992</f>
        <v>8262</v>
      </c>
      <c r="L11" s="15">
        <f>1635*2</f>
        <v>3270</v>
      </c>
      <c r="M11" s="15">
        <f t="shared" si="1"/>
        <v>3270</v>
      </c>
      <c r="N11" s="15">
        <v>0</v>
      </c>
      <c r="O11" s="58">
        <f t="shared" si="2"/>
        <v>0</v>
      </c>
      <c r="P11" s="39">
        <f t="shared" si="3"/>
        <v>8</v>
      </c>
      <c r="Q11" s="40">
        <f t="shared" si="4"/>
        <v>16</v>
      </c>
      <c r="R11" s="7"/>
      <c r="S11" s="6"/>
      <c r="T11" s="16"/>
      <c r="U11" s="16"/>
      <c r="V11" s="17"/>
      <c r="W11" s="5">
        <v>16</v>
      </c>
      <c r="X11" s="16"/>
      <c r="Y11" s="16"/>
      <c r="Z11" s="16"/>
      <c r="AA11" s="18"/>
      <c r="AB11" s="8">
        <f t="shared" si="5"/>
        <v>1</v>
      </c>
      <c r="AC11" s="9">
        <f t="shared" si="6"/>
        <v>0.33333333333333331</v>
      </c>
      <c r="AD11" s="10">
        <f>AC11*AB11*(1-O11)</f>
        <v>0.33333333333333331</v>
      </c>
      <c r="AE11" s="36">
        <f t="shared" si="8"/>
        <v>0.53333333333333333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144</v>
      </c>
      <c r="F12" s="30" t="s">
        <v>121</v>
      </c>
      <c r="G12" s="33">
        <v>1</v>
      </c>
      <c r="H12" s="35">
        <v>24</v>
      </c>
      <c r="I12" s="7">
        <v>70000</v>
      </c>
      <c r="J12" s="14">
        <v>3958</v>
      </c>
      <c r="K12" s="15">
        <f>L12+2036+3193+2673</f>
        <v>11860</v>
      </c>
      <c r="L12" s="15">
        <f>2302+1656</f>
        <v>3958</v>
      </c>
      <c r="M12" s="15">
        <f t="shared" si="1"/>
        <v>3958</v>
      </c>
      <c r="N12" s="15">
        <v>0</v>
      </c>
      <c r="O12" s="58">
        <f t="shared" si="2"/>
        <v>0</v>
      </c>
      <c r="P12" s="39">
        <f t="shared" si="3"/>
        <v>21</v>
      </c>
      <c r="Q12" s="40">
        <f t="shared" si="4"/>
        <v>3</v>
      </c>
      <c r="R12" s="7"/>
      <c r="S12" s="6">
        <v>3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0.875</v>
      </c>
      <c r="AD12" s="10">
        <f t="shared" ref="AD12:AD13" si="10">AC12*AB12*(1-O12)</f>
        <v>0.875</v>
      </c>
      <c r="AE12" s="36">
        <f t="shared" si="8"/>
        <v>0.53333333333333333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124</v>
      </c>
      <c r="D13" s="52" t="s">
        <v>117</v>
      </c>
      <c r="E13" s="53" t="s">
        <v>153</v>
      </c>
      <c r="F13" s="30" t="s">
        <v>141</v>
      </c>
      <c r="G13" s="33">
        <v>1</v>
      </c>
      <c r="H13" s="35">
        <v>24</v>
      </c>
      <c r="I13" s="7">
        <v>3000</v>
      </c>
      <c r="J13" s="14">
        <v>4050</v>
      </c>
      <c r="K13" s="15">
        <f>L13</f>
        <v>4050</v>
      </c>
      <c r="L13" s="15">
        <f>2165+1885</f>
        <v>4050</v>
      </c>
      <c r="M13" s="15">
        <f t="shared" si="1"/>
        <v>4050</v>
      </c>
      <c r="N13" s="15">
        <v>0</v>
      </c>
      <c r="O13" s="58">
        <f t="shared" si="2"/>
        <v>0</v>
      </c>
      <c r="P13" s="39">
        <f t="shared" si="3"/>
        <v>22</v>
      </c>
      <c r="Q13" s="40">
        <f t="shared" si="4"/>
        <v>2</v>
      </c>
      <c r="R13" s="7"/>
      <c r="S13" s="6"/>
      <c r="T13" s="16">
        <v>2</v>
      </c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0.91666666666666663</v>
      </c>
      <c r="AD13" s="10">
        <f t="shared" si="10"/>
        <v>0.91666666666666663</v>
      </c>
      <c r="AE13" s="36">
        <f t="shared" si="8"/>
        <v>0.53333333333333333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124</v>
      </c>
      <c r="D14" s="52" t="s">
        <v>135</v>
      </c>
      <c r="E14" s="53" t="s">
        <v>143</v>
      </c>
      <c r="F14" s="30" t="s">
        <v>133</v>
      </c>
      <c r="G14" s="33">
        <v>1</v>
      </c>
      <c r="H14" s="35">
        <v>24</v>
      </c>
      <c r="I14" s="7">
        <v>10000</v>
      </c>
      <c r="J14" s="5">
        <v>3411</v>
      </c>
      <c r="K14" s="15">
        <f>L14+3232+3411</f>
        <v>6643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0.53333333333333333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124</v>
      </c>
      <c r="D15" s="52" t="s">
        <v>135</v>
      </c>
      <c r="E15" s="53" t="s">
        <v>148</v>
      </c>
      <c r="F15" s="12">
        <v>8301</v>
      </c>
      <c r="G15" s="12">
        <v>1</v>
      </c>
      <c r="H15" s="13">
        <v>24</v>
      </c>
      <c r="I15" s="31">
        <v>500</v>
      </c>
      <c r="J15" s="14">
        <v>2517</v>
      </c>
      <c r="K15" s="15">
        <f>L15+2517</f>
        <v>2517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0.53333333333333333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125</v>
      </c>
      <c r="E16" s="53" t="s">
        <v>149</v>
      </c>
      <c r="F16" s="30" t="s">
        <v>126</v>
      </c>
      <c r="G16" s="12">
        <v>1</v>
      </c>
      <c r="H16" s="13">
        <v>28</v>
      </c>
      <c r="I16" s="7">
        <v>70000</v>
      </c>
      <c r="J16" s="14">
        <v>5344</v>
      </c>
      <c r="K16" s="15">
        <f>L16+2620+5280+5157</f>
        <v>18401</v>
      </c>
      <c r="L16" s="15">
        <f>2473+2871</f>
        <v>5344</v>
      </c>
      <c r="M16" s="15">
        <f t="shared" si="1"/>
        <v>5344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0.53333333333333333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124</v>
      </c>
      <c r="D17" s="52" t="s">
        <v>159</v>
      </c>
      <c r="E17" s="53" t="s">
        <v>160</v>
      </c>
      <c r="F17" s="30" t="s">
        <v>161</v>
      </c>
      <c r="G17" s="33">
        <v>1</v>
      </c>
      <c r="H17" s="35">
        <v>24</v>
      </c>
      <c r="I17" s="7">
        <v>7000</v>
      </c>
      <c r="J17" s="5">
        <v>2981</v>
      </c>
      <c r="K17" s="15">
        <f>L17</f>
        <v>2981</v>
      </c>
      <c r="L17" s="15">
        <f>200+2781</f>
        <v>2981</v>
      </c>
      <c r="M17" s="15">
        <f t="shared" si="1"/>
        <v>2981</v>
      </c>
      <c r="N17" s="15">
        <v>0</v>
      </c>
      <c r="O17" s="58">
        <f t="shared" si="2"/>
        <v>0</v>
      </c>
      <c r="P17" s="39">
        <f t="shared" si="3"/>
        <v>14</v>
      </c>
      <c r="Q17" s="40">
        <f t="shared" si="4"/>
        <v>10</v>
      </c>
      <c r="R17" s="7"/>
      <c r="S17" s="6"/>
      <c r="T17" s="16">
        <v>10</v>
      </c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0.58333333333333337</v>
      </c>
      <c r="AD17" s="10">
        <f t="shared" si="7"/>
        <v>0.58333333333333337</v>
      </c>
      <c r="AE17" s="36">
        <f t="shared" si="8"/>
        <v>0.53333333333333333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11" t="s">
        <v>114</v>
      </c>
      <c r="D18" s="52" t="s">
        <v>122</v>
      </c>
      <c r="E18" s="53" t="s">
        <v>147</v>
      </c>
      <c r="F18" s="30" t="s">
        <v>123</v>
      </c>
      <c r="G18" s="33">
        <v>1</v>
      </c>
      <c r="H18" s="35">
        <v>24</v>
      </c>
      <c r="I18" s="7">
        <v>70000</v>
      </c>
      <c r="J18" s="14">
        <v>5240</v>
      </c>
      <c r="K18" s="15">
        <f>L18+4362+4399</f>
        <v>14001</v>
      </c>
      <c r="L18" s="15">
        <f>2427+2813</f>
        <v>5240</v>
      </c>
      <c r="M18" s="15">
        <f t="shared" si="1"/>
        <v>5240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 t="shared" si="7"/>
        <v>1</v>
      </c>
      <c r="AE18" s="36">
        <f t="shared" si="8"/>
        <v>0.53333333333333333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158</v>
      </c>
      <c r="F19" s="30" t="s">
        <v>121</v>
      </c>
      <c r="G19" s="33">
        <v>1</v>
      </c>
      <c r="H19" s="35">
        <v>24</v>
      </c>
      <c r="I19" s="7">
        <v>30000</v>
      </c>
      <c r="J19" s="14">
        <v>2932</v>
      </c>
      <c r="K19" s="15">
        <f>L19</f>
        <v>2932</v>
      </c>
      <c r="L19" s="15">
        <f>301+2631</f>
        <v>2932</v>
      </c>
      <c r="M19" s="15">
        <f t="shared" si="1"/>
        <v>2932</v>
      </c>
      <c r="N19" s="15">
        <v>0</v>
      </c>
      <c r="O19" s="58">
        <f t="shared" si="2"/>
        <v>0</v>
      </c>
      <c r="P19" s="39">
        <f t="shared" si="3"/>
        <v>15</v>
      </c>
      <c r="Q19" s="40">
        <f t="shared" si="4"/>
        <v>9</v>
      </c>
      <c r="R19" s="7"/>
      <c r="S19" s="6">
        <v>9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0.625</v>
      </c>
      <c r="AD19" s="10">
        <f t="shared" si="7"/>
        <v>0.625</v>
      </c>
      <c r="AE19" s="36">
        <f t="shared" si="8"/>
        <v>0.53333333333333333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134</v>
      </c>
      <c r="F20" s="12" t="s">
        <v>116</v>
      </c>
      <c r="G20" s="12">
        <v>4</v>
      </c>
      <c r="H20" s="35">
        <v>20</v>
      </c>
      <c r="I20" s="7">
        <v>300000</v>
      </c>
      <c r="J20" s="14">
        <v>40484</v>
      </c>
      <c r="K20" s="15">
        <f>L20+40708+40480+40040</f>
        <v>161712</v>
      </c>
      <c r="L20" s="15">
        <f>10121*4</f>
        <v>40484</v>
      </c>
      <c r="M20" s="15">
        <f t="shared" si="1"/>
        <v>40484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/>
      <c r="T20" s="16"/>
      <c r="U20" s="16"/>
      <c r="V20" s="17">
        <v>10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 t="shared" si="7"/>
        <v>0.58333333333333337</v>
      </c>
      <c r="AE20" s="36">
        <f t="shared" si="8"/>
        <v>0.53333333333333333</v>
      </c>
      <c r="AF20" s="87">
        <f t="shared" si="9"/>
        <v>15</v>
      </c>
    </row>
    <row r="21" spans="1:32" ht="31.5" customHeight="1" thickBot="1">
      <c r="A21" s="541" t="s">
        <v>34</v>
      </c>
      <c r="B21" s="542"/>
      <c r="C21" s="542"/>
      <c r="D21" s="542"/>
      <c r="E21" s="542"/>
      <c r="F21" s="542"/>
      <c r="G21" s="542"/>
      <c r="H21" s="543"/>
      <c r="I21" s="22">
        <f t="shared" ref="I21:N21" si="11">SUM(I6:I20)</f>
        <v>704200</v>
      </c>
      <c r="J21" s="19">
        <f t="shared" si="11"/>
        <v>89392</v>
      </c>
      <c r="K21" s="20">
        <f t="shared" si="11"/>
        <v>314957</v>
      </c>
      <c r="L21" s="21">
        <f t="shared" si="11"/>
        <v>81403</v>
      </c>
      <c r="M21" s="20">
        <f t="shared" si="11"/>
        <v>81403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192</v>
      </c>
      <c r="Q21" s="43">
        <f t="shared" si="12"/>
        <v>168</v>
      </c>
      <c r="R21" s="23">
        <f t="shared" si="12"/>
        <v>24</v>
      </c>
      <c r="S21" s="24">
        <f t="shared" si="12"/>
        <v>18</v>
      </c>
      <c r="T21" s="24">
        <f t="shared" si="12"/>
        <v>16</v>
      </c>
      <c r="U21" s="24">
        <f t="shared" si="12"/>
        <v>0</v>
      </c>
      <c r="V21" s="25">
        <f t="shared" si="12"/>
        <v>34</v>
      </c>
      <c r="W21" s="26">
        <f t="shared" si="12"/>
        <v>40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36</v>
      </c>
      <c r="AB21" s="28">
        <f>SUM(AB6:AB20)/15</f>
        <v>0.73333333333333328</v>
      </c>
      <c r="AC21" s="4">
        <f>SUM(AC6:AC20)/15</f>
        <v>0.53333333333333333</v>
      </c>
      <c r="AD21" s="4">
        <f>SUM(AD6:AD20)/15</f>
        <v>0.53333333333333333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44" t="s">
        <v>45</v>
      </c>
      <c r="B48" s="544"/>
      <c r="C48" s="544"/>
      <c r="D48" s="544"/>
      <c r="E48" s="54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45" t="s">
        <v>169</v>
      </c>
      <c r="B49" s="546"/>
      <c r="C49" s="546"/>
      <c r="D49" s="546"/>
      <c r="E49" s="546"/>
      <c r="F49" s="546"/>
      <c r="G49" s="546"/>
      <c r="H49" s="546"/>
      <c r="I49" s="546"/>
      <c r="J49" s="546"/>
      <c r="K49" s="546"/>
      <c r="L49" s="546"/>
      <c r="M49" s="547"/>
      <c r="N49" s="548" t="s">
        <v>175</v>
      </c>
      <c r="O49" s="549"/>
      <c r="P49" s="549"/>
      <c r="Q49" s="549"/>
      <c r="R49" s="549"/>
      <c r="S49" s="549"/>
      <c r="T49" s="549"/>
      <c r="U49" s="549"/>
      <c r="V49" s="549"/>
      <c r="W49" s="549"/>
      <c r="X49" s="549"/>
      <c r="Y49" s="549"/>
      <c r="Z49" s="549"/>
      <c r="AA49" s="549"/>
      <c r="AB49" s="549"/>
      <c r="AC49" s="549"/>
      <c r="AD49" s="550"/>
    </row>
    <row r="50" spans="1:32" ht="27" customHeight="1">
      <c r="A50" s="551" t="s">
        <v>2</v>
      </c>
      <c r="B50" s="552"/>
      <c r="C50" s="134" t="s">
        <v>46</v>
      </c>
      <c r="D50" s="134" t="s">
        <v>47</v>
      </c>
      <c r="E50" s="134" t="s">
        <v>108</v>
      </c>
      <c r="F50" s="552" t="s">
        <v>107</v>
      </c>
      <c r="G50" s="552"/>
      <c r="H50" s="552"/>
      <c r="I50" s="552"/>
      <c r="J50" s="552"/>
      <c r="K50" s="552"/>
      <c r="L50" s="552"/>
      <c r="M50" s="553"/>
      <c r="N50" s="67" t="s">
        <v>112</v>
      </c>
      <c r="O50" s="134" t="s">
        <v>46</v>
      </c>
      <c r="P50" s="554" t="s">
        <v>47</v>
      </c>
      <c r="Q50" s="555"/>
      <c r="R50" s="554" t="s">
        <v>38</v>
      </c>
      <c r="S50" s="556"/>
      <c r="T50" s="556"/>
      <c r="U50" s="555"/>
      <c r="V50" s="554" t="s">
        <v>48</v>
      </c>
      <c r="W50" s="556"/>
      <c r="X50" s="556"/>
      <c r="Y50" s="556"/>
      <c r="Z50" s="556"/>
      <c r="AA50" s="556"/>
      <c r="AB50" s="556"/>
      <c r="AC50" s="556"/>
      <c r="AD50" s="557"/>
    </row>
    <row r="51" spans="1:32" ht="27" customHeight="1">
      <c r="A51" s="524" t="s">
        <v>114</v>
      </c>
      <c r="B51" s="525"/>
      <c r="C51" s="136" t="s">
        <v>131</v>
      </c>
      <c r="D51" s="136" t="s">
        <v>142</v>
      </c>
      <c r="E51" s="136" t="s">
        <v>145</v>
      </c>
      <c r="F51" s="517" t="s">
        <v>178</v>
      </c>
      <c r="G51" s="518"/>
      <c r="H51" s="518"/>
      <c r="I51" s="518"/>
      <c r="J51" s="518"/>
      <c r="K51" s="518"/>
      <c r="L51" s="518"/>
      <c r="M51" s="526"/>
      <c r="N51" s="131" t="s">
        <v>114</v>
      </c>
      <c r="O51" s="129" t="s">
        <v>131</v>
      </c>
      <c r="P51" s="536" t="s">
        <v>176</v>
      </c>
      <c r="Q51" s="537"/>
      <c r="R51" s="536" t="s">
        <v>177</v>
      </c>
      <c r="S51" s="538"/>
      <c r="T51" s="538"/>
      <c r="U51" s="537"/>
      <c r="V51" s="503" t="s">
        <v>157</v>
      </c>
      <c r="W51" s="503"/>
      <c r="X51" s="503"/>
      <c r="Y51" s="503"/>
      <c r="Z51" s="503"/>
      <c r="AA51" s="503"/>
      <c r="AB51" s="503"/>
      <c r="AC51" s="503"/>
      <c r="AD51" s="527"/>
    </row>
    <row r="52" spans="1:32" ht="27" customHeight="1">
      <c r="A52" s="524" t="s">
        <v>124</v>
      </c>
      <c r="B52" s="525"/>
      <c r="C52" s="132" t="s">
        <v>170</v>
      </c>
      <c r="D52" s="132" t="s">
        <v>125</v>
      </c>
      <c r="E52" s="132" t="s">
        <v>168</v>
      </c>
      <c r="F52" s="517" t="s">
        <v>120</v>
      </c>
      <c r="G52" s="518"/>
      <c r="H52" s="518"/>
      <c r="I52" s="518"/>
      <c r="J52" s="518"/>
      <c r="K52" s="518"/>
      <c r="L52" s="518"/>
      <c r="M52" s="526"/>
      <c r="N52" s="139" t="s">
        <v>138</v>
      </c>
      <c r="O52" s="141" t="s">
        <v>155</v>
      </c>
      <c r="P52" s="536" t="s">
        <v>156</v>
      </c>
      <c r="Q52" s="537"/>
      <c r="R52" s="536" t="s">
        <v>146</v>
      </c>
      <c r="S52" s="538"/>
      <c r="T52" s="538"/>
      <c r="U52" s="537"/>
      <c r="V52" s="503" t="s">
        <v>157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124</v>
      </c>
      <c r="B53" s="525"/>
      <c r="C53" s="136" t="s">
        <v>163</v>
      </c>
      <c r="D53" s="136" t="s">
        <v>159</v>
      </c>
      <c r="E53" s="136" t="s">
        <v>160</v>
      </c>
      <c r="F53" s="517" t="s">
        <v>120</v>
      </c>
      <c r="G53" s="518"/>
      <c r="H53" s="518"/>
      <c r="I53" s="518"/>
      <c r="J53" s="518"/>
      <c r="K53" s="518"/>
      <c r="L53" s="518"/>
      <c r="M53" s="526"/>
      <c r="N53" s="131" t="s">
        <v>124</v>
      </c>
      <c r="O53" s="129" t="s">
        <v>132</v>
      </c>
      <c r="P53" s="536" t="s">
        <v>117</v>
      </c>
      <c r="Q53" s="537"/>
      <c r="R53" s="536" t="s">
        <v>165</v>
      </c>
      <c r="S53" s="538"/>
      <c r="T53" s="538"/>
      <c r="U53" s="537"/>
      <c r="V53" s="503" t="s">
        <v>120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124</v>
      </c>
      <c r="B54" s="525"/>
      <c r="C54" s="136" t="s">
        <v>171</v>
      </c>
      <c r="D54" s="136" t="s">
        <v>117</v>
      </c>
      <c r="E54" s="136" t="s">
        <v>172</v>
      </c>
      <c r="F54" s="517" t="s">
        <v>173</v>
      </c>
      <c r="G54" s="518"/>
      <c r="H54" s="518"/>
      <c r="I54" s="518"/>
      <c r="J54" s="518"/>
      <c r="K54" s="518"/>
      <c r="L54" s="518"/>
      <c r="M54" s="526"/>
      <c r="N54" s="131"/>
      <c r="O54" s="129"/>
      <c r="P54" s="536"/>
      <c r="Q54" s="537"/>
      <c r="R54" s="525"/>
      <c r="S54" s="525"/>
      <c r="T54" s="525"/>
      <c r="U54" s="525"/>
      <c r="V54" s="503"/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114</v>
      </c>
      <c r="B55" s="525"/>
      <c r="C55" s="140" t="s">
        <v>150</v>
      </c>
      <c r="D55" s="140" t="s">
        <v>117</v>
      </c>
      <c r="E55" s="140" t="s">
        <v>144</v>
      </c>
      <c r="F55" s="517" t="s">
        <v>157</v>
      </c>
      <c r="G55" s="518"/>
      <c r="H55" s="518"/>
      <c r="I55" s="518"/>
      <c r="J55" s="518"/>
      <c r="K55" s="518"/>
      <c r="L55" s="518"/>
      <c r="M55" s="526"/>
      <c r="N55" s="131"/>
      <c r="O55" s="129"/>
      <c r="P55" s="536"/>
      <c r="Q55" s="537"/>
      <c r="R55" s="536"/>
      <c r="S55" s="538"/>
      <c r="T55" s="538"/>
      <c r="U55" s="537"/>
      <c r="V55" s="503"/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 t="s">
        <v>138</v>
      </c>
      <c r="B56" s="525"/>
      <c r="C56" s="140" t="s">
        <v>155</v>
      </c>
      <c r="D56" s="140" t="s">
        <v>156</v>
      </c>
      <c r="E56" s="140" t="s">
        <v>146</v>
      </c>
      <c r="F56" s="517" t="s">
        <v>174</v>
      </c>
      <c r="G56" s="518"/>
      <c r="H56" s="518"/>
      <c r="I56" s="518"/>
      <c r="J56" s="518"/>
      <c r="K56" s="518"/>
      <c r="L56" s="518"/>
      <c r="M56" s="526"/>
      <c r="N56" s="131"/>
      <c r="O56" s="129"/>
      <c r="P56" s="536"/>
      <c r="Q56" s="537"/>
      <c r="R56" s="525"/>
      <c r="S56" s="525"/>
      <c r="T56" s="525"/>
      <c r="U56" s="525"/>
      <c r="V56" s="503"/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 t="s">
        <v>124</v>
      </c>
      <c r="B57" s="525"/>
      <c r="C57" s="132" t="s">
        <v>179</v>
      </c>
      <c r="D57" s="132" t="s">
        <v>117</v>
      </c>
      <c r="E57" s="132" t="s">
        <v>180</v>
      </c>
      <c r="F57" s="517" t="s">
        <v>120</v>
      </c>
      <c r="G57" s="518"/>
      <c r="H57" s="518"/>
      <c r="I57" s="518"/>
      <c r="J57" s="518"/>
      <c r="K57" s="518"/>
      <c r="L57" s="518"/>
      <c r="M57" s="526"/>
      <c r="N57" s="131"/>
      <c r="O57" s="129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/>
      <c r="B58" s="525"/>
      <c r="C58" s="132"/>
      <c r="D58" s="132"/>
      <c r="E58" s="132"/>
      <c r="F58" s="517"/>
      <c r="G58" s="518"/>
      <c r="H58" s="518"/>
      <c r="I58" s="518"/>
      <c r="J58" s="518"/>
      <c r="K58" s="518"/>
      <c r="L58" s="518"/>
      <c r="M58" s="526"/>
      <c r="N58" s="131"/>
      <c r="O58" s="129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/>
      <c r="B59" s="525"/>
      <c r="C59" s="132"/>
      <c r="D59" s="132"/>
      <c r="E59" s="132"/>
      <c r="F59" s="517"/>
      <c r="G59" s="518"/>
      <c r="H59" s="518"/>
      <c r="I59" s="518"/>
      <c r="J59" s="518"/>
      <c r="K59" s="518"/>
      <c r="L59" s="518"/>
      <c r="M59" s="526"/>
      <c r="N59" s="131"/>
      <c r="O59" s="129"/>
      <c r="P59" s="525"/>
      <c r="Q59" s="525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  <c r="AF59" s="87">
        <f>8*3000</f>
        <v>24000</v>
      </c>
    </row>
    <row r="60" spans="1:32" ht="27" customHeight="1" thickBot="1">
      <c r="A60" s="528"/>
      <c r="B60" s="529"/>
      <c r="C60" s="133"/>
      <c r="D60" s="133"/>
      <c r="E60" s="133"/>
      <c r="F60" s="530"/>
      <c r="G60" s="531"/>
      <c r="H60" s="531"/>
      <c r="I60" s="531"/>
      <c r="J60" s="531"/>
      <c r="K60" s="531"/>
      <c r="L60" s="531"/>
      <c r="M60" s="532"/>
      <c r="N60" s="124"/>
      <c r="O60" s="114"/>
      <c r="P60" s="533"/>
      <c r="Q60" s="533"/>
      <c r="R60" s="533"/>
      <c r="S60" s="533"/>
      <c r="T60" s="533"/>
      <c r="U60" s="533"/>
      <c r="V60" s="534"/>
      <c r="W60" s="534"/>
      <c r="X60" s="534"/>
      <c r="Y60" s="534"/>
      <c r="Z60" s="534"/>
      <c r="AA60" s="534"/>
      <c r="AB60" s="534"/>
      <c r="AC60" s="534"/>
      <c r="AD60" s="535"/>
      <c r="AF60" s="87">
        <f>16*3000</f>
        <v>48000</v>
      </c>
    </row>
    <row r="61" spans="1:32" ht="27.75" thickBot="1">
      <c r="A61" s="522" t="s">
        <v>181</v>
      </c>
      <c r="B61" s="522"/>
      <c r="C61" s="522"/>
      <c r="D61" s="522"/>
      <c r="E61" s="522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523" t="s">
        <v>113</v>
      </c>
      <c r="B62" s="515"/>
      <c r="C62" s="130" t="s">
        <v>2</v>
      </c>
      <c r="D62" s="130" t="s">
        <v>37</v>
      </c>
      <c r="E62" s="130" t="s">
        <v>3</v>
      </c>
      <c r="F62" s="515" t="s">
        <v>110</v>
      </c>
      <c r="G62" s="515"/>
      <c r="H62" s="515"/>
      <c r="I62" s="515"/>
      <c r="J62" s="515"/>
      <c r="K62" s="515" t="s">
        <v>39</v>
      </c>
      <c r="L62" s="515"/>
      <c r="M62" s="130" t="s">
        <v>40</v>
      </c>
      <c r="N62" s="515" t="s">
        <v>41</v>
      </c>
      <c r="O62" s="515"/>
      <c r="P62" s="512" t="s">
        <v>42</v>
      </c>
      <c r="Q62" s="514"/>
      <c r="R62" s="512" t="s">
        <v>43</v>
      </c>
      <c r="S62" s="513"/>
      <c r="T62" s="513"/>
      <c r="U62" s="513"/>
      <c r="V62" s="513"/>
      <c r="W62" s="513"/>
      <c r="X62" s="513"/>
      <c r="Y62" s="513"/>
      <c r="Z62" s="513"/>
      <c r="AA62" s="514"/>
      <c r="AB62" s="515" t="s">
        <v>44</v>
      </c>
      <c r="AC62" s="515"/>
      <c r="AD62" s="516"/>
      <c r="AF62" s="87">
        <f>SUM(AF59:AF61)</f>
        <v>96000</v>
      </c>
    </row>
    <row r="63" spans="1:32" ht="25.5" customHeight="1">
      <c r="A63" s="498">
        <v>1</v>
      </c>
      <c r="B63" s="499"/>
      <c r="C63" s="117" t="s">
        <v>114</v>
      </c>
      <c r="D63" s="125"/>
      <c r="E63" s="128" t="s">
        <v>117</v>
      </c>
      <c r="F63" s="504" t="s">
        <v>182</v>
      </c>
      <c r="G63" s="505"/>
      <c r="H63" s="505"/>
      <c r="I63" s="505"/>
      <c r="J63" s="506"/>
      <c r="K63" s="507" t="s">
        <v>126</v>
      </c>
      <c r="L63" s="499"/>
      <c r="M63" s="51" t="s">
        <v>162</v>
      </c>
      <c r="N63" s="508" t="s">
        <v>137</v>
      </c>
      <c r="O63" s="509"/>
      <c r="P63" s="510">
        <v>20</v>
      </c>
      <c r="Q63" s="511"/>
      <c r="R63" s="517"/>
      <c r="S63" s="518"/>
      <c r="T63" s="518"/>
      <c r="U63" s="518"/>
      <c r="V63" s="518"/>
      <c r="W63" s="518"/>
      <c r="X63" s="518"/>
      <c r="Y63" s="518"/>
      <c r="Z63" s="518"/>
      <c r="AA63" s="519"/>
      <c r="AB63" s="507"/>
      <c r="AC63" s="520"/>
      <c r="AD63" s="521"/>
      <c r="AF63" s="50"/>
    </row>
    <row r="64" spans="1:32" ht="25.5" customHeight="1">
      <c r="A64" s="498">
        <v>2</v>
      </c>
      <c r="B64" s="499"/>
      <c r="C64" s="117" t="s">
        <v>154</v>
      </c>
      <c r="D64" s="125"/>
      <c r="E64" s="128" t="s">
        <v>183</v>
      </c>
      <c r="F64" s="504" t="s">
        <v>184</v>
      </c>
      <c r="G64" s="505"/>
      <c r="H64" s="505"/>
      <c r="I64" s="505"/>
      <c r="J64" s="506"/>
      <c r="K64" s="507" t="s">
        <v>185</v>
      </c>
      <c r="L64" s="499"/>
      <c r="M64" s="51" t="s">
        <v>162</v>
      </c>
      <c r="N64" s="508" t="s">
        <v>164</v>
      </c>
      <c r="O64" s="509"/>
      <c r="P64" s="510">
        <v>50</v>
      </c>
      <c r="Q64" s="511"/>
      <c r="R64" s="503"/>
      <c r="S64" s="503"/>
      <c r="T64" s="503"/>
      <c r="U64" s="503"/>
      <c r="V64" s="503"/>
      <c r="W64" s="503"/>
      <c r="X64" s="503"/>
      <c r="Y64" s="503"/>
      <c r="Z64" s="503"/>
      <c r="AA64" s="503"/>
      <c r="AB64" s="492"/>
      <c r="AC64" s="492"/>
      <c r="AD64" s="493"/>
      <c r="AF64" s="50"/>
    </row>
    <row r="65" spans="1:32" ht="25.5" customHeight="1">
      <c r="A65" s="498">
        <v>3</v>
      </c>
      <c r="B65" s="499"/>
      <c r="C65" s="117" t="s">
        <v>154</v>
      </c>
      <c r="D65" s="138"/>
      <c r="E65" s="137" t="s">
        <v>183</v>
      </c>
      <c r="F65" s="504" t="s">
        <v>186</v>
      </c>
      <c r="G65" s="505"/>
      <c r="H65" s="505"/>
      <c r="I65" s="505"/>
      <c r="J65" s="506"/>
      <c r="K65" s="507" t="s">
        <v>185</v>
      </c>
      <c r="L65" s="499"/>
      <c r="M65" s="51" t="s">
        <v>162</v>
      </c>
      <c r="N65" s="508" t="s">
        <v>132</v>
      </c>
      <c r="O65" s="509"/>
      <c r="P65" s="510">
        <v>50</v>
      </c>
      <c r="Q65" s="511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4</v>
      </c>
      <c r="B66" s="499"/>
      <c r="C66" s="117" t="s">
        <v>187</v>
      </c>
      <c r="D66" s="125"/>
      <c r="E66" s="128" t="s">
        <v>188</v>
      </c>
      <c r="F66" s="500" t="s">
        <v>189</v>
      </c>
      <c r="G66" s="492"/>
      <c r="H66" s="492"/>
      <c r="I66" s="492"/>
      <c r="J66" s="492"/>
      <c r="K66" s="492" t="s">
        <v>190</v>
      </c>
      <c r="L66" s="492"/>
      <c r="M66" s="51" t="s">
        <v>191</v>
      </c>
      <c r="N66" s="501" t="s">
        <v>192</v>
      </c>
      <c r="O66" s="501"/>
      <c r="P66" s="502"/>
      <c r="Q66" s="502"/>
      <c r="R66" s="503" t="s">
        <v>193</v>
      </c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5</v>
      </c>
      <c r="B67" s="499"/>
      <c r="C67" s="117"/>
      <c r="D67" s="125"/>
      <c r="E67" s="128"/>
      <c r="F67" s="500"/>
      <c r="G67" s="492"/>
      <c r="H67" s="492"/>
      <c r="I67" s="492"/>
      <c r="J67" s="492"/>
      <c r="K67" s="492"/>
      <c r="L67" s="492"/>
      <c r="M67" s="51"/>
      <c r="N67" s="501"/>
      <c r="O67" s="501"/>
      <c r="P67" s="502"/>
      <c r="Q67" s="502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6</v>
      </c>
      <c r="B68" s="499"/>
      <c r="C68" s="117"/>
      <c r="D68" s="125"/>
      <c r="E68" s="128"/>
      <c r="F68" s="500"/>
      <c r="G68" s="492"/>
      <c r="H68" s="492"/>
      <c r="I68" s="492"/>
      <c r="J68" s="492"/>
      <c r="K68" s="492"/>
      <c r="L68" s="492"/>
      <c r="M68" s="51"/>
      <c r="N68" s="501"/>
      <c r="O68" s="501"/>
      <c r="P68" s="502"/>
      <c r="Q68" s="502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7</v>
      </c>
      <c r="B69" s="499"/>
      <c r="C69" s="117"/>
      <c r="D69" s="125"/>
      <c r="E69" s="128"/>
      <c r="F69" s="500"/>
      <c r="G69" s="492"/>
      <c r="H69" s="492"/>
      <c r="I69" s="492"/>
      <c r="J69" s="492"/>
      <c r="K69" s="492"/>
      <c r="L69" s="492"/>
      <c r="M69" s="51"/>
      <c r="N69" s="501"/>
      <c r="O69" s="501"/>
      <c r="P69" s="502"/>
      <c r="Q69" s="502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8</v>
      </c>
      <c r="B70" s="499"/>
      <c r="C70" s="117"/>
      <c r="D70" s="125"/>
      <c r="E70" s="128"/>
      <c r="F70" s="500"/>
      <c r="G70" s="492"/>
      <c r="H70" s="492"/>
      <c r="I70" s="492"/>
      <c r="J70" s="492"/>
      <c r="K70" s="492"/>
      <c r="L70" s="492"/>
      <c r="M70" s="51"/>
      <c r="N70" s="501"/>
      <c r="O70" s="501"/>
      <c r="P70" s="502"/>
      <c r="Q70" s="502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6.25" customHeight="1" thickBot="1">
      <c r="A71" s="472" t="s">
        <v>194</v>
      </c>
      <c r="B71" s="472"/>
      <c r="C71" s="472"/>
      <c r="D71" s="472"/>
      <c r="E71" s="47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73" t="s">
        <v>113</v>
      </c>
      <c r="B72" s="474"/>
      <c r="C72" s="127" t="s">
        <v>2</v>
      </c>
      <c r="D72" s="127" t="s">
        <v>37</v>
      </c>
      <c r="E72" s="127" t="s">
        <v>3</v>
      </c>
      <c r="F72" s="474" t="s">
        <v>38</v>
      </c>
      <c r="G72" s="474"/>
      <c r="H72" s="474"/>
      <c r="I72" s="474"/>
      <c r="J72" s="474"/>
      <c r="K72" s="494" t="s">
        <v>58</v>
      </c>
      <c r="L72" s="495"/>
      <c r="M72" s="495"/>
      <c r="N72" s="495"/>
      <c r="O72" s="495"/>
      <c r="P72" s="495"/>
      <c r="Q72" s="495"/>
      <c r="R72" s="495"/>
      <c r="S72" s="496"/>
      <c r="T72" s="474" t="s">
        <v>49</v>
      </c>
      <c r="U72" s="474"/>
      <c r="V72" s="494" t="s">
        <v>50</v>
      </c>
      <c r="W72" s="496"/>
      <c r="X72" s="495" t="s">
        <v>51</v>
      </c>
      <c r="Y72" s="495"/>
      <c r="Z72" s="495"/>
      <c r="AA72" s="495"/>
      <c r="AB72" s="495"/>
      <c r="AC72" s="495"/>
      <c r="AD72" s="497"/>
      <c r="AF72" s="50"/>
    </row>
    <row r="73" spans="1:32" ht="33.75" customHeight="1">
      <c r="A73" s="466">
        <v>1</v>
      </c>
      <c r="B73" s="467"/>
      <c r="C73" s="126" t="s">
        <v>114</v>
      </c>
      <c r="D73" s="126"/>
      <c r="E73" s="65" t="s">
        <v>119</v>
      </c>
      <c r="F73" s="481" t="s">
        <v>118</v>
      </c>
      <c r="G73" s="482"/>
      <c r="H73" s="482"/>
      <c r="I73" s="482"/>
      <c r="J73" s="483"/>
      <c r="K73" s="484" t="s">
        <v>130</v>
      </c>
      <c r="L73" s="485"/>
      <c r="M73" s="485"/>
      <c r="N73" s="485"/>
      <c r="O73" s="485"/>
      <c r="P73" s="485"/>
      <c r="Q73" s="485"/>
      <c r="R73" s="485"/>
      <c r="S73" s="486"/>
      <c r="T73" s="487">
        <v>43675</v>
      </c>
      <c r="U73" s="488"/>
      <c r="V73" s="489"/>
      <c r="W73" s="489"/>
      <c r="X73" s="490"/>
      <c r="Y73" s="490"/>
      <c r="Z73" s="490"/>
      <c r="AA73" s="490"/>
      <c r="AB73" s="490"/>
      <c r="AC73" s="490"/>
      <c r="AD73" s="491"/>
      <c r="AF73" s="50"/>
    </row>
    <row r="74" spans="1:32" ht="30" customHeight="1">
      <c r="A74" s="459">
        <f>A73+1</f>
        <v>2</v>
      </c>
      <c r="B74" s="460"/>
      <c r="C74" s="125"/>
      <c r="D74" s="125"/>
      <c r="E74" s="32"/>
      <c r="F74" s="460"/>
      <c r="G74" s="460"/>
      <c r="H74" s="460"/>
      <c r="I74" s="460"/>
      <c r="J74" s="460"/>
      <c r="K74" s="475"/>
      <c r="L74" s="476"/>
      <c r="M74" s="476"/>
      <c r="N74" s="476"/>
      <c r="O74" s="476"/>
      <c r="P74" s="476"/>
      <c r="Q74" s="476"/>
      <c r="R74" s="476"/>
      <c r="S74" s="477"/>
      <c r="T74" s="478"/>
      <c r="U74" s="478"/>
      <c r="V74" s="478"/>
      <c r="W74" s="478"/>
      <c r="X74" s="479"/>
      <c r="Y74" s="479"/>
      <c r="Z74" s="479"/>
      <c r="AA74" s="479"/>
      <c r="AB74" s="479"/>
      <c r="AC74" s="479"/>
      <c r="AD74" s="480"/>
      <c r="AF74" s="50"/>
    </row>
    <row r="75" spans="1:32" ht="30" customHeight="1">
      <c r="A75" s="459">
        <f t="shared" ref="A75:A81" si="13">A74+1</f>
        <v>3</v>
      </c>
      <c r="B75" s="460"/>
      <c r="C75" s="125"/>
      <c r="D75" s="125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si="13"/>
        <v>4</v>
      </c>
      <c r="B76" s="460"/>
      <c r="C76" s="125"/>
      <c r="D76" s="125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13"/>
        <v>5</v>
      </c>
      <c r="B77" s="460"/>
      <c r="C77" s="125"/>
      <c r="D77" s="125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13"/>
        <v>6</v>
      </c>
      <c r="B78" s="460"/>
      <c r="C78" s="125"/>
      <c r="D78" s="125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13"/>
        <v>7</v>
      </c>
      <c r="B79" s="460"/>
      <c r="C79" s="125"/>
      <c r="D79" s="125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13"/>
        <v>8</v>
      </c>
      <c r="B80" s="460"/>
      <c r="C80" s="125"/>
      <c r="D80" s="125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13"/>
        <v>9</v>
      </c>
      <c r="B81" s="460"/>
      <c r="C81" s="125"/>
      <c r="D81" s="125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6" thickBot="1">
      <c r="A82" s="472" t="s">
        <v>195</v>
      </c>
      <c r="B82" s="472"/>
      <c r="C82" s="472"/>
      <c r="D82" s="472"/>
      <c r="E82" s="47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73" t="s">
        <v>113</v>
      </c>
      <c r="B83" s="474"/>
      <c r="C83" s="464" t="s">
        <v>52</v>
      </c>
      <c r="D83" s="464"/>
      <c r="E83" s="464" t="s">
        <v>53</v>
      </c>
      <c r="F83" s="464"/>
      <c r="G83" s="464"/>
      <c r="H83" s="464"/>
      <c r="I83" s="464"/>
      <c r="J83" s="464"/>
      <c r="K83" s="464" t="s">
        <v>54</v>
      </c>
      <c r="L83" s="464"/>
      <c r="M83" s="464"/>
      <c r="N83" s="464"/>
      <c r="O83" s="464"/>
      <c r="P83" s="464"/>
      <c r="Q83" s="464"/>
      <c r="R83" s="464"/>
      <c r="S83" s="464"/>
      <c r="T83" s="464" t="s">
        <v>55</v>
      </c>
      <c r="U83" s="464"/>
      <c r="V83" s="464" t="s">
        <v>56</v>
      </c>
      <c r="W83" s="464"/>
      <c r="X83" s="464"/>
      <c r="Y83" s="464" t="s">
        <v>51</v>
      </c>
      <c r="Z83" s="464"/>
      <c r="AA83" s="464"/>
      <c r="AB83" s="464"/>
      <c r="AC83" s="464"/>
      <c r="AD83" s="465"/>
      <c r="AF83" s="50"/>
    </row>
    <row r="84" spans="1:32" ht="30.75" customHeight="1">
      <c r="A84" s="466">
        <v>1</v>
      </c>
      <c r="B84" s="467"/>
      <c r="C84" s="468"/>
      <c r="D84" s="468"/>
      <c r="E84" s="468"/>
      <c r="F84" s="468"/>
      <c r="G84" s="468"/>
      <c r="H84" s="468"/>
      <c r="I84" s="468"/>
      <c r="J84" s="468"/>
      <c r="K84" s="468"/>
      <c r="L84" s="468"/>
      <c r="M84" s="468"/>
      <c r="N84" s="468"/>
      <c r="O84" s="468"/>
      <c r="P84" s="468"/>
      <c r="Q84" s="468"/>
      <c r="R84" s="468"/>
      <c r="S84" s="468"/>
      <c r="T84" s="468"/>
      <c r="U84" s="468"/>
      <c r="V84" s="469"/>
      <c r="W84" s="469"/>
      <c r="X84" s="469"/>
      <c r="Y84" s="470"/>
      <c r="Z84" s="470"/>
      <c r="AA84" s="470"/>
      <c r="AB84" s="470"/>
      <c r="AC84" s="470"/>
      <c r="AD84" s="471"/>
      <c r="AF84" s="50"/>
    </row>
    <row r="85" spans="1:32" ht="30.75" customHeight="1">
      <c r="A85" s="459">
        <v>2</v>
      </c>
      <c r="B85" s="460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2"/>
      <c r="Z85" s="452"/>
      <c r="AA85" s="452"/>
      <c r="AB85" s="452"/>
      <c r="AC85" s="452"/>
      <c r="AD85" s="453"/>
      <c r="AF85" s="50"/>
    </row>
    <row r="86" spans="1:32" ht="30.75" customHeight="1" thickBot="1">
      <c r="A86" s="454">
        <v>3</v>
      </c>
      <c r="B86" s="455"/>
      <c r="C86" s="456"/>
      <c r="D86" s="456"/>
      <c r="E86" s="456"/>
      <c r="F86" s="456"/>
      <c r="G86" s="456"/>
      <c r="H86" s="456"/>
      <c r="I86" s="456"/>
      <c r="J86" s="456"/>
      <c r="K86" s="456"/>
      <c r="L86" s="456"/>
      <c r="M86" s="456"/>
      <c r="N86" s="456"/>
      <c r="O86" s="456"/>
      <c r="P86" s="456"/>
      <c r="Q86" s="456"/>
      <c r="R86" s="456"/>
      <c r="S86" s="456"/>
      <c r="T86" s="456"/>
      <c r="U86" s="456"/>
      <c r="V86" s="456"/>
      <c r="W86" s="456"/>
      <c r="X86" s="456"/>
      <c r="Y86" s="457"/>
      <c r="Z86" s="457"/>
      <c r="AA86" s="457"/>
      <c r="AB86" s="457"/>
      <c r="AC86" s="457"/>
      <c r="AD86" s="458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4C82-EFC0-4BB9-9EDB-069E8A18DE24}"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196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152" t="s">
        <v>17</v>
      </c>
      <c r="L5" s="152" t="s">
        <v>18</v>
      </c>
      <c r="M5" s="152" t="s">
        <v>19</v>
      </c>
      <c r="N5" s="15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0.41111111111111115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0.41111111111111115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125</v>
      </c>
      <c r="E8" s="53" t="s">
        <v>168</v>
      </c>
      <c r="F8" s="30" t="s">
        <v>141</v>
      </c>
      <c r="G8" s="33">
        <v>1</v>
      </c>
      <c r="H8" s="35">
        <v>24</v>
      </c>
      <c r="I8" s="7">
        <v>7700</v>
      </c>
      <c r="J8" s="14">
        <v>5044</v>
      </c>
      <c r="K8" s="15">
        <f>L8+1235</f>
        <v>6279</v>
      </c>
      <c r="L8" s="15">
        <f>2397+2647</f>
        <v>5044</v>
      </c>
      <c r="M8" s="15">
        <f t="shared" si="1"/>
        <v>5044</v>
      </c>
      <c r="N8" s="15">
        <v>0</v>
      </c>
      <c r="O8" s="58">
        <f t="shared" si="2"/>
        <v>0</v>
      </c>
      <c r="P8" s="39">
        <f t="shared" si="3"/>
        <v>12</v>
      </c>
      <c r="Q8" s="40">
        <f t="shared" si="4"/>
        <v>12</v>
      </c>
      <c r="R8" s="7"/>
      <c r="S8" s="6"/>
      <c r="T8" s="16"/>
      <c r="U8" s="16"/>
      <c r="V8" s="17"/>
      <c r="W8" s="5"/>
      <c r="X8" s="16"/>
      <c r="Y8" s="16"/>
      <c r="Z8" s="16"/>
      <c r="AA8" s="18">
        <v>12</v>
      </c>
      <c r="AB8" s="8">
        <f t="shared" si="5"/>
        <v>1</v>
      </c>
      <c r="AC8" s="9">
        <f t="shared" si="6"/>
        <v>0.5</v>
      </c>
      <c r="AD8" s="10">
        <f t="shared" si="7"/>
        <v>0.5</v>
      </c>
      <c r="AE8" s="36">
        <f t="shared" si="8"/>
        <v>0.41111111111111115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2951</v>
      </c>
      <c r="K9" s="15">
        <f>L9+1036+2500+4639</f>
        <v>11126</v>
      </c>
      <c r="L9" s="15">
        <f>335+2616</f>
        <v>2951</v>
      </c>
      <c r="M9" s="15">
        <f t="shared" si="1"/>
        <v>2951</v>
      </c>
      <c r="N9" s="15">
        <v>0</v>
      </c>
      <c r="O9" s="58">
        <f t="shared" si="2"/>
        <v>0</v>
      </c>
      <c r="P9" s="39">
        <f t="shared" si="3"/>
        <v>15</v>
      </c>
      <c r="Q9" s="40">
        <f t="shared" si="4"/>
        <v>9</v>
      </c>
      <c r="R9" s="7"/>
      <c r="S9" s="6">
        <v>9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0.625</v>
      </c>
      <c r="AD9" s="10">
        <f t="shared" si="7"/>
        <v>0.625</v>
      </c>
      <c r="AE9" s="36">
        <f t="shared" si="8"/>
        <v>0.41111111111111115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138</v>
      </c>
      <c r="D10" s="52" t="s">
        <v>139</v>
      </c>
      <c r="E10" s="53" t="s">
        <v>146</v>
      </c>
      <c r="F10" s="30" t="s">
        <v>140</v>
      </c>
      <c r="G10" s="33" t="s">
        <v>136</v>
      </c>
      <c r="H10" s="35">
        <v>24</v>
      </c>
      <c r="I10" s="7">
        <v>35000</v>
      </c>
      <c r="J10" s="5">
        <v>3769</v>
      </c>
      <c r="K10" s="15">
        <f>L10+3601+2209+6181+7284+1089+15594+5320+6949+5143+7270</f>
        <v>64409</v>
      </c>
      <c r="L10" s="15">
        <f>2345+1424</f>
        <v>3769</v>
      </c>
      <c r="M10" s="15">
        <f t="shared" si="1"/>
        <v>3769</v>
      </c>
      <c r="N10" s="15">
        <v>0</v>
      </c>
      <c r="O10" s="58">
        <f t="shared" si="2"/>
        <v>0</v>
      </c>
      <c r="P10" s="39">
        <f t="shared" si="3"/>
        <v>14</v>
      </c>
      <c r="Q10" s="40">
        <f t="shared" si="4"/>
        <v>10</v>
      </c>
      <c r="R10" s="7"/>
      <c r="S10" s="6">
        <v>10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0.58333333333333337</v>
      </c>
      <c r="AD10" s="10">
        <f>AC10*AB10*(1-O10)</f>
        <v>0.58333333333333337</v>
      </c>
      <c r="AE10" s="36">
        <f t="shared" si="8"/>
        <v>0.41111111111111115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117</v>
      </c>
      <c r="E11" s="53" t="s">
        <v>165</v>
      </c>
      <c r="F11" s="30" t="s">
        <v>141</v>
      </c>
      <c r="G11" s="33">
        <v>1</v>
      </c>
      <c r="H11" s="35">
        <v>24</v>
      </c>
      <c r="I11" s="7">
        <v>8000</v>
      </c>
      <c r="J11" s="5">
        <v>380</v>
      </c>
      <c r="K11" s="15">
        <f>L11</f>
        <v>380</v>
      </c>
      <c r="L11" s="15">
        <v>380</v>
      </c>
      <c r="M11" s="15">
        <f t="shared" si="1"/>
        <v>380</v>
      </c>
      <c r="N11" s="15">
        <v>0</v>
      </c>
      <c r="O11" s="58">
        <f t="shared" si="2"/>
        <v>0</v>
      </c>
      <c r="P11" s="39">
        <f t="shared" si="3"/>
        <v>3</v>
      </c>
      <c r="Q11" s="40">
        <f t="shared" si="4"/>
        <v>21</v>
      </c>
      <c r="R11" s="7"/>
      <c r="S11" s="6">
        <v>21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0.125</v>
      </c>
      <c r="AD11" s="10">
        <f>AC11*AB11*(1-O11)</f>
        <v>0.125</v>
      </c>
      <c r="AE11" s="36">
        <f t="shared" si="8"/>
        <v>0.41111111111111115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144</v>
      </c>
      <c r="F12" s="30" t="s">
        <v>121</v>
      </c>
      <c r="G12" s="33">
        <v>1</v>
      </c>
      <c r="H12" s="35">
        <v>24</v>
      </c>
      <c r="I12" s="7">
        <v>70000</v>
      </c>
      <c r="J12" s="14">
        <v>1875</v>
      </c>
      <c r="K12" s="15">
        <f>L12+2036+3193+2673+3958</f>
        <v>13735</v>
      </c>
      <c r="L12" s="15">
        <f>1875</f>
        <v>1875</v>
      </c>
      <c r="M12" s="15">
        <f t="shared" si="1"/>
        <v>1875</v>
      </c>
      <c r="N12" s="15">
        <v>0</v>
      </c>
      <c r="O12" s="58">
        <f t="shared" si="2"/>
        <v>0</v>
      </c>
      <c r="P12" s="39">
        <f t="shared" si="3"/>
        <v>11</v>
      </c>
      <c r="Q12" s="40">
        <f t="shared" si="4"/>
        <v>13</v>
      </c>
      <c r="R12" s="7"/>
      <c r="S12" s="6">
        <v>13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0.45833333333333331</v>
      </c>
      <c r="AD12" s="10">
        <f t="shared" ref="AD12:AD13" si="10">AC12*AB12*(1-O12)</f>
        <v>0.45833333333333331</v>
      </c>
      <c r="AE12" s="36">
        <f t="shared" si="8"/>
        <v>0.41111111111111115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124</v>
      </c>
      <c r="D13" s="52" t="s">
        <v>117</v>
      </c>
      <c r="E13" s="53" t="s">
        <v>153</v>
      </c>
      <c r="F13" s="30" t="s">
        <v>141</v>
      </c>
      <c r="G13" s="33">
        <v>1</v>
      </c>
      <c r="H13" s="35">
        <v>24</v>
      </c>
      <c r="I13" s="7">
        <v>3000</v>
      </c>
      <c r="J13" s="14">
        <v>4050</v>
      </c>
      <c r="K13" s="15">
        <f>L13+4050</f>
        <v>4050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5"/>
        <v>0</v>
      </c>
      <c r="AC13" s="9">
        <f t="shared" si="6"/>
        <v>0</v>
      </c>
      <c r="AD13" s="10">
        <f t="shared" si="10"/>
        <v>0</v>
      </c>
      <c r="AE13" s="36">
        <f t="shared" si="8"/>
        <v>0.41111111111111115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124</v>
      </c>
      <c r="D14" s="52" t="s">
        <v>135</v>
      </c>
      <c r="E14" s="53" t="s">
        <v>143</v>
      </c>
      <c r="F14" s="30" t="s">
        <v>133</v>
      </c>
      <c r="G14" s="33">
        <v>1</v>
      </c>
      <c r="H14" s="35">
        <v>24</v>
      </c>
      <c r="I14" s="7">
        <v>10000</v>
      </c>
      <c r="J14" s="5">
        <v>3411</v>
      </c>
      <c r="K14" s="15">
        <f>L14+3232+3411</f>
        <v>6643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0.41111111111111115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124</v>
      </c>
      <c r="D15" s="52" t="s">
        <v>135</v>
      </c>
      <c r="E15" s="53" t="s">
        <v>148</v>
      </c>
      <c r="F15" s="12">
        <v>8301</v>
      </c>
      <c r="G15" s="12">
        <v>1</v>
      </c>
      <c r="H15" s="13">
        <v>24</v>
      </c>
      <c r="I15" s="31">
        <v>500</v>
      </c>
      <c r="J15" s="14">
        <v>2517</v>
      </c>
      <c r="K15" s="15">
        <f>L15+2517</f>
        <v>2517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0.41111111111111115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125</v>
      </c>
      <c r="E16" s="53" t="s">
        <v>149</v>
      </c>
      <c r="F16" s="30" t="s">
        <v>126</v>
      </c>
      <c r="G16" s="12">
        <v>1</v>
      </c>
      <c r="H16" s="13">
        <v>28</v>
      </c>
      <c r="I16" s="7">
        <v>70000</v>
      </c>
      <c r="J16" s="14">
        <v>5134</v>
      </c>
      <c r="K16" s="15">
        <f>L16+2620+5280+5157+5344</f>
        <v>23535</v>
      </c>
      <c r="L16" s="15">
        <f>2425+2709</f>
        <v>5134</v>
      </c>
      <c r="M16" s="15">
        <f t="shared" si="1"/>
        <v>5134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0.41111111111111115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124</v>
      </c>
      <c r="D17" s="52" t="s">
        <v>159</v>
      </c>
      <c r="E17" s="53" t="s">
        <v>160</v>
      </c>
      <c r="F17" s="30" t="s">
        <v>161</v>
      </c>
      <c r="G17" s="33">
        <v>1</v>
      </c>
      <c r="H17" s="35">
        <v>24</v>
      </c>
      <c r="I17" s="7">
        <v>7000</v>
      </c>
      <c r="J17" s="5">
        <v>5786</v>
      </c>
      <c r="K17" s="15">
        <f>L17+2981</f>
        <v>8767</v>
      </c>
      <c r="L17" s="15">
        <f>3042+2744</f>
        <v>5786</v>
      </c>
      <c r="M17" s="15">
        <f t="shared" si="1"/>
        <v>5786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8"/>
        <v>0.41111111111111115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11" t="s">
        <v>114</v>
      </c>
      <c r="D18" s="52" t="s">
        <v>122</v>
      </c>
      <c r="E18" s="53" t="s">
        <v>147</v>
      </c>
      <c r="F18" s="30" t="s">
        <v>123</v>
      </c>
      <c r="G18" s="33">
        <v>1</v>
      </c>
      <c r="H18" s="35">
        <v>24</v>
      </c>
      <c r="I18" s="7">
        <v>70000</v>
      </c>
      <c r="J18" s="14">
        <v>5066</v>
      </c>
      <c r="K18" s="15">
        <f>L18+4362+4399+5240</f>
        <v>19067</v>
      </c>
      <c r="L18" s="15">
        <f>2689+2377</f>
        <v>5066</v>
      </c>
      <c r="M18" s="15">
        <f t="shared" si="1"/>
        <v>5066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 t="shared" si="7"/>
        <v>1</v>
      </c>
      <c r="AE18" s="36">
        <f t="shared" si="8"/>
        <v>0.41111111111111115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158</v>
      </c>
      <c r="F19" s="30" t="s">
        <v>121</v>
      </c>
      <c r="G19" s="33">
        <v>1</v>
      </c>
      <c r="H19" s="35">
        <v>24</v>
      </c>
      <c r="I19" s="7">
        <v>30000</v>
      </c>
      <c r="J19" s="14">
        <v>4731</v>
      </c>
      <c r="K19" s="15">
        <f>L19+2932</f>
        <v>7663</v>
      </c>
      <c r="L19" s="15">
        <f>2506+2225</f>
        <v>4731</v>
      </c>
      <c r="M19" s="15">
        <f t="shared" si="1"/>
        <v>4731</v>
      </c>
      <c r="N19" s="15">
        <v>0</v>
      </c>
      <c r="O19" s="58">
        <f t="shared" si="2"/>
        <v>0</v>
      </c>
      <c r="P19" s="39">
        <f t="shared" si="3"/>
        <v>21</v>
      </c>
      <c r="Q19" s="40">
        <f t="shared" si="4"/>
        <v>3</v>
      </c>
      <c r="R19" s="7"/>
      <c r="S19" s="6">
        <v>3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0.875</v>
      </c>
      <c r="AD19" s="10">
        <f t="shared" si="7"/>
        <v>0.875</v>
      </c>
      <c r="AE19" s="36">
        <f t="shared" si="8"/>
        <v>0.41111111111111115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134</v>
      </c>
      <c r="F20" s="12" t="s">
        <v>116</v>
      </c>
      <c r="G20" s="12">
        <v>4</v>
      </c>
      <c r="H20" s="35">
        <v>20</v>
      </c>
      <c r="I20" s="7">
        <v>300000</v>
      </c>
      <c r="J20" s="14">
        <v>40484</v>
      </c>
      <c r="K20" s="15">
        <f>L20+40708+40480+40040+40484</f>
        <v>161712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0.41111111111111115</v>
      </c>
      <c r="AF20" s="87">
        <f t="shared" si="9"/>
        <v>15</v>
      </c>
    </row>
    <row r="21" spans="1:32" ht="31.5" customHeight="1" thickBot="1">
      <c r="A21" s="541" t="s">
        <v>34</v>
      </c>
      <c r="B21" s="542"/>
      <c r="C21" s="542"/>
      <c r="D21" s="542"/>
      <c r="E21" s="542"/>
      <c r="F21" s="542"/>
      <c r="G21" s="542"/>
      <c r="H21" s="543"/>
      <c r="I21" s="22">
        <f t="shared" ref="I21:N21" si="11">SUM(I6:I20)</f>
        <v>702200</v>
      </c>
      <c r="J21" s="19">
        <f t="shared" si="11"/>
        <v>87259</v>
      </c>
      <c r="K21" s="20">
        <f t="shared" si="11"/>
        <v>341431</v>
      </c>
      <c r="L21" s="21">
        <f t="shared" si="11"/>
        <v>34736</v>
      </c>
      <c r="M21" s="20">
        <f t="shared" si="11"/>
        <v>34736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148</v>
      </c>
      <c r="Q21" s="43">
        <f t="shared" si="12"/>
        <v>212</v>
      </c>
      <c r="R21" s="23">
        <f t="shared" si="12"/>
        <v>24</v>
      </c>
      <c r="S21" s="24">
        <f t="shared" si="12"/>
        <v>56</v>
      </c>
      <c r="T21" s="24">
        <f t="shared" si="12"/>
        <v>0</v>
      </c>
      <c r="U21" s="24">
        <f t="shared" si="12"/>
        <v>0</v>
      </c>
      <c r="V21" s="25">
        <f t="shared" si="12"/>
        <v>48</v>
      </c>
      <c r="W21" s="26">
        <f t="shared" si="12"/>
        <v>24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60</v>
      </c>
      <c r="AB21" s="28">
        <f>SUM(AB6:AB20)/15</f>
        <v>0.6</v>
      </c>
      <c r="AC21" s="4">
        <f>SUM(AC6:AC20)/15</f>
        <v>0.41111111111111115</v>
      </c>
      <c r="AD21" s="4">
        <f>SUM(AD6:AD20)/15</f>
        <v>0.41111111111111115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44" t="s">
        <v>45</v>
      </c>
      <c r="B48" s="544"/>
      <c r="C48" s="544"/>
      <c r="D48" s="544"/>
      <c r="E48" s="54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45" t="s">
        <v>197</v>
      </c>
      <c r="B49" s="546"/>
      <c r="C49" s="546"/>
      <c r="D49" s="546"/>
      <c r="E49" s="546"/>
      <c r="F49" s="546"/>
      <c r="G49" s="546"/>
      <c r="H49" s="546"/>
      <c r="I49" s="546"/>
      <c r="J49" s="546"/>
      <c r="K49" s="546"/>
      <c r="L49" s="546"/>
      <c r="M49" s="547"/>
      <c r="N49" s="548" t="s">
        <v>200</v>
      </c>
      <c r="O49" s="549"/>
      <c r="P49" s="549"/>
      <c r="Q49" s="549"/>
      <c r="R49" s="549"/>
      <c r="S49" s="549"/>
      <c r="T49" s="549"/>
      <c r="U49" s="549"/>
      <c r="V49" s="549"/>
      <c r="W49" s="549"/>
      <c r="X49" s="549"/>
      <c r="Y49" s="549"/>
      <c r="Z49" s="549"/>
      <c r="AA49" s="549"/>
      <c r="AB49" s="549"/>
      <c r="AC49" s="549"/>
      <c r="AD49" s="550"/>
    </row>
    <row r="50" spans="1:32" ht="27" customHeight="1">
      <c r="A50" s="551" t="s">
        <v>2</v>
      </c>
      <c r="B50" s="552"/>
      <c r="C50" s="151" t="s">
        <v>46</v>
      </c>
      <c r="D50" s="151" t="s">
        <v>47</v>
      </c>
      <c r="E50" s="151" t="s">
        <v>108</v>
      </c>
      <c r="F50" s="552" t="s">
        <v>107</v>
      </c>
      <c r="G50" s="552"/>
      <c r="H50" s="552"/>
      <c r="I50" s="552"/>
      <c r="J50" s="552"/>
      <c r="K50" s="552"/>
      <c r="L50" s="552"/>
      <c r="M50" s="553"/>
      <c r="N50" s="67" t="s">
        <v>112</v>
      </c>
      <c r="O50" s="151" t="s">
        <v>46</v>
      </c>
      <c r="P50" s="554" t="s">
        <v>47</v>
      </c>
      <c r="Q50" s="555"/>
      <c r="R50" s="554" t="s">
        <v>38</v>
      </c>
      <c r="S50" s="556"/>
      <c r="T50" s="556"/>
      <c r="U50" s="555"/>
      <c r="V50" s="554" t="s">
        <v>48</v>
      </c>
      <c r="W50" s="556"/>
      <c r="X50" s="556"/>
      <c r="Y50" s="556"/>
      <c r="Z50" s="556"/>
      <c r="AA50" s="556"/>
      <c r="AB50" s="556"/>
      <c r="AC50" s="556"/>
      <c r="AD50" s="557"/>
    </row>
    <row r="51" spans="1:32" ht="27" customHeight="1">
      <c r="A51" s="524" t="s">
        <v>114</v>
      </c>
      <c r="B51" s="525"/>
      <c r="C51" s="149" t="s">
        <v>131</v>
      </c>
      <c r="D51" s="149" t="s">
        <v>142</v>
      </c>
      <c r="E51" s="149" t="s">
        <v>145</v>
      </c>
      <c r="F51" s="517" t="s">
        <v>157</v>
      </c>
      <c r="G51" s="518"/>
      <c r="H51" s="518"/>
      <c r="I51" s="518"/>
      <c r="J51" s="518"/>
      <c r="K51" s="518"/>
      <c r="L51" s="518"/>
      <c r="M51" s="526"/>
      <c r="N51" s="148" t="s">
        <v>114</v>
      </c>
      <c r="O51" s="146" t="s">
        <v>179</v>
      </c>
      <c r="P51" s="536" t="s">
        <v>125</v>
      </c>
      <c r="Q51" s="537"/>
      <c r="R51" s="536" t="s">
        <v>201</v>
      </c>
      <c r="S51" s="538"/>
      <c r="T51" s="538"/>
      <c r="U51" s="537"/>
      <c r="V51" s="503" t="s">
        <v>120</v>
      </c>
      <c r="W51" s="503"/>
      <c r="X51" s="503"/>
      <c r="Y51" s="503"/>
      <c r="Z51" s="503"/>
      <c r="AA51" s="503"/>
      <c r="AB51" s="503"/>
      <c r="AC51" s="503"/>
      <c r="AD51" s="527"/>
    </row>
    <row r="52" spans="1:32" ht="27" customHeight="1">
      <c r="A52" s="524" t="s">
        <v>124</v>
      </c>
      <c r="B52" s="525"/>
      <c r="C52" s="149" t="s">
        <v>132</v>
      </c>
      <c r="D52" s="149" t="s">
        <v>117</v>
      </c>
      <c r="E52" s="149" t="s">
        <v>165</v>
      </c>
      <c r="F52" s="517" t="s">
        <v>198</v>
      </c>
      <c r="G52" s="518"/>
      <c r="H52" s="518"/>
      <c r="I52" s="518"/>
      <c r="J52" s="518"/>
      <c r="K52" s="518"/>
      <c r="L52" s="518"/>
      <c r="M52" s="526"/>
      <c r="N52" s="148" t="s">
        <v>138</v>
      </c>
      <c r="O52" s="146" t="s">
        <v>155</v>
      </c>
      <c r="P52" s="536" t="s">
        <v>156</v>
      </c>
      <c r="Q52" s="537"/>
      <c r="R52" s="536" t="s">
        <v>146</v>
      </c>
      <c r="S52" s="538"/>
      <c r="T52" s="538"/>
      <c r="U52" s="537"/>
      <c r="V52" s="503" t="s">
        <v>157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124</v>
      </c>
      <c r="B53" s="525"/>
      <c r="C53" s="149" t="s">
        <v>171</v>
      </c>
      <c r="D53" s="149" t="s">
        <v>117</v>
      </c>
      <c r="E53" s="149" t="s">
        <v>158</v>
      </c>
      <c r="F53" s="517" t="s">
        <v>173</v>
      </c>
      <c r="G53" s="518"/>
      <c r="H53" s="518"/>
      <c r="I53" s="518"/>
      <c r="J53" s="518"/>
      <c r="K53" s="518"/>
      <c r="L53" s="518"/>
      <c r="M53" s="526"/>
      <c r="N53" s="148" t="s">
        <v>124</v>
      </c>
      <c r="O53" s="146" t="s">
        <v>132</v>
      </c>
      <c r="P53" s="536" t="s">
        <v>117</v>
      </c>
      <c r="Q53" s="537"/>
      <c r="R53" s="536" t="s">
        <v>165</v>
      </c>
      <c r="S53" s="538"/>
      <c r="T53" s="538"/>
      <c r="U53" s="537"/>
      <c r="V53" s="503" t="s">
        <v>157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114</v>
      </c>
      <c r="B54" s="525"/>
      <c r="C54" s="149" t="s">
        <v>150</v>
      </c>
      <c r="D54" s="149" t="s">
        <v>117</v>
      </c>
      <c r="E54" s="149" t="s">
        <v>144</v>
      </c>
      <c r="F54" s="517" t="s">
        <v>199</v>
      </c>
      <c r="G54" s="518"/>
      <c r="H54" s="518"/>
      <c r="I54" s="518"/>
      <c r="J54" s="518"/>
      <c r="K54" s="518"/>
      <c r="L54" s="518"/>
      <c r="M54" s="526"/>
      <c r="N54" s="148"/>
      <c r="O54" s="146"/>
      <c r="P54" s="536"/>
      <c r="Q54" s="537"/>
      <c r="R54" s="525"/>
      <c r="S54" s="525"/>
      <c r="T54" s="525"/>
      <c r="U54" s="525"/>
      <c r="V54" s="503"/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138</v>
      </c>
      <c r="B55" s="525"/>
      <c r="C55" s="149" t="s">
        <v>155</v>
      </c>
      <c r="D55" s="149" t="s">
        <v>156</v>
      </c>
      <c r="E55" s="149" t="s">
        <v>146</v>
      </c>
      <c r="F55" s="517" t="s">
        <v>174</v>
      </c>
      <c r="G55" s="518"/>
      <c r="H55" s="518"/>
      <c r="I55" s="518"/>
      <c r="J55" s="518"/>
      <c r="K55" s="518"/>
      <c r="L55" s="518"/>
      <c r="M55" s="526"/>
      <c r="N55" s="148"/>
      <c r="O55" s="146"/>
      <c r="P55" s="536"/>
      <c r="Q55" s="537"/>
      <c r="R55" s="536"/>
      <c r="S55" s="538"/>
      <c r="T55" s="538"/>
      <c r="U55" s="537"/>
      <c r="V55" s="503"/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/>
      <c r="B56" s="525"/>
      <c r="C56" s="149"/>
      <c r="D56" s="149"/>
      <c r="E56" s="149"/>
      <c r="F56" s="517"/>
      <c r="G56" s="518"/>
      <c r="H56" s="518"/>
      <c r="I56" s="518"/>
      <c r="J56" s="518"/>
      <c r="K56" s="518"/>
      <c r="L56" s="518"/>
      <c r="M56" s="526"/>
      <c r="N56" s="148"/>
      <c r="O56" s="146"/>
      <c r="P56" s="536"/>
      <c r="Q56" s="537"/>
      <c r="R56" s="525"/>
      <c r="S56" s="525"/>
      <c r="T56" s="525"/>
      <c r="U56" s="525"/>
      <c r="V56" s="503"/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/>
      <c r="B57" s="525"/>
      <c r="C57" s="149"/>
      <c r="D57" s="149"/>
      <c r="E57" s="149"/>
      <c r="F57" s="517"/>
      <c r="G57" s="518"/>
      <c r="H57" s="518"/>
      <c r="I57" s="518"/>
      <c r="J57" s="518"/>
      <c r="K57" s="518"/>
      <c r="L57" s="518"/>
      <c r="M57" s="526"/>
      <c r="N57" s="148"/>
      <c r="O57" s="146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/>
      <c r="B58" s="525"/>
      <c r="C58" s="149"/>
      <c r="D58" s="149"/>
      <c r="E58" s="149"/>
      <c r="F58" s="517"/>
      <c r="G58" s="518"/>
      <c r="H58" s="518"/>
      <c r="I58" s="518"/>
      <c r="J58" s="518"/>
      <c r="K58" s="518"/>
      <c r="L58" s="518"/>
      <c r="M58" s="526"/>
      <c r="N58" s="148"/>
      <c r="O58" s="146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/>
      <c r="B59" s="525"/>
      <c r="C59" s="149"/>
      <c r="D59" s="149"/>
      <c r="E59" s="149"/>
      <c r="F59" s="517"/>
      <c r="G59" s="518"/>
      <c r="H59" s="518"/>
      <c r="I59" s="518"/>
      <c r="J59" s="518"/>
      <c r="K59" s="518"/>
      <c r="L59" s="518"/>
      <c r="M59" s="526"/>
      <c r="N59" s="148"/>
      <c r="O59" s="146"/>
      <c r="P59" s="525"/>
      <c r="Q59" s="525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  <c r="AF59" s="87">
        <f>8*3000</f>
        <v>24000</v>
      </c>
    </row>
    <row r="60" spans="1:32" ht="27" customHeight="1" thickBot="1">
      <c r="A60" s="528"/>
      <c r="B60" s="529"/>
      <c r="C60" s="150"/>
      <c r="D60" s="150"/>
      <c r="E60" s="150"/>
      <c r="F60" s="530"/>
      <c r="G60" s="531"/>
      <c r="H60" s="531"/>
      <c r="I60" s="531"/>
      <c r="J60" s="531"/>
      <c r="K60" s="531"/>
      <c r="L60" s="531"/>
      <c r="M60" s="532"/>
      <c r="N60" s="124"/>
      <c r="O60" s="114"/>
      <c r="P60" s="533"/>
      <c r="Q60" s="533"/>
      <c r="R60" s="533"/>
      <c r="S60" s="533"/>
      <c r="T60" s="533"/>
      <c r="U60" s="533"/>
      <c r="V60" s="534"/>
      <c r="W60" s="534"/>
      <c r="X60" s="534"/>
      <c r="Y60" s="534"/>
      <c r="Z60" s="534"/>
      <c r="AA60" s="534"/>
      <c r="AB60" s="534"/>
      <c r="AC60" s="534"/>
      <c r="AD60" s="535"/>
      <c r="AF60" s="87">
        <f>16*3000</f>
        <v>48000</v>
      </c>
    </row>
    <row r="61" spans="1:32" ht="27.75" thickBot="1">
      <c r="A61" s="522" t="s">
        <v>202</v>
      </c>
      <c r="B61" s="522"/>
      <c r="C61" s="522"/>
      <c r="D61" s="522"/>
      <c r="E61" s="522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523" t="s">
        <v>113</v>
      </c>
      <c r="B62" s="515"/>
      <c r="C62" s="147" t="s">
        <v>2</v>
      </c>
      <c r="D62" s="147" t="s">
        <v>37</v>
      </c>
      <c r="E62" s="147" t="s">
        <v>3</v>
      </c>
      <c r="F62" s="515" t="s">
        <v>110</v>
      </c>
      <c r="G62" s="515"/>
      <c r="H62" s="515"/>
      <c r="I62" s="515"/>
      <c r="J62" s="515"/>
      <c r="K62" s="515" t="s">
        <v>39</v>
      </c>
      <c r="L62" s="515"/>
      <c r="M62" s="147" t="s">
        <v>40</v>
      </c>
      <c r="N62" s="515" t="s">
        <v>41</v>
      </c>
      <c r="O62" s="515"/>
      <c r="P62" s="512" t="s">
        <v>42</v>
      </c>
      <c r="Q62" s="514"/>
      <c r="R62" s="512" t="s">
        <v>43</v>
      </c>
      <c r="S62" s="513"/>
      <c r="T62" s="513"/>
      <c r="U62" s="513"/>
      <c r="V62" s="513"/>
      <c r="W62" s="513"/>
      <c r="X62" s="513"/>
      <c r="Y62" s="513"/>
      <c r="Z62" s="513"/>
      <c r="AA62" s="514"/>
      <c r="AB62" s="515" t="s">
        <v>44</v>
      </c>
      <c r="AC62" s="515"/>
      <c r="AD62" s="516"/>
      <c r="AF62" s="87">
        <f>SUM(AF59:AF61)</f>
        <v>96000</v>
      </c>
    </row>
    <row r="63" spans="1:32" ht="25.5" customHeight="1">
      <c r="A63" s="498">
        <v>1</v>
      </c>
      <c r="B63" s="499"/>
      <c r="C63" s="117" t="s">
        <v>128</v>
      </c>
      <c r="D63" s="142"/>
      <c r="E63" s="145" t="s">
        <v>117</v>
      </c>
      <c r="F63" s="500" t="s">
        <v>189</v>
      </c>
      <c r="G63" s="492"/>
      <c r="H63" s="492"/>
      <c r="I63" s="492"/>
      <c r="J63" s="492"/>
      <c r="K63" s="492" t="s">
        <v>190</v>
      </c>
      <c r="L63" s="492"/>
      <c r="M63" s="51" t="s">
        <v>191</v>
      </c>
      <c r="N63" s="501" t="s">
        <v>179</v>
      </c>
      <c r="O63" s="501"/>
      <c r="P63" s="502">
        <v>200</v>
      </c>
      <c r="Q63" s="502"/>
      <c r="R63" s="503"/>
      <c r="S63" s="503"/>
      <c r="T63" s="503"/>
      <c r="U63" s="503"/>
      <c r="V63" s="503"/>
      <c r="W63" s="503"/>
      <c r="X63" s="503"/>
      <c r="Y63" s="503"/>
      <c r="Z63" s="503"/>
      <c r="AA63" s="503"/>
      <c r="AB63" s="507"/>
      <c r="AC63" s="520"/>
      <c r="AD63" s="521"/>
      <c r="AF63" s="50"/>
    </row>
    <row r="64" spans="1:32" ht="25.5" customHeight="1">
      <c r="A64" s="498">
        <v>2</v>
      </c>
      <c r="B64" s="499"/>
      <c r="C64" s="117"/>
      <c r="D64" s="142"/>
      <c r="E64" s="145"/>
      <c r="F64" s="504"/>
      <c r="G64" s="505"/>
      <c r="H64" s="505"/>
      <c r="I64" s="505"/>
      <c r="J64" s="506"/>
      <c r="K64" s="507"/>
      <c r="L64" s="499"/>
      <c r="M64" s="51"/>
      <c r="N64" s="508"/>
      <c r="O64" s="509"/>
      <c r="P64" s="510"/>
      <c r="Q64" s="511"/>
      <c r="R64" s="503"/>
      <c r="S64" s="503"/>
      <c r="T64" s="503"/>
      <c r="U64" s="503"/>
      <c r="V64" s="503"/>
      <c r="W64" s="503"/>
      <c r="X64" s="503"/>
      <c r="Y64" s="503"/>
      <c r="Z64" s="503"/>
      <c r="AA64" s="503"/>
      <c r="AB64" s="492"/>
      <c r="AC64" s="492"/>
      <c r="AD64" s="493"/>
      <c r="AF64" s="50"/>
    </row>
    <row r="65" spans="1:32" ht="25.5" customHeight="1">
      <c r="A65" s="498">
        <v>3</v>
      </c>
      <c r="B65" s="499"/>
      <c r="C65" s="117"/>
      <c r="D65" s="142"/>
      <c r="E65" s="145"/>
      <c r="F65" s="504"/>
      <c r="G65" s="505"/>
      <c r="H65" s="505"/>
      <c r="I65" s="505"/>
      <c r="J65" s="506"/>
      <c r="K65" s="507"/>
      <c r="L65" s="499"/>
      <c r="M65" s="51"/>
      <c r="N65" s="508"/>
      <c r="O65" s="509"/>
      <c r="P65" s="510"/>
      <c r="Q65" s="511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4</v>
      </c>
      <c r="B66" s="499"/>
      <c r="C66" s="117"/>
      <c r="D66" s="142"/>
      <c r="E66" s="145"/>
      <c r="F66" s="500"/>
      <c r="G66" s="492"/>
      <c r="H66" s="492"/>
      <c r="I66" s="492"/>
      <c r="J66" s="492"/>
      <c r="K66" s="492"/>
      <c r="L66" s="492"/>
      <c r="M66" s="51"/>
      <c r="N66" s="501"/>
      <c r="O66" s="501"/>
      <c r="P66" s="502"/>
      <c r="Q66" s="502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5</v>
      </c>
      <c r="B67" s="499"/>
      <c r="C67" s="117"/>
      <c r="D67" s="142"/>
      <c r="E67" s="145"/>
      <c r="F67" s="500"/>
      <c r="G67" s="492"/>
      <c r="H67" s="492"/>
      <c r="I67" s="492"/>
      <c r="J67" s="492"/>
      <c r="K67" s="492"/>
      <c r="L67" s="492"/>
      <c r="M67" s="51"/>
      <c r="N67" s="501"/>
      <c r="O67" s="501"/>
      <c r="P67" s="502"/>
      <c r="Q67" s="502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6</v>
      </c>
      <c r="B68" s="499"/>
      <c r="C68" s="117"/>
      <c r="D68" s="142"/>
      <c r="E68" s="145"/>
      <c r="F68" s="500"/>
      <c r="G68" s="492"/>
      <c r="H68" s="492"/>
      <c r="I68" s="492"/>
      <c r="J68" s="492"/>
      <c r="K68" s="492"/>
      <c r="L68" s="492"/>
      <c r="M68" s="51"/>
      <c r="N68" s="501"/>
      <c r="O68" s="501"/>
      <c r="P68" s="502"/>
      <c r="Q68" s="502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7</v>
      </c>
      <c r="B69" s="499"/>
      <c r="C69" s="117"/>
      <c r="D69" s="142"/>
      <c r="E69" s="145"/>
      <c r="F69" s="500"/>
      <c r="G69" s="492"/>
      <c r="H69" s="492"/>
      <c r="I69" s="492"/>
      <c r="J69" s="492"/>
      <c r="K69" s="492"/>
      <c r="L69" s="492"/>
      <c r="M69" s="51"/>
      <c r="N69" s="501"/>
      <c r="O69" s="501"/>
      <c r="P69" s="502"/>
      <c r="Q69" s="502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8</v>
      </c>
      <c r="B70" s="499"/>
      <c r="C70" s="117"/>
      <c r="D70" s="142"/>
      <c r="E70" s="145"/>
      <c r="F70" s="500"/>
      <c r="G70" s="492"/>
      <c r="H70" s="492"/>
      <c r="I70" s="492"/>
      <c r="J70" s="492"/>
      <c r="K70" s="492"/>
      <c r="L70" s="492"/>
      <c r="M70" s="51"/>
      <c r="N70" s="501"/>
      <c r="O70" s="501"/>
      <c r="P70" s="502"/>
      <c r="Q70" s="502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6.25" customHeight="1" thickBot="1">
      <c r="A71" s="472" t="s">
        <v>203</v>
      </c>
      <c r="B71" s="472"/>
      <c r="C71" s="472"/>
      <c r="D71" s="472"/>
      <c r="E71" s="47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73" t="s">
        <v>113</v>
      </c>
      <c r="B72" s="474"/>
      <c r="C72" s="144" t="s">
        <v>2</v>
      </c>
      <c r="D72" s="144" t="s">
        <v>37</v>
      </c>
      <c r="E72" s="144" t="s">
        <v>3</v>
      </c>
      <c r="F72" s="474" t="s">
        <v>38</v>
      </c>
      <c r="G72" s="474"/>
      <c r="H72" s="474"/>
      <c r="I72" s="474"/>
      <c r="J72" s="474"/>
      <c r="K72" s="494" t="s">
        <v>58</v>
      </c>
      <c r="L72" s="495"/>
      <c r="M72" s="495"/>
      <c r="N72" s="495"/>
      <c r="O72" s="495"/>
      <c r="P72" s="495"/>
      <c r="Q72" s="495"/>
      <c r="R72" s="495"/>
      <c r="S72" s="496"/>
      <c r="T72" s="474" t="s">
        <v>49</v>
      </c>
      <c r="U72" s="474"/>
      <c r="V72" s="494" t="s">
        <v>50</v>
      </c>
      <c r="W72" s="496"/>
      <c r="X72" s="495" t="s">
        <v>51</v>
      </c>
      <c r="Y72" s="495"/>
      <c r="Z72" s="495"/>
      <c r="AA72" s="495"/>
      <c r="AB72" s="495"/>
      <c r="AC72" s="495"/>
      <c r="AD72" s="497"/>
      <c r="AF72" s="50"/>
    </row>
    <row r="73" spans="1:32" ht="33.75" customHeight="1">
      <c r="A73" s="466">
        <v>1</v>
      </c>
      <c r="B73" s="467"/>
      <c r="C73" s="143" t="s">
        <v>114</v>
      </c>
      <c r="D73" s="143"/>
      <c r="E73" s="65" t="s">
        <v>119</v>
      </c>
      <c r="F73" s="481" t="s">
        <v>118</v>
      </c>
      <c r="G73" s="482"/>
      <c r="H73" s="482"/>
      <c r="I73" s="482"/>
      <c r="J73" s="483"/>
      <c r="K73" s="484" t="s">
        <v>130</v>
      </c>
      <c r="L73" s="485"/>
      <c r="M73" s="485"/>
      <c r="N73" s="485"/>
      <c r="O73" s="485"/>
      <c r="P73" s="485"/>
      <c r="Q73" s="485"/>
      <c r="R73" s="485"/>
      <c r="S73" s="486"/>
      <c r="T73" s="487">
        <v>43675</v>
      </c>
      <c r="U73" s="488"/>
      <c r="V73" s="489"/>
      <c r="W73" s="489"/>
      <c r="X73" s="490"/>
      <c r="Y73" s="490"/>
      <c r="Z73" s="490"/>
      <c r="AA73" s="490"/>
      <c r="AB73" s="490"/>
      <c r="AC73" s="490"/>
      <c r="AD73" s="491"/>
      <c r="AF73" s="50"/>
    </row>
    <row r="74" spans="1:32" ht="30" customHeight="1">
      <c r="A74" s="459">
        <f>A73+1</f>
        <v>2</v>
      </c>
      <c r="B74" s="460"/>
      <c r="C74" s="142"/>
      <c r="D74" s="142"/>
      <c r="E74" s="32"/>
      <c r="F74" s="460"/>
      <c r="G74" s="460"/>
      <c r="H74" s="460"/>
      <c r="I74" s="460"/>
      <c r="J74" s="460"/>
      <c r="K74" s="475"/>
      <c r="L74" s="476"/>
      <c r="M74" s="476"/>
      <c r="N74" s="476"/>
      <c r="O74" s="476"/>
      <c r="P74" s="476"/>
      <c r="Q74" s="476"/>
      <c r="R74" s="476"/>
      <c r="S74" s="477"/>
      <c r="T74" s="478"/>
      <c r="U74" s="478"/>
      <c r="V74" s="478"/>
      <c r="W74" s="478"/>
      <c r="X74" s="479"/>
      <c r="Y74" s="479"/>
      <c r="Z74" s="479"/>
      <c r="AA74" s="479"/>
      <c r="AB74" s="479"/>
      <c r="AC74" s="479"/>
      <c r="AD74" s="480"/>
      <c r="AF74" s="50"/>
    </row>
    <row r="75" spans="1:32" ht="30" customHeight="1">
      <c r="A75" s="459">
        <f t="shared" ref="A75:A81" si="13">A74+1</f>
        <v>3</v>
      </c>
      <c r="B75" s="460"/>
      <c r="C75" s="142"/>
      <c r="D75" s="142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si="13"/>
        <v>4</v>
      </c>
      <c r="B76" s="460"/>
      <c r="C76" s="142"/>
      <c r="D76" s="142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13"/>
        <v>5</v>
      </c>
      <c r="B77" s="460"/>
      <c r="C77" s="142"/>
      <c r="D77" s="142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13"/>
        <v>6</v>
      </c>
      <c r="B78" s="460"/>
      <c r="C78" s="142"/>
      <c r="D78" s="142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13"/>
        <v>7</v>
      </c>
      <c r="B79" s="460"/>
      <c r="C79" s="142"/>
      <c r="D79" s="142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13"/>
        <v>8</v>
      </c>
      <c r="B80" s="460"/>
      <c r="C80" s="142"/>
      <c r="D80" s="142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13"/>
        <v>9</v>
      </c>
      <c r="B81" s="460"/>
      <c r="C81" s="142"/>
      <c r="D81" s="142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6" thickBot="1">
      <c r="A82" s="472" t="s">
        <v>204</v>
      </c>
      <c r="B82" s="472"/>
      <c r="C82" s="472"/>
      <c r="D82" s="472"/>
      <c r="E82" s="47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73" t="s">
        <v>113</v>
      </c>
      <c r="B83" s="474"/>
      <c r="C83" s="464" t="s">
        <v>52</v>
      </c>
      <c r="D83" s="464"/>
      <c r="E83" s="464" t="s">
        <v>53</v>
      </c>
      <c r="F83" s="464"/>
      <c r="G83" s="464"/>
      <c r="H83" s="464"/>
      <c r="I83" s="464"/>
      <c r="J83" s="464"/>
      <c r="K83" s="464" t="s">
        <v>54</v>
      </c>
      <c r="L83" s="464"/>
      <c r="M83" s="464"/>
      <c r="N83" s="464"/>
      <c r="O83" s="464"/>
      <c r="P83" s="464"/>
      <c r="Q83" s="464"/>
      <c r="R83" s="464"/>
      <c r="S83" s="464"/>
      <c r="T83" s="464" t="s">
        <v>55</v>
      </c>
      <c r="U83" s="464"/>
      <c r="V83" s="464" t="s">
        <v>56</v>
      </c>
      <c r="W83" s="464"/>
      <c r="X83" s="464"/>
      <c r="Y83" s="464" t="s">
        <v>51</v>
      </c>
      <c r="Z83" s="464"/>
      <c r="AA83" s="464"/>
      <c r="AB83" s="464"/>
      <c r="AC83" s="464"/>
      <c r="AD83" s="465"/>
      <c r="AF83" s="50"/>
    </row>
    <row r="84" spans="1:32" ht="30.75" customHeight="1">
      <c r="A84" s="466">
        <v>1</v>
      </c>
      <c r="B84" s="467"/>
      <c r="C84" s="468"/>
      <c r="D84" s="468"/>
      <c r="E84" s="468"/>
      <c r="F84" s="468"/>
      <c r="G84" s="468"/>
      <c r="H84" s="468"/>
      <c r="I84" s="468"/>
      <c r="J84" s="468"/>
      <c r="K84" s="468"/>
      <c r="L84" s="468"/>
      <c r="M84" s="468"/>
      <c r="N84" s="468"/>
      <c r="O84" s="468"/>
      <c r="P84" s="468"/>
      <c r="Q84" s="468"/>
      <c r="R84" s="468"/>
      <c r="S84" s="468"/>
      <c r="T84" s="468"/>
      <c r="U84" s="468"/>
      <c r="V84" s="469"/>
      <c r="W84" s="469"/>
      <c r="X84" s="469"/>
      <c r="Y84" s="470"/>
      <c r="Z84" s="470"/>
      <c r="AA84" s="470"/>
      <c r="AB84" s="470"/>
      <c r="AC84" s="470"/>
      <c r="AD84" s="471"/>
      <c r="AF84" s="50"/>
    </row>
    <row r="85" spans="1:32" ht="30.75" customHeight="1">
      <c r="A85" s="459">
        <v>2</v>
      </c>
      <c r="B85" s="460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2"/>
      <c r="Z85" s="452"/>
      <c r="AA85" s="452"/>
      <c r="AB85" s="452"/>
      <c r="AC85" s="452"/>
      <c r="AD85" s="453"/>
      <c r="AF85" s="50"/>
    </row>
    <row r="86" spans="1:32" ht="30.75" customHeight="1" thickBot="1">
      <c r="A86" s="454">
        <v>3</v>
      </c>
      <c r="B86" s="455"/>
      <c r="C86" s="456"/>
      <c r="D86" s="456"/>
      <c r="E86" s="456"/>
      <c r="F86" s="456"/>
      <c r="G86" s="456"/>
      <c r="H86" s="456"/>
      <c r="I86" s="456"/>
      <c r="J86" s="456"/>
      <c r="K86" s="456"/>
      <c r="L86" s="456"/>
      <c r="M86" s="456"/>
      <c r="N86" s="456"/>
      <c r="O86" s="456"/>
      <c r="P86" s="456"/>
      <c r="Q86" s="456"/>
      <c r="R86" s="456"/>
      <c r="S86" s="456"/>
      <c r="T86" s="456"/>
      <c r="U86" s="456"/>
      <c r="V86" s="456"/>
      <c r="W86" s="456"/>
      <c r="X86" s="456"/>
      <c r="Y86" s="457"/>
      <c r="Z86" s="457"/>
      <c r="AA86" s="457"/>
      <c r="AB86" s="457"/>
      <c r="AC86" s="457"/>
      <c r="AD86" s="458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C964-6BC4-42F0-8B3F-3232E955BD48}">
  <dimension ref="A1:AF86"/>
  <sheetViews>
    <sheetView zoomScale="72" zoomScaleNormal="72" zoomScaleSheetLayoutView="70" workbookViewId="0">
      <selection activeCell="L14" sqref="L1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205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153" t="s">
        <v>17</v>
      </c>
      <c r="L5" s="153" t="s">
        <v>18</v>
      </c>
      <c r="M5" s="153" t="s">
        <v>19</v>
      </c>
      <c r="N5" s="15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0.20833333333333331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0.20833333333333331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125</v>
      </c>
      <c r="E8" s="53" t="s">
        <v>168</v>
      </c>
      <c r="F8" s="30" t="s">
        <v>141</v>
      </c>
      <c r="G8" s="33">
        <v>1</v>
      </c>
      <c r="H8" s="35">
        <v>24</v>
      </c>
      <c r="I8" s="7">
        <v>7700</v>
      </c>
      <c r="J8" s="14">
        <v>2327</v>
      </c>
      <c r="K8" s="15">
        <f>L8+1235+5044</f>
        <v>8606</v>
      </c>
      <c r="L8" s="15">
        <v>2327</v>
      </c>
      <c r="M8" s="15">
        <f t="shared" si="1"/>
        <v>2327</v>
      </c>
      <c r="N8" s="15">
        <v>0</v>
      </c>
      <c r="O8" s="58">
        <f t="shared" si="2"/>
        <v>0</v>
      </c>
      <c r="P8" s="39">
        <f t="shared" si="3"/>
        <v>10</v>
      </c>
      <c r="Q8" s="40">
        <f t="shared" si="4"/>
        <v>14</v>
      </c>
      <c r="R8" s="7"/>
      <c r="S8" s="6"/>
      <c r="T8" s="16"/>
      <c r="U8" s="16"/>
      <c r="V8" s="17">
        <v>14</v>
      </c>
      <c r="W8" s="5"/>
      <c r="X8" s="16"/>
      <c r="Y8" s="16"/>
      <c r="Z8" s="16"/>
      <c r="AA8" s="18"/>
      <c r="AB8" s="8">
        <f t="shared" si="5"/>
        <v>1</v>
      </c>
      <c r="AC8" s="9">
        <f t="shared" si="6"/>
        <v>0.41666666666666669</v>
      </c>
      <c r="AD8" s="10">
        <f t="shared" si="7"/>
        <v>0.41666666666666669</v>
      </c>
      <c r="AE8" s="36">
        <f t="shared" si="8"/>
        <v>0.20833333333333331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2392</v>
      </c>
      <c r="K9" s="15">
        <f>L9+1036+2500+4639+2951</f>
        <v>13518</v>
      </c>
      <c r="L9" s="15">
        <v>2392</v>
      </c>
      <c r="M9" s="15">
        <f t="shared" si="1"/>
        <v>2392</v>
      </c>
      <c r="N9" s="15">
        <v>0</v>
      </c>
      <c r="O9" s="58">
        <f t="shared" si="2"/>
        <v>0</v>
      </c>
      <c r="P9" s="39">
        <f t="shared" si="3"/>
        <v>10</v>
      </c>
      <c r="Q9" s="40">
        <f t="shared" si="4"/>
        <v>14</v>
      </c>
      <c r="R9" s="7"/>
      <c r="S9" s="6"/>
      <c r="T9" s="16"/>
      <c r="U9" s="16"/>
      <c r="V9" s="17">
        <v>14</v>
      </c>
      <c r="W9" s="5"/>
      <c r="X9" s="16"/>
      <c r="Y9" s="16"/>
      <c r="Z9" s="16"/>
      <c r="AA9" s="18"/>
      <c r="AB9" s="8">
        <f t="shared" si="5"/>
        <v>1</v>
      </c>
      <c r="AC9" s="9">
        <f t="shared" si="6"/>
        <v>0.41666666666666669</v>
      </c>
      <c r="AD9" s="10">
        <f t="shared" si="7"/>
        <v>0.41666666666666669</v>
      </c>
      <c r="AE9" s="36">
        <f t="shared" si="8"/>
        <v>0.20833333333333331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138</v>
      </c>
      <c r="D10" s="52" t="s">
        <v>139</v>
      </c>
      <c r="E10" s="53" t="s">
        <v>146</v>
      </c>
      <c r="F10" s="30" t="s">
        <v>140</v>
      </c>
      <c r="G10" s="33" t="s">
        <v>136</v>
      </c>
      <c r="H10" s="35">
        <v>24</v>
      </c>
      <c r="I10" s="7">
        <v>35000</v>
      </c>
      <c r="J10" s="5">
        <v>2517</v>
      </c>
      <c r="K10" s="15">
        <f>L10+3601+2209+6181+7284+1089+15594+5320+6949+5143+7270+3769</f>
        <v>66926</v>
      </c>
      <c r="L10" s="15">
        <v>2517</v>
      </c>
      <c r="M10" s="15">
        <f t="shared" si="1"/>
        <v>2517</v>
      </c>
      <c r="N10" s="15">
        <v>0</v>
      </c>
      <c r="O10" s="58">
        <f t="shared" si="2"/>
        <v>0</v>
      </c>
      <c r="P10" s="39">
        <f t="shared" si="3"/>
        <v>10</v>
      </c>
      <c r="Q10" s="40">
        <f t="shared" si="4"/>
        <v>14</v>
      </c>
      <c r="R10" s="7"/>
      <c r="S10" s="6"/>
      <c r="T10" s="16"/>
      <c r="U10" s="16"/>
      <c r="V10" s="17">
        <v>14</v>
      </c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0.41666666666666669</v>
      </c>
      <c r="AD10" s="10">
        <f>AC10*AB10*(1-O10)</f>
        <v>0.41666666666666669</v>
      </c>
      <c r="AE10" s="36">
        <f t="shared" si="8"/>
        <v>0.20833333333333331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117</v>
      </c>
      <c r="E11" s="53" t="s">
        <v>165</v>
      </c>
      <c r="F11" s="30" t="s">
        <v>141</v>
      </c>
      <c r="G11" s="33">
        <v>1</v>
      </c>
      <c r="H11" s="35">
        <v>24</v>
      </c>
      <c r="I11" s="7">
        <v>8000</v>
      </c>
      <c r="J11" s="5">
        <v>291</v>
      </c>
      <c r="K11" s="15">
        <f>L11+380</f>
        <v>671</v>
      </c>
      <c r="L11" s="15">
        <v>291</v>
      </c>
      <c r="M11" s="15">
        <f t="shared" si="1"/>
        <v>291</v>
      </c>
      <c r="N11" s="15">
        <v>0</v>
      </c>
      <c r="O11" s="58">
        <f t="shared" si="2"/>
        <v>0</v>
      </c>
      <c r="P11" s="39">
        <f t="shared" si="3"/>
        <v>2</v>
      </c>
      <c r="Q11" s="40">
        <f t="shared" si="4"/>
        <v>22</v>
      </c>
      <c r="R11" s="7"/>
      <c r="S11" s="6">
        <v>22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8.3333333333333329E-2</v>
      </c>
      <c r="AD11" s="10">
        <f>AC11*AB11*(1-O11)</f>
        <v>8.3333333333333329E-2</v>
      </c>
      <c r="AE11" s="36">
        <f t="shared" si="8"/>
        <v>0.20833333333333331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144</v>
      </c>
      <c r="F12" s="30" t="s">
        <v>121</v>
      </c>
      <c r="G12" s="33">
        <v>1</v>
      </c>
      <c r="H12" s="35">
        <v>24</v>
      </c>
      <c r="I12" s="7">
        <v>70000</v>
      </c>
      <c r="J12" s="14">
        <v>1875</v>
      </c>
      <c r="K12" s="15">
        <f>L12+2036+3193+2673+3958+1875</f>
        <v>13735</v>
      </c>
      <c r="L12" s="15"/>
      <c r="M12" s="15">
        <f t="shared" si="1"/>
        <v>0</v>
      </c>
      <c r="N12" s="15">
        <v>0</v>
      </c>
      <c r="O12" s="58" t="str">
        <f t="shared" si="2"/>
        <v>0</v>
      </c>
      <c r="P12" s="39" t="str">
        <f t="shared" si="3"/>
        <v>0</v>
      </c>
      <c r="Q12" s="40">
        <f t="shared" si="4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0</v>
      </c>
      <c r="AC12" s="9">
        <f t="shared" si="6"/>
        <v>0</v>
      </c>
      <c r="AD12" s="10">
        <f t="shared" ref="AD12:AD13" si="10">AC12*AB12*(1-O12)</f>
        <v>0</v>
      </c>
      <c r="AE12" s="36">
        <f t="shared" si="8"/>
        <v>0.20833333333333331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125</v>
      </c>
      <c r="E13" s="53" t="s">
        <v>201</v>
      </c>
      <c r="F13" s="30" t="s">
        <v>206</v>
      </c>
      <c r="G13" s="33">
        <v>1</v>
      </c>
      <c r="H13" s="35">
        <v>24</v>
      </c>
      <c r="I13" s="7">
        <v>1100</v>
      </c>
      <c r="J13" s="14">
        <v>1594</v>
      </c>
      <c r="K13" s="15">
        <f>L13</f>
        <v>1594</v>
      </c>
      <c r="L13" s="15">
        <v>1594</v>
      </c>
      <c r="M13" s="15">
        <f t="shared" si="1"/>
        <v>1594</v>
      </c>
      <c r="N13" s="15">
        <v>0</v>
      </c>
      <c r="O13" s="58">
        <f t="shared" si="2"/>
        <v>0</v>
      </c>
      <c r="P13" s="39">
        <f t="shared" si="3"/>
        <v>8</v>
      </c>
      <c r="Q13" s="40">
        <f t="shared" si="4"/>
        <v>16</v>
      </c>
      <c r="R13" s="7"/>
      <c r="S13" s="6"/>
      <c r="T13" s="16"/>
      <c r="U13" s="16"/>
      <c r="V13" s="17"/>
      <c r="W13" s="5">
        <v>16</v>
      </c>
      <c r="X13" s="16"/>
      <c r="Y13" s="16"/>
      <c r="Z13" s="16"/>
      <c r="AA13" s="18"/>
      <c r="AB13" s="8">
        <f t="shared" si="5"/>
        <v>1</v>
      </c>
      <c r="AC13" s="9">
        <f t="shared" si="6"/>
        <v>0.33333333333333331</v>
      </c>
      <c r="AD13" s="10">
        <f t="shared" si="10"/>
        <v>0.33333333333333331</v>
      </c>
      <c r="AE13" s="36">
        <f t="shared" si="8"/>
        <v>0.20833333333333331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124</v>
      </c>
      <c r="D14" s="52" t="s">
        <v>135</v>
      </c>
      <c r="E14" s="53" t="s">
        <v>143</v>
      </c>
      <c r="F14" s="30" t="s">
        <v>133</v>
      </c>
      <c r="G14" s="33">
        <v>1</v>
      </c>
      <c r="H14" s="35">
        <v>24</v>
      </c>
      <c r="I14" s="7">
        <v>10000</v>
      </c>
      <c r="J14" s="5">
        <v>3411</v>
      </c>
      <c r="K14" s="15">
        <f>L14+3232+3411</f>
        <v>6643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0.20833333333333331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124</v>
      </c>
      <c r="D15" s="52" t="s">
        <v>135</v>
      </c>
      <c r="E15" s="53" t="s">
        <v>148</v>
      </c>
      <c r="F15" s="12">
        <v>8301</v>
      </c>
      <c r="G15" s="12">
        <v>1</v>
      </c>
      <c r="H15" s="13">
        <v>24</v>
      </c>
      <c r="I15" s="31">
        <v>500</v>
      </c>
      <c r="J15" s="14">
        <v>2517</v>
      </c>
      <c r="K15" s="15">
        <f>L15+2517</f>
        <v>2517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0.20833333333333331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125</v>
      </c>
      <c r="E16" s="53" t="s">
        <v>149</v>
      </c>
      <c r="F16" s="30" t="s">
        <v>126</v>
      </c>
      <c r="G16" s="12">
        <v>1</v>
      </c>
      <c r="H16" s="13">
        <v>28</v>
      </c>
      <c r="I16" s="7">
        <v>70000</v>
      </c>
      <c r="J16" s="14">
        <v>2370</v>
      </c>
      <c r="K16" s="15">
        <f>L16+2620+5280+5157+5344+5134</f>
        <v>25905</v>
      </c>
      <c r="L16" s="15">
        <f>2370</f>
        <v>2370</v>
      </c>
      <c r="M16" s="15">
        <f t="shared" si="1"/>
        <v>2370</v>
      </c>
      <c r="N16" s="15">
        <v>0</v>
      </c>
      <c r="O16" s="58">
        <f t="shared" si="2"/>
        <v>0</v>
      </c>
      <c r="P16" s="39">
        <f t="shared" si="3"/>
        <v>10</v>
      </c>
      <c r="Q16" s="40">
        <f t="shared" si="4"/>
        <v>14</v>
      </c>
      <c r="R16" s="7"/>
      <c r="S16" s="6"/>
      <c r="T16" s="16"/>
      <c r="U16" s="16"/>
      <c r="V16" s="17">
        <v>14</v>
      </c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0.41666666666666669</v>
      </c>
      <c r="AD16" s="10">
        <f t="shared" si="7"/>
        <v>0.41666666666666669</v>
      </c>
      <c r="AE16" s="36">
        <f t="shared" si="8"/>
        <v>0.20833333333333331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124</v>
      </c>
      <c r="D17" s="52" t="s">
        <v>159</v>
      </c>
      <c r="E17" s="53" t="s">
        <v>160</v>
      </c>
      <c r="F17" s="30" t="s">
        <v>161</v>
      </c>
      <c r="G17" s="33">
        <v>1</v>
      </c>
      <c r="H17" s="35">
        <v>24</v>
      </c>
      <c r="I17" s="7">
        <v>7000</v>
      </c>
      <c r="J17" s="5">
        <v>2690</v>
      </c>
      <c r="K17" s="15">
        <f>L17+2981+5786</f>
        <v>11457</v>
      </c>
      <c r="L17" s="15">
        <v>2690</v>
      </c>
      <c r="M17" s="15">
        <f t="shared" si="1"/>
        <v>2690</v>
      </c>
      <c r="N17" s="15">
        <v>0</v>
      </c>
      <c r="O17" s="58">
        <f t="shared" si="2"/>
        <v>0</v>
      </c>
      <c r="P17" s="39">
        <f t="shared" si="3"/>
        <v>10</v>
      </c>
      <c r="Q17" s="40">
        <f t="shared" si="4"/>
        <v>14</v>
      </c>
      <c r="R17" s="7"/>
      <c r="S17" s="6"/>
      <c r="T17" s="16"/>
      <c r="U17" s="16"/>
      <c r="V17" s="17">
        <v>14</v>
      </c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0.41666666666666669</v>
      </c>
      <c r="AD17" s="10">
        <f t="shared" si="7"/>
        <v>0.41666666666666669</v>
      </c>
      <c r="AE17" s="36">
        <f t="shared" si="8"/>
        <v>0.20833333333333331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11" t="s">
        <v>114</v>
      </c>
      <c r="D18" s="52" t="s">
        <v>122</v>
      </c>
      <c r="E18" s="53" t="s">
        <v>147</v>
      </c>
      <c r="F18" s="30" t="s">
        <v>123</v>
      </c>
      <c r="G18" s="33">
        <v>1</v>
      </c>
      <c r="H18" s="35">
        <v>24</v>
      </c>
      <c r="I18" s="7">
        <v>70000</v>
      </c>
      <c r="J18" s="14">
        <v>2357</v>
      </c>
      <c r="K18" s="15">
        <f>L18+4362+4399+5240+5066</f>
        <v>21424</v>
      </c>
      <c r="L18" s="15">
        <v>2357</v>
      </c>
      <c r="M18" s="15">
        <f t="shared" si="1"/>
        <v>2357</v>
      </c>
      <c r="N18" s="15">
        <v>0</v>
      </c>
      <c r="O18" s="58">
        <f t="shared" si="2"/>
        <v>0</v>
      </c>
      <c r="P18" s="39">
        <f t="shared" si="3"/>
        <v>10</v>
      </c>
      <c r="Q18" s="40">
        <f t="shared" si="4"/>
        <v>14</v>
      </c>
      <c r="R18" s="7"/>
      <c r="S18" s="6"/>
      <c r="T18" s="16"/>
      <c r="U18" s="16"/>
      <c r="V18" s="17">
        <v>14</v>
      </c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0.41666666666666669</v>
      </c>
      <c r="AD18" s="10">
        <f t="shared" si="7"/>
        <v>0.41666666666666669</v>
      </c>
      <c r="AE18" s="36">
        <f t="shared" si="8"/>
        <v>0.20833333333333331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158</v>
      </c>
      <c r="F19" s="30" t="s">
        <v>121</v>
      </c>
      <c r="G19" s="33">
        <v>1</v>
      </c>
      <c r="H19" s="35">
        <v>24</v>
      </c>
      <c r="I19" s="7">
        <v>30000</v>
      </c>
      <c r="J19" s="14">
        <v>742</v>
      </c>
      <c r="K19" s="15">
        <f>L19+2932+4731</f>
        <v>8405</v>
      </c>
      <c r="L19" s="15">
        <v>742</v>
      </c>
      <c r="M19" s="15">
        <f t="shared" si="1"/>
        <v>742</v>
      </c>
      <c r="N19" s="15">
        <v>0</v>
      </c>
      <c r="O19" s="58">
        <f t="shared" si="2"/>
        <v>0</v>
      </c>
      <c r="P19" s="39">
        <f t="shared" si="3"/>
        <v>5</v>
      </c>
      <c r="Q19" s="40">
        <f t="shared" si="4"/>
        <v>19</v>
      </c>
      <c r="R19" s="7"/>
      <c r="S19" s="6">
        <v>19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0.20833333333333334</v>
      </c>
      <c r="AD19" s="10">
        <f t="shared" si="7"/>
        <v>0.20833333333333334</v>
      </c>
      <c r="AE19" s="36">
        <f t="shared" si="8"/>
        <v>0.20833333333333331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134</v>
      </c>
      <c r="F20" s="12" t="s">
        <v>116</v>
      </c>
      <c r="G20" s="12">
        <v>4</v>
      </c>
      <c r="H20" s="35">
        <v>20</v>
      </c>
      <c r="I20" s="7">
        <v>300000</v>
      </c>
      <c r="J20" s="14">
        <v>40484</v>
      </c>
      <c r="K20" s="15">
        <f>L20+40708+40480+40040+40484</f>
        <v>161712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0.20833333333333331</v>
      </c>
      <c r="AF20" s="87">
        <f t="shared" si="9"/>
        <v>15</v>
      </c>
    </row>
    <row r="21" spans="1:32" ht="31.5" customHeight="1" thickBot="1">
      <c r="A21" s="541" t="s">
        <v>34</v>
      </c>
      <c r="B21" s="542"/>
      <c r="C21" s="542"/>
      <c r="D21" s="542"/>
      <c r="E21" s="542"/>
      <c r="F21" s="542"/>
      <c r="G21" s="542"/>
      <c r="H21" s="543"/>
      <c r="I21" s="22">
        <f t="shared" ref="I21:N21" si="11">SUM(I6:I20)</f>
        <v>700300</v>
      </c>
      <c r="J21" s="19">
        <f t="shared" si="11"/>
        <v>67628</v>
      </c>
      <c r="K21" s="20">
        <f t="shared" si="11"/>
        <v>354661</v>
      </c>
      <c r="L21" s="21">
        <f t="shared" si="11"/>
        <v>17280</v>
      </c>
      <c r="M21" s="20">
        <f t="shared" si="11"/>
        <v>17280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75</v>
      </c>
      <c r="Q21" s="43">
        <f t="shared" si="12"/>
        <v>285</v>
      </c>
      <c r="R21" s="23">
        <f t="shared" si="12"/>
        <v>24</v>
      </c>
      <c r="S21" s="24">
        <f t="shared" si="12"/>
        <v>65</v>
      </c>
      <c r="T21" s="24">
        <f t="shared" si="12"/>
        <v>0</v>
      </c>
      <c r="U21" s="24">
        <f t="shared" si="12"/>
        <v>0</v>
      </c>
      <c r="V21" s="25">
        <f t="shared" si="12"/>
        <v>132</v>
      </c>
      <c r="W21" s="26">
        <f t="shared" si="12"/>
        <v>16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48</v>
      </c>
      <c r="AB21" s="28">
        <f>SUM(AB6:AB20)/15</f>
        <v>0.6</v>
      </c>
      <c r="AC21" s="4">
        <f>SUM(AC6:AC20)/15</f>
        <v>0.20833333333333331</v>
      </c>
      <c r="AD21" s="4">
        <f>SUM(AD6:AD20)/15</f>
        <v>0.20833333333333331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44" t="s">
        <v>45</v>
      </c>
      <c r="B48" s="544"/>
      <c r="C48" s="544"/>
      <c r="D48" s="544"/>
      <c r="E48" s="54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45" t="s">
        <v>207</v>
      </c>
      <c r="B49" s="546"/>
      <c r="C49" s="546"/>
      <c r="D49" s="546"/>
      <c r="E49" s="546"/>
      <c r="F49" s="546"/>
      <c r="G49" s="546"/>
      <c r="H49" s="546"/>
      <c r="I49" s="546"/>
      <c r="J49" s="546"/>
      <c r="K49" s="546"/>
      <c r="L49" s="546"/>
      <c r="M49" s="547"/>
      <c r="N49" s="548" t="s">
        <v>210</v>
      </c>
      <c r="O49" s="549"/>
      <c r="P49" s="549"/>
      <c r="Q49" s="549"/>
      <c r="R49" s="549"/>
      <c r="S49" s="549"/>
      <c r="T49" s="549"/>
      <c r="U49" s="549"/>
      <c r="V49" s="549"/>
      <c r="W49" s="549"/>
      <c r="X49" s="549"/>
      <c r="Y49" s="549"/>
      <c r="Z49" s="549"/>
      <c r="AA49" s="549"/>
      <c r="AB49" s="549"/>
      <c r="AC49" s="549"/>
      <c r="AD49" s="550"/>
    </row>
    <row r="50" spans="1:32" ht="27" customHeight="1">
      <c r="A50" s="551" t="s">
        <v>2</v>
      </c>
      <c r="B50" s="552"/>
      <c r="C50" s="154" t="s">
        <v>46</v>
      </c>
      <c r="D50" s="154" t="s">
        <v>47</v>
      </c>
      <c r="E50" s="154" t="s">
        <v>108</v>
      </c>
      <c r="F50" s="552" t="s">
        <v>107</v>
      </c>
      <c r="G50" s="552"/>
      <c r="H50" s="552"/>
      <c r="I50" s="552"/>
      <c r="J50" s="552"/>
      <c r="K50" s="552"/>
      <c r="L50" s="552"/>
      <c r="M50" s="553"/>
      <c r="N50" s="67" t="s">
        <v>112</v>
      </c>
      <c r="O50" s="154" t="s">
        <v>46</v>
      </c>
      <c r="P50" s="554" t="s">
        <v>47</v>
      </c>
      <c r="Q50" s="555"/>
      <c r="R50" s="554" t="s">
        <v>38</v>
      </c>
      <c r="S50" s="556"/>
      <c r="T50" s="556"/>
      <c r="U50" s="555"/>
      <c r="V50" s="554" t="s">
        <v>48</v>
      </c>
      <c r="W50" s="556"/>
      <c r="X50" s="556"/>
      <c r="Y50" s="556"/>
      <c r="Z50" s="556"/>
      <c r="AA50" s="556"/>
      <c r="AB50" s="556"/>
      <c r="AC50" s="556"/>
      <c r="AD50" s="557"/>
    </row>
    <row r="51" spans="1:32" ht="27" customHeight="1">
      <c r="A51" s="524" t="s">
        <v>138</v>
      </c>
      <c r="B51" s="525"/>
      <c r="C51" s="156" t="s">
        <v>155</v>
      </c>
      <c r="D51" s="156" t="s">
        <v>156</v>
      </c>
      <c r="E51" s="156" t="s">
        <v>146</v>
      </c>
      <c r="F51" s="517" t="s">
        <v>157</v>
      </c>
      <c r="G51" s="518"/>
      <c r="H51" s="518"/>
      <c r="I51" s="518"/>
      <c r="J51" s="518"/>
      <c r="K51" s="518"/>
      <c r="L51" s="518"/>
      <c r="M51" s="526"/>
      <c r="N51" s="155" t="s">
        <v>114</v>
      </c>
      <c r="O51" s="160" t="s">
        <v>170</v>
      </c>
      <c r="P51" s="536" t="s">
        <v>212</v>
      </c>
      <c r="Q51" s="537"/>
      <c r="R51" s="536" t="s">
        <v>211</v>
      </c>
      <c r="S51" s="538"/>
      <c r="T51" s="538"/>
      <c r="U51" s="537"/>
      <c r="V51" s="503" t="s">
        <v>120</v>
      </c>
      <c r="W51" s="503"/>
      <c r="X51" s="503"/>
      <c r="Y51" s="503"/>
      <c r="Z51" s="503"/>
      <c r="AA51" s="503"/>
      <c r="AB51" s="503"/>
      <c r="AC51" s="503"/>
      <c r="AD51" s="527"/>
    </row>
    <row r="52" spans="1:32" ht="27" customHeight="1">
      <c r="A52" s="524" t="s">
        <v>124</v>
      </c>
      <c r="B52" s="525"/>
      <c r="C52" s="156" t="s">
        <v>132</v>
      </c>
      <c r="D52" s="156" t="s">
        <v>117</v>
      </c>
      <c r="E52" s="156" t="s">
        <v>165</v>
      </c>
      <c r="F52" s="517" t="s">
        <v>208</v>
      </c>
      <c r="G52" s="518"/>
      <c r="H52" s="518"/>
      <c r="I52" s="518"/>
      <c r="J52" s="518"/>
      <c r="K52" s="518"/>
      <c r="L52" s="518"/>
      <c r="M52" s="526"/>
      <c r="N52" s="155" t="s">
        <v>124</v>
      </c>
      <c r="O52" s="160" t="s">
        <v>132</v>
      </c>
      <c r="P52" s="536" t="s">
        <v>117</v>
      </c>
      <c r="Q52" s="537"/>
      <c r="R52" s="536" t="s">
        <v>165</v>
      </c>
      <c r="S52" s="538"/>
      <c r="T52" s="538"/>
      <c r="U52" s="537"/>
      <c r="V52" s="503" t="s">
        <v>157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124</v>
      </c>
      <c r="B53" s="525"/>
      <c r="C53" s="156" t="s">
        <v>171</v>
      </c>
      <c r="D53" s="156" t="s">
        <v>117</v>
      </c>
      <c r="E53" s="156" t="s">
        <v>158</v>
      </c>
      <c r="F53" s="517" t="s">
        <v>209</v>
      </c>
      <c r="G53" s="518"/>
      <c r="H53" s="518"/>
      <c r="I53" s="518"/>
      <c r="J53" s="518"/>
      <c r="K53" s="518"/>
      <c r="L53" s="518"/>
      <c r="M53" s="526"/>
      <c r="N53" s="155" t="s">
        <v>114</v>
      </c>
      <c r="O53" s="160" t="s">
        <v>150</v>
      </c>
      <c r="P53" s="536" t="s">
        <v>117</v>
      </c>
      <c r="Q53" s="537"/>
      <c r="R53" s="536" t="s">
        <v>144</v>
      </c>
      <c r="S53" s="538"/>
      <c r="T53" s="538"/>
      <c r="U53" s="537"/>
      <c r="V53" s="503" t="s">
        <v>157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114</v>
      </c>
      <c r="B54" s="525"/>
      <c r="C54" s="156" t="s">
        <v>179</v>
      </c>
      <c r="D54" s="156" t="s">
        <v>125</v>
      </c>
      <c r="E54" s="156" t="s">
        <v>201</v>
      </c>
      <c r="F54" s="517" t="s">
        <v>120</v>
      </c>
      <c r="G54" s="518"/>
      <c r="H54" s="518"/>
      <c r="I54" s="518"/>
      <c r="J54" s="518"/>
      <c r="K54" s="518"/>
      <c r="L54" s="518"/>
      <c r="M54" s="526"/>
      <c r="N54" s="155"/>
      <c r="O54" s="160"/>
      <c r="P54" s="536"/>
      <c r="Q54" s="537"/>
      <c r="R54" s="525"/>
      <c r="S54" s="525"/>
      <c r="T54" s="525"/>
      <c r="U54" s="525"/>
      <c r="V54" s="503"/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/>
      <c r="B55" s="525"/>
      <c r="C55" s="156"/>
      <c r="D55" s="156"/>
      <c r="E55" s="156"/>
      <c r="F55" s="517"/>
      <c r="G55" s="518"/>
      <c r="H55" s="518"/>
      <c r="I55" s="518"/>
      <c r="J55" s="518"/>
      <c r="K55" s="518"/>
      <c r="L55" s="518"/>
      <c r="M55" s="526"/>
      <c r="N55" s="155"/>
      <c r="O55" s="160"/>
      <c r="P55" s="536"/>
      <c r="Q55" s="537"/>
      <c r="R55" s="536"/>
      <c r="S55" s="538"/>
      <c r="T55" s="538"/>
      <c r="U55" s="537"/>
      <c r="V55" s="503"/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/>
      <c r="B56" s="525"/>
      <c r="C56" s="156"/>
      <c r="D56" s="156"/>
      <c r="E56" s="156"/>
      <c r="F56" s="517"/>
      <c r="G56" s="518"/>
      <c r="H56" s="518"/>
      <c r="I56" s="518"/>
      <c r="J56" s="518"/>
      <c r="K56" s="518"/>
      <c r="L56" s="518"/>
      <c r="M56" s="526"/>
      <c r="N56" s="155"/>
      <c r="O56" s="160"/>
      <c r="P56" s="536"/>
      <c r="Q56" s="537"/>
      <c r="R56" s="525"/>
      <c r="S56" s="525"/>
      <c r="T56" s="525"/>
      <c r="U56" s="525"/>
      <c r="V56" s="503"/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/>
      <c r="B57" s="525"/>
      <c r="C57" s="156"/>
      <c r="D57" s="156"/>
      <c r="E57" s="156"/>
      <c r="F57" s="517"/>
      <c r="G57" s="518"/>
      <c r="H57" s="518"/>
      <c r="I57" s="518"/>
      <c r="J57" s="518"/>
      <c r="K57" s="518"/>
      <c r="L57" s="518"/>
      <c r="M57" s="526"/>
      <c r="N57" s="155"/>
      <c r="O57" s="160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/>
      <c r="B58" s="525"/>
      <c r="C58" s="156"/>
      <c r="D58" s="156"/>
      <c r="E58" s="156"/>
      <c r="F58" s="517"/>
      <c r="G58" s="518"/>
      <c r="H58" s="518"/>
      <c r="I58" s="518"/>
      <c r="J58" s="518"/>
      <c r="K58" s="518"/>
      <c r="L58" s="518"/>
      <c r="M58" s="526"/>
      <c r="N58" s="155"/>
      <c r="O58" s="160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/>
      <c r="B59" s="525"/>
      <c r="C59" s="156"/>
      <c r="D59" s="156"/>
      <c r="E59" s="156"/>
      <c r="F59" s="517"/>
      <c r="G59" s="518"/>
      <c r="H59" s="518"/>
      <c r="I59" s="518"/>
      <c r="J59" s="518"/>
      <c r="K59" s="518"/>
      <c r="L59" s="518"/>
      <c r="M59" s="526"/>
      <c r="N59" s="155"/>
      <c r="O59" s="160"/>
      <c r="P59" s="525"/>
      <c r="Q59" s="525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  <c r="AF59" s="87">
        <f>8*3000</f>
        <v>24000</v>
      </c>
    </row>
    <row r="60" spans="1:32" ht="27" customHeight="1" thickBot="1">
      <c r="A60" s="528"/>
      <c r="B60" s="529"/>
      <c r="C60" s="157"/>
      <c r="D60" s="157"/>
      <c r="E60" s="157"/>
      <c r="F60" s="530"/>
      <c r="G60" s="531"/>
      <c r="H60" s="531"/>
      <c r="I60" s="531"/>
      <c r="J60" s="531"/>
      <c r="K60" s="531"/>
      <c r="L60" s="531"/>
      <c r="M60" s="532"/>
      <c r="N60" s="124"/>
      <c r="O60" s="114"/>
      <c r="P60" s="533"/>
      <c r="Q60" s="533"/>
      <c r="R60" s="533"/>
      <c r="S60" s="533"/>
      <c r="T60" s="533"/>
      <c r="U60" s="533"/>
      <c r="V60" s="534"/>
      <c r="W60" s="534"/>
      <c r="X60" s="534"/>
      <c r="Y60" s="534"/>
      <c r="Z60" s="534"/>
      <c r="AA60" s="534"/>
      <c r="AB60" s="534"/>
      <c r="AC60" s="534"/>
      <c r="AD60" s="535"/>
      <c r="AF60" s="87">
        <f>16*3000</f>
        <v>48000</v>
      </c>
    </row>
    <row r="61" spans="1:32" ht="27.75" thickBot="1">
      <c r="A61" s="522" t="s">
        <v>213</v>
      </c>
      <c r="B61" s="522"/>
      <c r="C61" s="522"/>
      <c r="D61" s="522"/>
      <c r="E61" s="522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523" t="s">
        <v>113</v>
      </c>
      <c r="B62" s="515"/>
      <c r="C62" s="158" t="s">
        <v>2</v>
      </c>
      <c r="D62" s="158" t="s">
        <v>37</v>
      </c>
      <c r="E62" s="158" t="s">
        <v>3</v>
      </c>
      <c r="F62" s="515" t="s">
        <v>110</v>
      </c>
      <c r="G62" s="515"/>
      <c r="H62" s="515"/>
      <c r="I62" s="515"/>
      <c r="J62" s="515"/>
      <c r="K62" s="515" t="s">
        <v>39</v>
      </c>
      <c r="L62" s="515"/>
      <c r="M62" s="158" t="s">
        <v>40</v>
      </c>
      <c r="N62" s="515" t="s">
        <v>41</v>
      </c>
      <c r="O62" s="515"/>
      <c r="P62" s="512" t="s">
        <v>42</v>
      </c>
      <c r="Q62" s="514"/>
      <c r="R62" s="512" t="s">
        <v>43</v>
      </c>
      <c r="S62" s="513"/>
      <c r="T62" s="513"/>
      <c r="U62" s="513"/>
      <c r="V62" s="513"/>
      <c r="W62" s="513"/>
      <c r="X62" s="513"/>
      <c r="Y62" s="513"/>
      <c r="Z62" s="513"/>
      <c r="AA62" s="514"/>
      <c r="AB62" s="515" t="s">
        <v>44</v>
      </c>
      <c r="AC62" s="515"/>
      <c r="AD62" s="516"/>
      <c r="AF62" s="87">
        <f>SUM(AF59:AF61)</f>
        <v>96000</v>
      </c>
    </row>
    <row r="63" spans="1:32" ht="25.5" customHeight="1">
      <c r="A63" s="498">
        <v>1</v>
      </c>
      <c r="B63" s="499"/>
      <c r="C63" s="117" t="s">
        <v>214</v>
      </c>
      <c r="D63" s="162"/>
      <c r="E63" s="159"/>
      <c r="F63" s="500" t="s">
        <v>215</v>
      </c>
      <c r="G63" s="492"/>
      <c r="H63" s="492"/>
      <c r="I63" s="492"/>
      <c r="J63" s="492"/>
      <c r="K63" s="492">
        <v>8301</v>
      </c>
      <c r="L63" s="492"/>
      <c r="M63" s="51" t="s">
        <v>216</v>
      </c>
      <c r="N63" s="501" t="s">
        <v>217</v>
      </c>
      <c r="O63" s="501"/>
      <c r="P63" s="502">
        <v>150</v>
      </c>
      <c r="Q63" s="502"/>
      <c r="R63" s="503" t="s">
        <v>218</v>
      </c>
      <c r="S63" s="503"/>
      <c r="T63" s="503"/>
      <c r="U63" s="503"/>
      <c r="V63" s="503"/>
      <c r="W63" s="503"/>
      <c r="X63" s="503"/>
      <c r="Y63" s="503"/>
      <c r="Z63" s="503"/>
      <c r="AA63" s="503"/>
      <c r="AB63" s="507"/>
      <c r="AC63" s="520"/>
      <c r="AD63" s="521"/>
      <c r="AF63" s="50"/>
    </row>
    <row r="64" spans="1:32" ht="25.5" customHeight="1">
      <c r="A64" s="498">
        <v>2</v>
      </c>
      <c r="B64" s="499"/>
      <c r="C64" s="117"/>
      <c r="D64" s="162"/>
      <c r="E64" s="159"/>
      <c r="F64" s="504"/>
      <c r="G64" s="505"/>
      <c r="H64" s="505"/>
      <c r="I64" s="505"/>
      <c r="J64" s="506"/>
      <c r="K64" s="507"/>
      <c r="L64" s="499"/>
      <c r="M64" s="51"/>
      <c r="N64" s="508"/>
      <c r="O64" s="509"/>
      <c r="P64" s="510"/>
      <c r="Q64" s="511"/>
      <c r="R64" s="503"/>
      <c r="S64" s="503"/>
      <c r="T64" s="503"/>
      <c r="U64" s="503"/>
      <c r="V64" s="503"/>
      <c r="W64" s="503"/>
      <c r="X64" s="503"/>
      <c r="Y64" s="503"/>
      <c r="Z64" s="503"/>
      <c r="AA64" s="503"/>
      <c r="AB64" s="492"/>
      <c r="AC64" s="492"/>
      <c r="AD64" s="493"/>
      <c r="AF64" s="50"/>
    </row>
    <row r="65" spans="1:32" ht="25.5" customHeight="1">
      <c r="A65" s="498">
        <v>3</v>
      </c>
      <c r="B65" s="499"/>
      <c r="C65" s="117"/>
      <c r="D65" s="162"/>
      <c r="E65" s="159"/>
      <c r="F65" s="504"/>
      <c r="G65" s="505"/>
      <c r="H65" s="505"/>
      <c r="I65" s="505"/>
      <c r="J65" s="506"/>
      <c r="K65" s="507"/>
      <c r="L65" s="499"/>
      <c r="M65" s="51"/>
      <c r="N65" s="508"/>
      <c r="O65" s="509"/>
      <c r="P65" s="510"/>
      <c r="Q65" s="511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4</v>
      </c>
      <c r="B66" s="499"/>
      <c r="C66" s="117"/>
      <c r="D66" s="162"/>
      <c r="E66" s="159"/>
      <c r="F66" s="500"/>
      <c r="G66" s="492"/>
      <c r="H66" s="492"/>
      <c r="I66" s="492"/>
      <c r="J66" s="492"/>
      <c r="K66" s="492"/>
      <c r="L66" s="492"/>
      <c r="M66" s="51"/>
      <c r="N66" s="501"/>
      <c r="O66" s="501"/>
      <c r="P66" s="502"/>
      <c r="Q66" s="502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5</v>
      </c>
      <c r="B67" s="499"/>
      <c r="C67" s="117"/>
      <c r="D67" s="162"/>
      <c r="E67" s="159"/>
      <c r="F67" s="500"/>
      <c r="G67" s="492"/>
      <c r="H67" s="492"/>
      <c r="I67" s="492"/>
      <c r="J67" s="492"/>
      <c r="K67" s="492"/>
      <c r="L67" s="492"/>
      <c r="M67" s="51"/>
      <c r="N67" s="501"/>
      <c r="O67" s="501"/>
      <c r="P67" s="502"/>
      <c r="Q67" s="502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6</v>
      </c>
      <c r="B68" s="499"/>
      <c r="C68" s="117"/>
      <c r="D68" s="162"/>
      <c r="E68" s="159"/>
      <c r="F68" s="500"/>
      <c r="G68" s="492"/>
      <c r="H68" s="492"/>
      <c r="I68" s="492"/>
      <c r="J68" s="492"/>
      <c r="K68" s="492"/>
      <c r="L68" s="492"/>
      <c r="M68" s="51"/>
      <c r="N68" s="501"/>
      <c r="O68" s="501"/>
      <c r="P68" s="502"/>
      <c r="Q68" s="502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7</v>
      </c>
      <c r="B69" s="499"/>
      <c r="C69" s="117"/>
      <c r="D69" s="162"/>
      <c r="E69" s="159"/>
      <c r="F69" s="500"/>
      <c r="G69" s="492"/>
      <c r="H69" s="492"/>
      <c r="I69" s="492"/>
      <c r="J69" s="492"/>
      <c r="K69" s="492"/>
      <c r="L69" s="492"/>
      <c r="M69" s="51"/>
      <c r="N69" s="501"/>
      <c r="O69" s="501"/>
      <c r="P69" s="502"/>
      <c r="Q69" s="502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8</v>
      </c>
      <c r="B70" s="499"/>
      <c r="C70" s="117"/>
      <c r="D70" s="162"/>
      <c r="E70" s="159"/>
      <c r="F70" s="500"/>
      <c r="G70" s="492"/>
      <c r="H70" s="492"/>
      <c r="I70" s="492"/>
      <c r="J70" s="492"/>
      <c r="K70" s="492"/>
      <c r="L70" s="492"/>
      <c r="M70" s="51"/>
      <c r="N70" s="501"/>
      <c r="O70" s="501"/>
      <c r="P70" s="502"/>
      <c r="Q70" s="502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6.25" customHeight="1" thickBot="1">
      <c r="A71" s="472" t="s">
        <v>219</v>
      </c>
      <c r="B71" s="472"/>
      <c r="C71" s="472"/>
      <c r="D71" s="472"/>
      <c r="E71" s="47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73" t="s">
        <v>113</v>
      </c>
      <c r="B72" s="474"/>
      <c r="C72" s="161" t="s">
        <v>2</v>
      </c>
      <c r="D72" s="161" t="s">
        <v>37</v>
      </c>
      <c r="E72" s="161" t="s">
        <v>3</v>
      </c>
      <c r="F72" s="474" t="s">
        <v>38</v>
      </c>
      <c r="G72" s="474"/>
      <c r="H72" s="474"/>
      <c r="I72" s="474"/>
      <c r="J72" s="474"/>
      <c r="K72" s="494" t="s">
        <v>58</v>
      </c>
      <c r="L72" s="495"/>
      <c r="M72" s="495"/>
      <c r="N72" s="495"/>
      <c r="O72" s="495"/>
      <c r="P72" s="495"/>
      <c r="Q72" s="495"/>
      <c r="R72" s="495"/>
      <c r="S72" s="496"/>
      <c r="T72" s="474" t="s">
        <v>49</v>
      </c>
      <c r="U72" s="474"/>
      <c r="V72" s="494" t="s">
        <v>50</v>
      </c>
      <c r="W72" s="496"/>
      <c r="X72" s="495" t="s">
        <v>51</v>
      </c>
      <c r="Y72" s="495"/>
      <c r="Z72" s="495"/>
      <c r="AA72" s="495"/>
      <c r="AB72" s="495"/>
      <c r="AC72" s="495"/>
      <c r="AD72" s="497"/>
      <c r="AF72" s="50"/>
    </row>
    <row r="73" spans="1:32" ht="33.75" customHeight="1">
      <c r="A73" s="466">
        <v>1</v>
      </c>
      <c r="B73" s="467"/>
      <c r="C73" s="163" t="s">
        <v>114</v>
      </c>
      <c r="D73" s="163"/>
      <c r="E73" s="65" t="s">
        <v>119</v>
      </c>
      <c r="F73" s="481" t="s">
        <v>118</v>
      </c>
      <c r="G73" s="482"/>
      <c r="H73" s="482"/>
      <c r="I73" s="482"/>
      <c r="J73" s="483"/>
      <c r="K73" s="484" t="s">
        <v>130</v>
      </c>
      <c r="L73" s="485"/>
      <c r="M73" s="485"/>
      <c r="N73" s="485"/>
      <c r="O73" s="485"/>
      <c r="P73" s="485"/>
      <c r="Q73" s="485"/>
      <c r="R73" s="485"/>
      <c r="S73" s="486"/>
      <c r="T73" s="487">
        <v>43675</v>
      </c>
      <c r="U73" s="488"/>
      <c r="V73" s="489"/>
      <c r="W73" s="489"/>
      <c r="X73" s="490"/>
      <c r="Y73" s="490"/>
      <c r="Z73" s="490"/>
      <c r="AA73" s="490"/>
      <c r="AB73" s="490"/>
      <c r="AC73" s="490"/>
      <c r="AD73" s="491"/>
      <c r="AF73" s="50"/>
    </row>
    <row r="74" spans="1:32" ht="30" customHeight="1">
      <c r="A74" s="459">
        <f>A73+1</f>
        <v>2</v>
      </c>
      <c r="B74" s="460"/>
      <c r="C74" s="162"/>
      <c r="D74" s="162"/>
      <c r="E74" s="32"/>
      <c r="F74" s="460"/>
      <c r="G74" s="460"/>
      <c r="H74" s="460"/>
      <c r="I74" s="460"/>
      <c r="J74" s="460"/>
      <c r="K74" s="475"/>
      <c r="L74" s="476"/>
      <c r="M74" s="476"/>
      <c r="N74" s="476"/>
      <c r="O74" s="476"/>
      <c r="P74" s="476"/>
      <c r="Q74" s="476"/>
      <c r="R74" s="476"/>
      <c r="S74" s="477"/>
      <c r="T74" s="478"/>
      <c r="U74" s="478"/>
      <c r="V74" s="478"/>
      <c r="W74" s="478"/>
      <c r="X74" s="479"/>
      <c r="Y74" s="479"/>
      <c r="Z74" s="479"/>
      <c r="AA74" s="479"/>
      <c r="AB74" s="479"/>
      <c r="AC74" s="479"/>
      <c r="AD74" s="480"/>
      <c r="AF74" s="50"/>
    </row>
    <row r="75" spans="1:32" ht="30" customHeight="1">
      <c r="A75" s="459">
        <f t="shared" ref="A75:A81" si="13">A74+1</f>
        <v>3</v>
      </c>
      <c r="B75" s="460"/>
      <c r="C75" s="162"/>
      <c r="D75" s="162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si="13"/>
        <v>4</v>
      </c>
      <c r="B76" s="460"/>
      <c r="C76" s="162"/>
      <c r="D76" s="162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13"/>
        <v>5</v>
      </c>
      <c r="B77" s="460"/>
      <c r="C77" s="162"/>
      <c r="D77" s="162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13"/>
        <v>6</v>
      </c>
      <c r="B78" s="460"/>
      <c r="C78" s="162"/>
      <c r="D78" s="162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13"/>
        <v>7</v>
      </c>
      <c r="B79" s="460"/>
      <c r="C79" s="162"/>
      <c r="D79" s="162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13"/>
        <v>8</v>
      </c>
      <c r="B80" s="460"/>
      <c r="C80" s="162"/>
      <c r="D80" s="162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13"/>
        <v>9</v>
      </c>
      <c r="B81" s="460"/>
      <c r="C81" s="162"/>
      <c r="D81" s="162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6" thickBot="1">
      <c r="A82" s="472" t="s">
        <v>220</v>
      </c>
      <c r="B82" s="472"/>
      <c r="C82" s="472"/>
      <c r="D82" s="472"/>
      <c r="E82" s="47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73" t="s">
        <v>113</v>
      </c>
      <c r="B83" s="474"/>
      <c r="C83" s="464" t="s">
        <v>52</v>
      </c>
      <c r="D83" s="464"/>
      <c r="E83" s="464" t="s">
        <v>53</v>
      </c>
      <c r="F83" s="464"/>
      <c r="G83" s="464"/>
      <c r="H83" s="464"/>
      <c r="I83" s="464"/>
      <c r="J83" s="464"/>
      <c r="K83" s="464" t="s">
        <v>54</v>
      </c>
      <c r="L83" s="464"/>
      <c r="M83" s="464"/>
      <c r="N83" s="464"/>
      <c r="O83" s="464"/>
      <c r="P83" s="464"/>
      <c r="Q83" s="464"/>
      <c r="R83" s="464"/>
      <c r="S83" s="464"/>
      <c r="T83" s="464" t="s">
        <v>55</v>
      </c>
      <c r="U83" s="464"/>
      <c r="V83" s="464" t="s">
        <v>56</v>
      </c>
      <c r="W83" s="464"/>
      <c r="X83" s="464"/>
      <c r="Y83" s="464" t="s">
        <v>51</v>
      </c>
      <c r="Z83" s="464"/>
      <c r="AA83" s="464"/>
      <c r="AB83" s="464"/>
      <c r="AC83" s="464"/>
      <c r="AD83" s="465"/>
      <c r="AF83" s="50"/>
    </row>
    <row r="84" spans="1:32" ht="30.75" customHeight="1">
      <c r="A84" s="466">
        <v>1</v>
      </c>
      <c r="B84" s="467"/>
      <c r="C84" s="468"/>
      <c r="D84" s="468"/>
      <c r="E84" s="468"/>
      <c r="F84" s="468"/>
      <c r="G84" s="468"/>
      <c r="H84" s="468"/>
      <c r="I84" s="468"/>
      <c r="J84" s="468"/>
      <c r="K84" s="468"/>
      <c r="L84" s="468"/>
      <c r="M84" s="468"/>
      <c r="N84" s="468"/>
      <c r="O84" s="468"/>
      <c r="P84" s="468"/>
      <c r="Q84" s="468"/>
      <c r="R84" s="468"/>
      <c r="S84" s="468"/>
      <c r="T84" s="468"/>
      <c r="U84" s="468"/>
      <c r="V84" s="469"/>
      <c r="W84" s="469"/>
      <c r="X84" s="469"/>
      <c r="Y84" s="470"/>
      <c r="Z84" s="470"/>
      <c r="AA84" s="470"/>
      <c r="AB84" s="470"/>
      <c r="AC84" s="470"/>
      <c r="AD84" s="471"/>
      <c r="AF84" s="50"/>
    </row>
    <row r="85" spans="1:32" ht="30.75" customHeight="1">
      <c r="A85" s="459">
        <v>2</v>
      </c>
      <c r="B85" s="460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2"/>
      <c r="Z85" s="452"/>
      <c r="AA85" s="452"/>
      <c r="AB85" s="452"/>
      <c r="AC85" s="452"/>
      <c r="AD85" s="453"/>
      <c r="AF85" s="50"/>
    </row>
    <row r="86" spans="1:32" ht="30.75" customHeight="1" thickBot="1">
      <c r="A86" s="454">
        <v>3</v>
      </c>
      <c r="B86" s="455"/>
      <c r="C86" s="456"/>
      <c r="D86" s="456"/>
      <c r="E86" s="456"/>
      <c r="F86" s="456"/>
      <c r="G86" s="456"/>
      <c r="H86" s="456"/>
      <c r="I86" s="456"/>
      <c r="J86" s="456"/>
      <c r="K86" s="456"/>
      <c r="L86" s="456"/>
      <c r="M86" s="456"/>
      <c r="N86" s="456"/>
      <c r="O86" s="456"/>
      <c r="P86" s="456"/>
      <c r="Q86" s="456"/>
      <c r="R86" s="456"/>
      <c r="S86" s="456"/>
      <c r="T86" s="456"/>
      <c r="U86" s="456"/>
      <c r="V86" s="456"/>
      <c r="W86" s="456"/>
      <c r="X86" s="456"/>
      <c r="Y86" s="457"/>
      <c r="Z86" s="457"/>
      <c r="AA86" s="457"/>
      <c r="AB86" s="457"/>
      <c r="AC86" s="457"/>
      <c r="AD86" s="458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A44B-F350-4613-999C-11C5678C44C2}">
  <dimension ref="A1:AF86"/>
  <sheetViews>
    <sheetView zoomScale="72" zoomScaleNormal="72" zoomScaleSheetLayoutView="70" workbookViewId="0">
      <selection activeCell="A11" sqref="A11:XFD1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221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174" t="s">
        <v>17</v>
      </c>
      <c r="L5" s="174" t="s">
        <v>18</v>
      </c>
      <c r="M5" s="174" t="s">
        <v>19</v>
      </c>
      <c r="N5" s="17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0.30555555555555558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0.30555555555555558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114</v>
      </c>
      <c r="D8" s="52" t="s">
        <v>222</v>
      </c>
      <c r="E8" s="53" t="s">
        <v>211</v>
      </c>
      <c r="F8" s="30" t="s">
        <v>123</v>
      </c>
      <c r="G8" s="33">
        <v>1</v>
      </c>
      <c r="H8" s="35">
        <v>24</v>
      </c>
      <c r="I8" s="7">
        <v>14000</v>
      </c>
      <c r="J8" s="14">
        <v>1392</v>
      </c>
      <c r="K8" s="15">
        <f>L8</f>
        <v>1392</v>
      </c>
      <c r="L8" s="15">
        <f>1392</f>
        <v>1392</v>
      </c>
      <c r="M8" s="15">
        <f t="shared" si="1"/>
        <v>1392</v>
      </c>
      <c r="N8" s="15">
        <v>0</v>
      </c>
      <c r="O8" s="58">
        <f t="shared" si="2"/>
        <v>0</v>
      </c>
      <c r="P8" s="39">
        <f t="shared" si="3"/>
        <v>9</v>
      </c>
      <c r="Q8" s="40">
        <f t="shared" si="4"/>
        <v>15</v>
      </c>
      <c r="R8" s="7"/>
      <c r="S8" s="6">
        <v>15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0.375</v>
      </c>
      <c r="AD8" s="10">
        <f t="shared" si="7"/>
        <v>0.375</v>
      </c>
      <c r="AE8" s="36">
        <f t="shared" si="8"/>
        <v>0.30555555555555558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2902</v>
      </c>
      <c r="K9" s="15">
        <f>L9+1036+2500+4639+2951+2392</f>
        <v>16420</v>
      </c>
      <c r="L9" s="15">
        <f>320+2582</f>
        <v>2902</v>
      </c>
      <c r="M9" s="15">
        <f t="shared" si="1"/>
        <v>2902</v>
      </c>
      <c r="N9" s="15">
        <v>0</v>
      </c>
      <c r="O9" s="58">
        <f t="shared" si="2"/>
        <v>0</v>
      </c>
      <c r="P9" s="39">
        <f t="shared" si="3"/>
        <v>14</v>
      </c>
      <c r="Q9" s="40">
        <f t="shared" si="4"/>
        <v>10</v>
      </c>
      <c r="R9" s="7"/>
      <c r="S9" s="6">
        <v>10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0.58333333333333337</v>
      </c>
      <c r="AD9" s="10">
        <f t="shared" si="7"/>
        <v>0.58333333333333337</v>
      </c>
      <c r="AE9" s="36">
        <f t="shared" si="8"/>
        <v>0.30555555555555558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138</v>
      </c>
      <c r="D10" s="52" t="s">
        <v>139</v>
      </c>
      <c r="E10" s="53" t="s">
        <v>146</v>
      </c>
      <c r="F10" s="30" t="s">
        <v>140</v>
      </c>
      <c r="G10" s="33" t="s">
        <v>136</v>
      </c>
      <c r="H10" s="35">
        <v>24</v>
      </c>
      <c r="I10" s="7">
        <v>35000</v>
      </c>
      <c r="J10" s="5">
        <v>6249</v>
      </c>
      <c r="K10" s="15">
        <f>L10+3601+2209+6181+7284+1089+15594+5320+6949+5143+7270+3769+2517</f>
        <v>73175</v>
      </c>
      <c r="L10" s="15">
        <f>4155+2094</f>
        <v>6249</v>
      </c>
      <c r="M10" s="15">
        <f t="shared" si="1"/>
        <v>6249</v>
      </c>
      <c r="N10" s="15">
        <v>0</v>
      </c>
      <c r="O10" s="58">
        <f t="shared" si="2"/>
        <v>0</v>
      </c>
      <c r="P10" s="39">
        <f t="shared" si="3"/>
        <v>19</v>
      </c>
      <c r="Q10" s="40">
        <f t="shared" si="4"/>
        <v>5</v>
      </c>
      <c r="R10" s="7"/>
      <c r="S10" s="6">
        <v>5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0.79166666666666663</v>
      </c>
      <c r="AD10" s="10">
        <f>AC10*AB10*(1-O10)</f>
        <v>0.79166666666666663</v>
      </c>
      <c r="AE10" s="36">
        <f t="shared" si="8"/>
        <v>0.30555555555555558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117</v>
      </c>
      <c r="E11" s="53" t="s">
        <v>165</v>
      </c>
      <c r="F11" s="30" t="s">
        <v>141</v>
      </c>
      <c r="G11" s="33">
        <v>1</v>
      </c>
      <c r="H11" s="35">
        <v>24</v>
      </c>
      <c r="I11" s="7">
        <v>8000</v>
      </c>
      <c r="J11" s="5">
        <v>291</v>
      </c>
      <c r="K11" s="15">
        <f>L11+380+291</f>
        <v>671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>AC11*AB11*(1-O11)</f>
        <v>0</v>
      </c>
      <c r="AE11" s="36">
        <f t="shared" si="8"/>
        <v>0.30555555555555558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144</v>
      </c>
      <c r="F12" s="30" t="s">
        <v>121</v>
      </c>
      <c r="G12" s="33">
        <v>1</v>
      </c>
      <c r="H12" s="35">
        <v>24</v>
      </c>
      <c r="I12" s="7">
        <v>70000</v>
      </c>
      <c r="J12" s="14">
        <v>401</v>
      </c>
      <c r="K12" s="15">
        <f>L12+2036+3193+2673+3958+1875</f>
        <v>14136</v>
      </c>
      <c r="L12" s="15">
        <v>401</v>
      </c>
      <c r="M12" s="15">
        <f t="shared" si="1"/>
        <v>401</v>
      </c>
      <c r="N12" s="15">
        <v>0</v>
      </c>
      <c r="O12" s="58">
        <f t="shared" si="2"/>
        <v>0</v>
      </c>
      <c r="P12" s="39">
        <f t="shared" si="3"/>
        <v>3</v>
      </c>
      <c r="Q12" s="40">
        <f t="shared" si="4"/>
        <v>21</v>
      </c>
      <c r="R12" s="7"/>
      <c r="S12" s="6">
        <v>21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0.125</v>
      </c>
      <c r="AD12" s="10">
        <f t="shared" ref="AD12:AD13" si="10">AC12*AB12*(1-O12)</f>
        <v>0.125</v>
      </c>
      <c r="AE12" s="36">
        <f t="shared" si="8"/>
        <v>0.30555555555555558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117</v>
      </c>
      <c r="E13" s="53" t="s">
        <v>223</v>
      </c>
      <c r="F13" s="30" t="s">
        <v>126</v>
      </c>
      <c r="G13" s="33">
        <v>1</v>
      </c>
      <c r="H13" s="35">
        <v>24</v>
      </c>
      <c r="I13" s="7">
        <v>300</v>
      </c>
      <c r="J13" s="14">
        <v>1594</v>
      </c>
      <c r="K13" s="15">
        <f>L13</f>
        <v>0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0</v>
      </c>
      <c r="AC13" s="9">
        <f t="shared" si="6"/>
        <v>0</v>
      </c>
      <c r="AD13" s="10">
        <f t="shared" si="10"/>
        <v>0</v>
      </c>
      <c r="AE13" s="36">
        <f t="shared" si="8"/>
        <v>0.30555555555555558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124</v>
      </c>
      <c r="D14" s="52" t="s">
        <v>135</v>
      </c>
      <c r="E14" s="53" t="s">
        <v>143</v>
      </c>
      <c r="F14" s="30" t="s">
        <v>133</v>
      </c>
      <c r="G14" s="33">
        <v>1</v>
      </c>
      <c r="H14" s="35">
        <v>24</v>
      </c>
      <c r="I14" s="7">
        <v>10000</v>
      </c>
      <c r="J14" s="5">
        <v>3411</v>
      </c>
      <c r="K14" s="15">
        <f>L14+3232+3411</f>
        <v>6643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0.30555555555555558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124</v>
      </c>
      <c r="D15" s="52" t="s">
        <v>135</v>
      </c>
      <c r="E15" s="53" t="s">
        <v>148</v>
      </c>
      <c r="F15" s="12">
        <v>8301</v>
      </c>
      <c r="G15" s="12">
        <v>1</v>
      </c>
      <c r="H15" s="13">
        <v>24</v>
      </c>
      <c r="I15" s="31">
        <v>500</v>
      </c>
      <c r="J15" s="14">
        <v>2517</v>
      </c>
      <c r="K15" s="15">
        <f>L15+2517</f>
        <v>2517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0.30555555555555558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125</v>
      </c>
      <c r="E16" s="53" t="s">
        <v>149</v>
      </c>
      <c r="F16" s="30" t="s">
        <v>126</v>
      </c>
      <c r="G16" s="12">
        <v>1</v>
      </c>
      <c r="H16" s="13">
        <v>28</v>
      </c>
      <c r="I16" s="7">
        <v>70000</v>
      </c>
      <c r="J16" s="14">
        <v>5096</v>
      </c>
      <c r="K16" s="15">
        <f>L16+2620+5280+5157+5344+5134+2370</f>
        <v>31001</v>
      </c>
      <c r="L16" s="15">
        <f>2217+2879</f>
        <v>5096</v>
      </c>
      <c r="M16" s="15">
        <f t="shared" si="1"/>
        <v>5096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0.30555555555555558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124</v>
      </c>
      <c r="D17" s="52" t="s">
        <v>159</v>
      </c>
      <c r="E17" s="53" t="s">
        <v>160</v>
      </c>
      <c r="F17" s="30" t="s">
        <v>161</v>
      </c>
      <c r="G17" s="33">
        <v>1</v>
      </c>
      <c r="H17" s="35">
        <v>24</v>
      </c>
      <c r="I17" s="7">
        <v>7000</v>
      </c>
      <c r="J17" s="5">
        <v>2690</v>
      </c>
      <c r="K17" s="15">
        <f>L17+2981+5786+2690</f>
        <v>11457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0.30555555555555558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11" t="s">
        <v>114</v>
      </c>
      <c r="D18" s="52" t="s">
        <v>122</v>
      </c>
      <c r="E18" s="53" t="s">
        <v>147</v>
      </c>
      <c r="F18" s="30" t="s">
        <v>123</v>
      </c>
      <c r="G18" s="33">
        <v>1</v>
      </c>
      <c r="H18" s="35">
        <v>24</v>
      </c>
      <c r="I18" s="7">
        <v>70000</v>
      </c>
      <c r="J18" s="14">
        <v>1993</v>
      </c>
      <c r="K18" s="15">
        <f>L18+4362+4399+5240+5066+2357</f>
        <v>23417</v>
      </c>
      <c r="L18" s="15">
        <v>1993</v>
      </c>
      <c r="M18" s="15">
        <f t="shared" si="1"/>
        <v>1993</v>
      </c>
      <c r="N18" s="15">
        <v>0</v>
      </c>
      <c r="O18" s="58">
        <f t="shared" si="2"/>
        <v>0</v>
      </c>
      <c r="P18" s="39">
        <f t="shared" si="3"/>
        <v>9</v>
      </c>
      <c r="Q18" s="40">
        <f t="shared" si="4"/>
        <v>15</v>
      </c>
      <c r="R18" s="7"/>
      <c r="S18" s="6">
        <v>15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0.375</v>
      </c>
      <c r="AD18" s="10">
        <f t="shared" si="7"/>
        <v>0.375</v>
      </c>
      <c r="AE18" s="36">
        <f t="shared" si="8"/>
        <v>0.30555555555555558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224</v>
      </c>
      <c r="F19" s="30" t="s">
        <v>121</v>
      </c>
      <c r="G19" s="33">
        <v>1</v>
      </c>
      <c r="H19" s="35">
        <v>24</v>
      </c>
      <c r="I19" s="7">
        <v>1000</v>
      </c>
      <c r="J19" s="14">
        <v>1487</v>
      </c>
      <c r="K19" s="15">
        <f>L19</f>
        <v>1487</v>
      </c>
      <c r="L19" s="15">
        <v>1487</v>
      </c>
      <c r="M19" s="15">
        <f t="shared" si="1"/>
        <v>1487</v>
      </c>
      <c r="N19" s="15">
        <v>0</v>
      </c>
      <c r="O19" s="58">
        <f t="shared" si="2"/>
        <v>0</v>
      </c>
      <c r="P19" s="39">
        <f t="shared" si="3"/>
        <v>8</v>
      </c>
      <c r="Q19" s="40">
        <f t="shared" si="4"/>
        <v>16</v>
      </c>
      <c r="R19" s="7"/>
      <c r="S19" s="6">
        <v>16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0.33333333333333331</v>
      </c>
      <c r="AD19" s="10">
        <f t="shared" si="7"/>
        <v>0.33333333333333331</v>
      </c>
      <c r="AE19" s="36">
        <f t="shared" si="8"/>
        <v>0.30555555555555558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134</v>
      </c>
      <c r="F20" s="12" t="s">
        <v>116</v>
      </c>
      <c r="G20" s="12">
        <v>4</v>
      </c>
      <c r="H20" s="35">
        <v>20</v>
      </c>
      <c r="I20" s="7">
        <v>300000</v>
      </c>
      <c r="J20" s="14">
        <v>64016</v>
      </c>
      <c r="K20" s="15">
        <f>L20+40708+40480+40040+40484</f>
        <v>225728</v>
      </c>
      <c r="L20" s="15">
        <f>8440*4+7564*4</f>
        <v>64016</v>
      </c>
      <c r="M20" s="15">
        <f t="shared" si="1"/>
        <v>64016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 t="shared" si="7"/>
        <v>1</v>
      </c>
      <c r="AE20" s="36">
        <f t="shared" si="8"/>
        <v>0.30555555555555558</v>
      </c>
      <c r="AF20" s="87">
        <f t="shared" si="9"/>
        <v>15</v>
      </c>
    </row>
    <row r="21" spans="1:32" ht="31.5" customHeight="1" thickBot="1">
      <c r="A21" s="541" t="s">
        <v>34</v>
      </c>
      <c r="B21" s="542"/>
      <c r="C21" s="542"/>
      <c r="D21" s="542"/>
      <c r="E21" s="542"/>
      <c r="F21" s="542"/>
      <c r="G21" s="542"/>
      <c r="H21" s="543"/>
      <c r="I21" s="22">
        <f t="shared" ref="I21:N21" si="11">SUM(I6:I20)</f>
        <v>676800</v>
      </c>
      <c r="J21" s="19">
        <f t="shared" si="11"/>
        <v>96100</v>
      </c>
      <c r="K21" s="20">
        <f t="shared" si="11"/>
        <v>419592</v>
      </c>
      <c r="L21" s="21">
        <f t="shared" si="11"/>
        <v>83536</v>
      </c>
      <c r="M21" s="20">
        <f t="shared" si="11"/>
        <v>83536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110</v>
      </c>
      <c r="Q21" s="43">
        <f t="shared" si="12"/>
        <v>250</v>
      </c>
      <c r="R21" s="23">
        <f t="shared" si="12"/>
        <v>24</v>
      </c>
      <c r="S21" s="24">
        <f t="shared" si="12"/>
        <v>130</v>
      </c>
      <c r="T21" s="24">
        <f t="shared" si="12"/>
        <v>0</v>
      </c>
      <c r="U21" s="24">
        <f t="shared" si="12"/>
        <v>0</v>
      </c>
      <c r="V21" s="25">
        <f t="shared" si="12"/>
        <v>24</v>
      </c>
      <c r="W21" s="26">
        <f t="shared" si="12"/>
        <v>72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0.53333333333333333</v>
      </c>
      <c r="AC21" s="4">
        <f>SUM(AC6:AC20)/15</f>
        <v>0.30555555555555558</v>
      </c>
      <c r="AD21" s="4">
        <f>SUM(AD6:AD20)/15</f>
        <v>0.30555555555555558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44" t="s">
        <v>45</v>
      </c>
      <c r="B48" s="544"/>
      <c r="C48" s="544"/>
      <c r="D48" s="544"/>
      <c r="E48" s="54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45" t="s">
        <v>225</v>
      </c>
      <c r="B49" s="546"/>
      <c r="C49" s="546"/>
      <c r="D49" s="546"/>
      <c r="E49" s="546"/>
      <c r="F49" s="546"/>
      <c r="G49" s="546"/>
      <c r="H49" s="546"/>
      <c r="I49" s="546"/>
      <c r="J49" s="546"/>
      <c r="K49" s="546"/>
      <c r="L49" s="546"/>
      <c r="M49" s="547"/>
      <c r="N49" s="548" t="s">
        <v>232</v>
      </c>
      <c r="O49" s="549"/>
      <c r="P49" s="549"/>
      <c r="Q49" s="549"/>
      <c r="R49" s="549"/>
      <c r="S49" s="549"/>
      <c r="T49" s="549"/>
      <c r="U49" s="549"/>
      <c r="V49" s="549"/>
      <c r="W49" s="549"/>
      <c r="X49" s="549"/>
      <c r="Y49" s="549"/>
      <c r="Z49" s="549"/>
      <c r="AA49" s="549"/>
      <c r="AB49" s="549"/>
      <c r="AC49" s="549"/>
      <c r="AD49" s="550"/>
    </row>
    <row r="50" spans="1:32" ht="27" customHeight="1">
      <c r="A50" s="551" t="s">
        <v>2</v>
      </c>
      <c r="B50" s="552"/>
      <c r="C50" s="173" t="s">
        <v>46</v>
      </c>
      <c r="D50" s="173" t="s">
        <v>47</v>
      </c>
      <c r="E50" s="173" t="s">
        <v>108</v>
      </c>
      <c r="F50" s="552" t="s">
        <v>107</v>
      </c>
      <c r="G50" s="552"/>
      <c r="H50" s="552"/>
      <c r="I50" s="552"/>
      <c r="J50" s="552"/>
      <c r="K50" s="552"/>
      <c r="L50" s="552"/>
      <c r="M50" s="553"/>
      <c r="N50" s="67" t="s">
        <v>112</v>
      </c>
      <c r="O50" s="173" t="s">
        <v>46</v>
      </c>
      <c r="P50" s="554" t="s">
        <v>47</v>
      </c>
      <c r="Q50" s="555"/>
      <c r="R50" s="554" t="s">
        <v>38</v>
      </c>
      <c r="S50" s="556"/>
      <c r="T50" s="556"/>
      <c r="U50" s="555"/>
      <c r="V50" s="554" t="s">
        <v>48</v>
      </c>
      <c r="W50" s="556"/>
      <c r="X50" s="556"/>
      <c r="Y50" s="556"/>
      <c r="Z50" s="556"/>
      <c r="AA50" s="556"/>
      <c r="AB50" s="556"/>
      <c r="AC50" s="556"/>
      <c r="AD50" s="557"/>
    </row>
    <row r="51" spans="1:32" ht="27" customHeight="1">
      <c r="A51" s="524" t="s">
        <v>138</v>
      </c>
      <c r="B51" s="525"/>
      <c r="C51" s="171" t="s">
        <v>155</v>
      </c>
      <c r="D51" s="171" t="s">
        <v>156</v>
      </c>
      <c r="E51" s="171" t="s">
        <v>146</v>
      </c>
      <c r="F51" s="517" t="s">
        <v>226</v>
      </c>
      <c r="G51" s="518"/>
      <c r="H51" s="518"/>
      <c r="I51" s="518"/>
      <c r="J51" s="518"/>
      <c r="K51" s="518"/>
      <c r="L51" s="518"/>
      <c r="M51" s="526"/>
      <c r="N51" s="170" t="s">
        <v>114</v>
      </c>
      <c r="O51" s="168" t="s">
        <v>170</v>
      </c>
      <c r="P51" s="536" t="s">
        <v>212</v>
      </c>
      <c r="Q51" s="537"/>
      <c r="R51" s="536" t="s">
        <v>211</v>
      </c>
      <c r="S51" s="538"/>
      <c r="T51" s="538"/>
      <c r="U51" s="537"/>
      <c r="V51" s="503" t="s">
        <v>157</v>
      </c>
      <c r="W51" s="503"/>
      <c r="X51" s="503"/>
      <c r="Y51" s="503"/>
      <c r="Z51" s="503"/>
      <c r="AA51" s="503"/>
      <c r="AB51" s="503"/>
      <c r="AC51" s="503"/>
      <c r="AD51" s="527"/>
    </row>
    <row r="52" spans="1:32" ht="27" customHeight="1">
      <c r="A52" s="524" t="s">
        <v>124</v>
      </c>
      <c r="B52" s="525"/>
      <c r="C52" s="171" t="s">
        <v>132</v>
      </c>
      <c r="D52" s="171" t="s">
        <v>117</v>
      </c>
      <c r="E52" s="171" t="s">
        <v>165</v>
      </c>
      <c r="F52" s="517" t="s">
        <v>227</v>
      </c>
      <c r="G52" s="518"/>
      <c r="H52" s="518"/>
      <c r="I52" s="518"/>
      <c r="J52" s="518"/>
      <c r="K52" s="518"/>
      <c r="L52" s="518"/>
      <c r="M52" s="526"/>
      <c r="N52" s="170" t="s">
        <v>124</v>
      </c>
      <c r="O52" s="168" t="s">
        <v>234</v>
      </c>
      <c r="P52" s="536" t="s">
        <v>117</v>
      </c>
      <c r="Q52" s="537"/>
      <c r="R52" s="536" t="s">
        <v>165</v>
      </c>
      <c r="S52" s="538"/>
      <c r="T52" s="538"/>
      <c r="U52" s="537"/>
      <c r="V52" s="503" t="s">
        <v>157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124</v>
      </c>
      <c r="B53" s="525"/>
      <c r="C53" s="171" t="s">
        <v>171</v>
      </c>
      <c r="D53" s="171" t="s">
        <v>117</v>
      </c>
      <c r="E53" s="171" t="s">
        <v>158</v>
      </c>
      <c r="F53" s="517" t="s">
        <v>228</v>
      </c>
      <c r="G53" s="518"/>
      <c r="H53" s="518"/>
      <c r="I53" s="518"/>
      <c r="J53" s="518"/>
      <c r="K53" s="518"/>
      <c r="L53" s="518"/>
      <c r="M53" s="526"/>
      <c r="N53" s="170" t="s">
        <v>114</v>
      </c>
      <c r="O53" s="168" t="s">
        <v>150</v>
      </c>
      <c r="P53" s="536" t="s">
        <v>117</v>
      </c>
      <c r="Q53" s="537"/>
      <c r="R53" s="536" t="s">
        <v>144</v>
      </c>
      <c r="S53" s="538"/>
      <c r="T53" s="538"/>
      <c r="U53" s="537"/>
      <c r="V53" s="503" t="s">
        <v>157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124</v>
      </c>
      <c r="B54" s="525"/>
      <c r="C54" s="171" t="s">
        <v>171</v>
      </c>
      <c r="D54" s="171" t="s">
        <v>117</v>
      </c>
      <c r="E54" s="171" t="s">
        <v>224</v>
      </c>
      <c r="F54" s="517" t="s">
        <v>229</v>
      </c>
      <c r="G54" s="518"/>
      <c r="H54" s="518"/>
      <c r="I54" s="518"/>
      <c r="J54" s="518"/>
      <c r="K54" s="518"/>
      <c r="L54" s="518"/>
      <c r="M54" s="526"/>
      <c r="N54" s="170" t="s">
        <v>124</v>
      </c>
      <c r="O54" s="168" t="s">
        <v>171</v>
      </c>
      <c r="P54" s="536" t="s">
        <v>117</v>
      </c>
      <c r="Q54" s="537"/>
      <c r="R54" s="525" t="s">
        <v>235</v>
      </c>
      <c r="S54" s="525"/>
      <c r="T54" s="525"/>
      <c r="U54" s="525"/>
      <c r="V54" s="503" t="s">
        <v>120</v>
      </c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114</v>
      </c>
      <c r="B55" s="525"/>
      <c r="C55" s="171" t="s">
        <v>170</v>
      </c>
      <c r="D55" s="171" t="s">
        <v>222</v>
      </c>
      <c r="E55" s="171" t="s">
        <v>211</v>
      </c>
      <c r="F55" s="517" t="s">
        <v>230</v>
      </c>
      <c r="G55" s="518"/>
      <c r="H55" s="518"/>
      <c r="I55" s="518"/>
      <c r="J55" s="518"/>
      <c r="K55" s="518"/>
      <c r="L55" s="518"/>
      <c r="M55" s="526"/>
      <c r="N55" s="170" t="s">
        <v>114</v>
      </c>
      <c r="O55" s="168" t="s">
        <v>132</v>
      </c>
      <c r="P55" s="536" t="s">
        <v>122</v>
      </c>
      <c r="Q55" s="537"/>
      <c r="R55" s="536" t="s">
        <v>236</v>
      </c>
      <c r="S55" s="538"/>
      <c r="T55" s="538"/>
      <c r="U55" s="537"/>
      <c r="V55" s="503" t="s">
        <v>120</v>
      </c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 t="s">
        <v>114</v>
      </c>
      <c r="B56" s="525"/>
      <c r="C56" s="171" t="s">
        <v>131</v>
      </c>
      <c r="D56" s="171" t="s">
        <v>142</v>
      </c>
      <c r="E56" s="171" t="s">
        <v>145</v>
      </c>
      <c r="F56" s="517" t="s">
        <v>231</v>
      </c>
      <c r="G56" s="518"/>
      <c r="H56" s="518"/>
      <c r="I56" s="518"/>
      <c r="J56" s="518"/>
      <c r="K56" s="518"/>
      <c r="L56" s="518"/>
      <c r="M56" s="526"/>
      <c r="N56" s="170" t="s">
        <v>114</v>
      </c>
      <c r="O56" s="168" t="s">
        <v>163</v>
      </c>
      <c r="P56" s="536" t="s">
        <v>237</v>
      </c>
      <c r="Q56" s="537"/>
      <c r="R56" s="525" t="s">
        <v>238</v>
      </c>
      <c r="S56" s="525"/>
      <c r="T56" s="525"/>
      <c r="U56" s="525"/>
      <c r="V56" s="503" t="s">
        <v>120</v>
      </c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 t="s">
        <v>114</v>
      </c>
      <c r="B57" s="525"/>
      <c r="C57" s="171" t="s">
        <v>150</v>
      </c>
      <c r="D57" s="171" t="s">
        <v>117</v>
      </c>
      <c r="E57" s="171" t="s">
        <v>144</v>
      </c>
      <c r="F57" s="517" t="s">
        <v>233</v>
      </c>
      <c r="G57" s="518"/>
      <c r="H57" s="518"/>
      <c r="I57" s="518"/>
      <c r="J57" s="518"/>
      <c r="K57" s="518"/>
      <c r="L57" s="518"/>
      <c r="M57" s="526"/>
      <c r="N57" s="170" t="s">
        <v>114</v>
      </c>
      <c r="O57" s="168" t="s">
        <v>179</v>
      </c>
      <c r="P57" s="536" t="s">
        <v>117</v>
      </c>
      <c r="Q57" s="537"/>
      <c r="R57" s="525" t="s">
        <v>240</v>
      </c>
      <c r="S57" s="525"/>
      <c r="T57" s="525"/>
      <c r="U57" s="525"/>
      <c r="V57" s="503" t="s">
        <v>157</v>
      </c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 t="s">
        <v>114</v>
      </c>
      <c r="B58" s="525"/>
      <c r="C58" s="171" t="s">
        <v>179</v>
      </c>
      <c r="D58" s="171" t="s">
        <v>117</v>
      </c>
      <c r="E58" s="171" t="s">
        <v>223</v>
      </c>
      <c r="F58" s="517" t="s">
        <v>239</v>
      </c>
      <c r="G58" s="518"/>
      <c r="H58" s="518"/>
      <c r="I58" s="518"/>
      <c r="J58" s="518"/>
      <c r="K58" s="518"/>
      <c r="L58" s="518"/>
      <c r="M58" s="526"/>
      <c r="N58" s="170"/>
      <c r="O58" s="168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/>
      <c r="B59" s="525"/>
      <c r="C59" s="171"/>
      <c r="D59" s="171"/>
      <c r="E59" s="171"/>
      <c r="F59" s="517"/>
      <c r="G59" s="518"/>
      <c r="H59" s="518"/>
      <c r="I59" s="518"/>
      <c r="J59" s="518"/>
      <c r="K59" s="518"/>
      <c r="L59" s="518"/>
      <c r="M59" s="526"/>
      <c r="N59" s="170"/>
      <c r="O59" s="168"/>
      <c r="P59" s="525"/>
      <c r="Q59" s="525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  <c r="AF59" s="87">
        <f>8*3000</f>
        <v>24000</v>
      </c>
    </row>
    <row r="60" spans="1:32" ht="27" customHeight="1" thickBot="1">
      <c r="A60" s="528"/>
      <c r="B60" s="529"/>
      <c r="C60" s="172"/>
      <c r="D60" s="172"/>
      <c r="E60" s="172"/>
      <c r="F60" s="530"/>
      <c r="G60" s="531"/>
      <c r="H60" s="531"/>
      <c r="I60" s="531"/>
      <c r="J60" s="531"/>
      <c r="K60" s="531"/>
      <c r="L60" s="531"/>
      <c r="M60" s="532"/>
      <c r="N60" s="124"/>
      <c r="O60" s="114"/>
      <c r="P60" s="533"/>
      <c r="Q60" s="533"/>
      <c r="R60" s="533"/>
      <c r="S60" s="533"/>
      <c r="T60" s="533"/>
      <c r="U60" s="533"/>
      <c r="V60" s="534"/>
      <c r="W60" s="534"/>
      <c r="X60" s="534"/>
      <c r="Y60" s="534"/>
      <c r="Z60" s="534"/>
      <c r="AA60" s="534"/>
      <c r="AB60" s="534"/>
      <c r="AC60" s="534"/>
      <c r="AD60" s="535"/>
      <c r="AF60" s="87">
        <f>16*3000</f>
        <v>48000</v>
      </c>
    </row>
    <row r="61" spans="1:32" ht="27.75" thickBot="1">
      <c r="A61" s="522" t="s">
        <v>241</v>
      </c>
      <c r="B61" s="522"/>
      <c r="C61" s="522"/>
      <c r="D61" s="522"/>
      <c r="E61" s="522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523" t="s">
        <v>113</v>
      </c>
      <c r="B62" s="515"/>
      <c r="C62" s="169" t="s">
        <v>2</v>
      </c>
      <c r="D62" s="169" t="s">
        <v>37</v>
      </c>
      <c r="E62" s="169" t="s">
        <v>3</v>
      </c>
      <c r="F62" s="515" t="s">
        <v>110</v>
      </c>
      <c r="G62" s="515"/>
      <c r="H62" s="515"/>
      <c r="I62" s="515"/>
      <c r="J62" s="515"/>
      <c r="K62" s="515" t="s">
        <v>39</v>
      </c>
      <c r="L62" s="515"/>
      <c r="M62" s="169" t="s">
        <v>40</v>
      </c>
      <c r="N62" s="515" t="s">
        <v>41</v>
      </c>
      <c r="O62" s="515"/>
      <c r="P62" s="512" t="s">
        <v>42</v>
      </c>
      <c r="Q62" s="514"/>
      <c r="R62" s="512" t="s">
        <v>43</v>
      </c>
      <c r="S62" s="513"/>
      <c r="T62" s="513"/>
      <c r="U62" s="513"/>
      <c r="V62" s="513"/>
      <c r="W62" s="513"/>
      <c r="X62" s="513"/>
      <c r="Y62" s="513"/>
      <c r="Z62" s="513"/>
      <c r="AA62" s="514"/>
      <c r="AB62" s="515" t="s">
        <v>44</v>
      </c>
      <c r="AC62" s="515"/>
      <c r="AD62" s="516"/>
      <c r="AF62" s="87">
        <f>SUM(AF59:AF61)</f>
        <v>96000</v>
      </c>
    </row>
    <row r="63" spans="1:32" ht="25.5" customHeight="1">
      <c r="A63" s="498">
        <v>1</v>
      </c>
      <c r="B63" s="499"/>
      <c r="C63" s="117" t="s">
        <v>114</v>
      </c>
      <c r="D63" s="164"/>
      <c r="E63" s="167" t="s">
        <v>119</v>
      </c>
      <c r="F63" s="500" t="s">
        <v>242</v>
      </c>
      <c r="G63" s="492"/>
      <c r="H63" s="492"/>
      <c r="I63" s="492"/>
      <c r="J63" s="492"/>
      <c r="K63" s="492" t="s">
        <v>243</v>
      </c>
      <c r="L63" s="492"/>
      <c r="M63" s="51" t="s">
        <v>162</v>
      </c>
      <c r="N63" s="501" t="s">
        <v>179</v>
      </c>
      <c r="O63" s="501"/>
      <c r="P63" s="502"/>
      <c r="Q63" s="502"/>
      <c r="R63" s="503" t="s">
        <v>244</v>
      </c>
      <c r="S63" s="503"/>
      <c r="T63" s="503"/>
      <c r="U63" s="503"/>
      <c r="V63" s="503"/>
      <c r="W63" s="503"/>
      <c r="X63" s="503"/>
      <c r="Y63" s="503"/>
      <c r="Z63" s="503"/>
      <c r="AA63" s="503"/>
      <c r="AB63" s="507"/>
      <c r="AC63" s="520"/>
      <c r="AD63" s="521"/>
      <c r="AF63" s="50"/>
    </row>
    <row r="64" spans="1:32" ht="25.5" customHeight="1">
      <c r="A64" s="498">
        <v>2</v>
      </c>
      <c r="B64" s="499"/>
      <c r="C64" s="117"/>
      <c r="D64" s="164"/>
      <c r="E64" s="167"/>
      <c r="F64" s="504"/>
      <c r="G64" s="505"/>
      <c r="H64" s="505"/>
      <c r="I64" s="505"/>
      <c r="J64" s="506"/>
      <c r="K64" s="507"/>
      <c r="L64" s="499"/>
      <c r="M64" s="51"/>
      <c r="N64" s="508"/>
      <c r="O64" s="509"/>
      <c r="P64" s="510"/>
      <c r="Q64" s="511"/>
      <c r="R64" s="503"/>
      <c r="S64" s="503"/>
      <c r="T64" s="503"/>
      <c r="U64" s="503"/>
      <c r="V64" s="503"/>
      <c r="W64" s="503"/>
      <c r="X64" s="503"/>
      <c r="Y64" s="503"/>
      <c r="Z64" s="503"/>
      <c r="AA64" s="503"/>
      <c r="AB64" s="492"/>
      <c r="AC64" s="492"/>
      <c r="AD64" s="493"/>
      <c r="AF64" s="50"/>
    </row>
    <row r="65" spans="1:32" ht="25.5" customHeight="1">
      <c r="A65" s="498">
        <v>3</v>
      </c>
      <c r="B65" s="499"/>
      <c r="C65" s="117"/>
      <c r="D65" s="164"/>
      <c r="E65" s="167"/>
      <c r="F65" s="504"/>
      <c r="G65" s="505"/>
      <c r="H65" s="505"/>
      <c r="I65" s="505"/>
      <c r="J65" s="506"/>
      <c r="K65" s="507"/>
      <c r="L65" s="499"/>
      <c r="M65" s="51"/>
      <c r="N65" s="508"/>
      <c r="O65" s="509"/>
      <c r="P65" s="510"/>
      <c r="Q65" s="511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4</v>
      </c>
      <c r="B66" s="499"/>
      <c r="C66" s="117"/>
      <c r="D66" s="164"/>
      <c r="E66" s="167"/>
      <c r="F66" s="500"/>
      <c r="G66" s="492"/>
      <c r="H66" s="492"/>
      <c r="I66" s="492"/>
      <c r="J66" s="492"/>
      <c r="K66" s="492"/>
      <c r="L66" s="492"/>
      <c r="M66" s="51"/>
      <c r="N66" s="501"/>
      <c r="O66" s="501"/>
      <c r="P66" s="502"/>
      <c r="Q66" s="502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5</v>
      </c>
      <c r="B67" s="499"/>
      <c r="C67" s="117"/>
      <c r="D67" s="164"/>
      <c r="E67" s="167"/>
      <c r="F67" s="500"/>
      <c r="G67" s="492"/>
      <c r="H67" s="492"/>
      <c r="I67" s="492"/>
      <c r="J67" s="492"/>
      <c r="K67" s="492"/>
      <c r="L67" s="492"/>
      <c r="M67" s="51"/>
      <c r="N67" s="501"/>
      <c r="O67" s="501"/>
      <c r="P67" s="502"/>
      <c r="Q67" s="502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6</v>
      </c>
      <c r="B68" s="499"/>
      <c r="C68" s="117"/>
      <c r="D68" s="164"/>
      <c r="E68" s="167"/>
      <c r="F68" s="500"/>
      <c r="G68" s="492"/>
      <c r="H68" s="492"/>
      <c r="I68" s="492"/>
      <c r="J68" s="492"/>
      <c r="K68" s="492"/>
      <c r="L68" s="492"/>
      <c r="M68" s="51"/>
      <c r="N68" s="501"/>
      <c r="O68" s="501"/>
      <c r="P68" s="502"/>
      <c r="Q68" s="502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7</v>
      </c>
      <c r="B69" s="499"/>
      <c r="C69" s="117"/>
      <c r="D69" s="164"/>
      <c r="E69" s="167"/>
      <c r="F69" s="500"/>
      <c r="G69" s="492"/>
      <c r="H69" s="492"/>
      <c r="I69" s="492"/>
      <c r="J69" s="492"/>
      <c r="K69" s="492"/>
      <c r="L69" s="492"/>
      <c r="M69" s="51"/>
      <c r="N69" s="501"/>
      <c r="O69" s="501"/>
      <c r="P69" s="502"/>
      <c r="Q69" s="502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8</v>
      </c>
      <c r="B70" s="499"/>
      <c r="C70" s="117"/>
      <c r="D70" s="164"/>
      <c r="E70" s="167"/>
      <c r="F70" s="500"/>
      <c r="G70" s="492"/>
      <c r="H70" s="492"/>
      <c r="I70" s="492"/>
      <c r="J70" s="492"/>
      <c r="K70" s="492"/>
      <c r="L70" s="492"/>
      <c r="M70" s="51"/>
      <c r="N70" s="501"/>
      <c r="O70" s="501"/>
      <c r="P70" s="502"/>
      <c r="Q70" s="502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6.25" customHeight="1" thickBot="1">
      <c r="A71" s="472" t="s">
        <v>245</v>
      </c>
      <c r="B71" s="472"/>
      <c r="C71" s="472"/>
      <c r="D71" s="472"/>
      <c r="E71" s="47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73" t="s">
        <v>113</v>
      </c>
      <c r="B72" s="474"/>
      <c r="C72" s="166" t="s">
        <v>2</v>
      </c>
      <c r="D72" s="166" t="s">
        <v>37</v>
      </c>
      <c r="E72" s="166" t="s">
        <v>3</v>
      </c>
      <c r="F72" s="474" t="s">
        <v>38</v>
      </c>
      <c r="G72" s="474"/>
      <c r="H72" s="474"/>
      <c r="I72" s="474"/>
      <c r="J72" s="474"/>
      <c r="K72" s="494" t="s">
        <v>58</v>
      </c>
      <c r="L72" s="495"/>
      <c r="M72" s="495"/>
      <c r="N72" s="495"/>
      <c r="O72" s="495"/>
      <c r="P72" s="495"/>
      <c r="Q72" s="495"/>
      <c r="R72" s="495"/>
      <c r="S72" s="496"/>
      <c r="T72" s="474" t="s">
        <v>49</v>
      </c>
      <c r="U72" s="474"/>
      <c r="V72" s="494" t="s">
        <v>50</v>
      </c>
      <c r="W72" s="496"/>
      <c r="X72" s="495" t="s">
        <v>51</v>
      </c>
      <c r="Y72" s="495"/>
      <c r="Z72" s="495"/>
      <c r="AA72" s="495"/>
      <c r="AB72" s="495"/>
      <c r="AC72" s="495"/>
      <c r="AD72" s="497"/>
      <c r="AF72" s="50"/>
    </row>
    <row r="73" spans="1:32" ht="33.75" customHeight="1">
      <c r="A73" s="466">
        <v>1</v>
      </c>
      <c r="B73" s="467"/>
      <c r="C73" s="165" t="s">
        <v>114</v>
      </c>
      <c r="D73" s="165"/>
      <c r="E73" s="65" t="s">
        <v>119</v>
      </c>
      <c r="F73" s="481" t="s">
        <v>118</v>
      </c>
      <c r="G73" s="482"/>
      <c r="H73" s="482"/>
      <c r="I73" s="482"/>
      <c r="J73" s="483"/>
      <c r="K73" s="484" t="s">
        <v>130</v>
      </c>
      <c r="L73" s="485"/>
      <c r="M73" s="485"/>
      <c r="N73" s="485"/>
      <c r="O73" s="485"/>
      <c r="P73" s="485"/>
      <c r="Q73" s="485"/>
      <c r="R73" s="485"/>
      <c r="S73" s="486"/>
      <c r="T73" s="487">
        <v>43675</v>
      </c>
      <c r="U73" s="488"/>
      <c r="V73" s="489"/>
      <c r="W73" s="489"/>
      <c r="X73" s="490"/>
      <c r="Y73" s="490"/>
      <c r="Z73" s="490"/>
      <c r="AA73" s="490"/>
      <c r="AB73" s="490"/>
      <c r="AC73" s="490"/>
      <c r="AD73" s="491"/>
      <c r="AF73" s="50"/>
    </row>
    <row r="74" spans="1:32" ht="30" customHeight="1">
      <c r="A74" s="459">
        <f>A73+1</f>
        <v>2</v>
      </c>
      <c r="B74" s="460"/>
      <c r="C74" s="164"/>
      <c r="D74" s="164"/>
      <c r="E74" s="32"/>
      <c r="F74" s="460"/>
      <c r="G74" s="460"/>
      <c r="H74" s="460"/>
      <c r="I74" s="460"/>
      <c r="J74" s="460"/>
      <c r="K74" s="475"/>
      <c r="L74" s="476"/>
      <c r="M74" s="476"/>
      <c r="N74" s="476"/>
      <c r="O74" s="476"/>
      <c r="P74" s="476"/>
      <c r="Q74" s="476"/>
      <c r="R74" s="476"/>
      <c r="S74" s="477"/>
      <c r="T74" s="478"/>
      <c r="U74" s="478"/>
      <c r="V74" s="478"/>
      <c r="W74" s="478"/>
      <c r="X74" s="479"/>
      <c r="Y74" s="479"/>
      <c r="Z74" s="479"/>
      <c r="AA74" s="479"/>
      <c r="AB74" s="479"/>
      <c r="AC74" s="479"/>
      <c r="AD74" s="480"/>
      <c r="AF74" s="50"/>
    </row>
    <row r="75" spans="1:32" ht="30" customHeight="1">
      <c r="A75" s="459">
        <f t="shared" ref="A75:A81" si="13">A74+1</f>
        <v>3</v>
      </c>
      <c r="B75" s="460"/>
      <c r="C75" s="164"/>
      <c r="D75" s="164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si="13"/>
        <v>4</v>
      </c>
      <c r="B76" s="460"/>
      <c r="C76" s="164"/>
      <c r="D76" s="164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13"/>
        <v>5</v>
      </c>
      <c r="B77" s="460"/>
      <c r="C77" s="164"/>
      <c r="D77" s="164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13"/>
        <v>6</v>
      </c>
      <c r="B78" s="460"/>
      <c r="C78" s="164"/>
      <c r="D78" s="164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13"/>
        <v>7</v>
      </c>
      <c r="B79" s="460"/>
      <c r="C79" s="164"/>
      <c r="D79" s="164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13"/>
        <v>8</v>
      </c>
      <c r="B80" s="460"/>
      <c r="C80" s="164"/>
      <c r="D80" s="164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13"/>
        <v>9</v>
      </c>
      <c r="B81" s="460"/>
      <c r="C81" s="164"/>
      <c r="D81" s="164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6" thickBot="1">
      <c r="A82" s="472" t="s">
        <v>246</v>
      </c>
      <c r="B82" s="472"/>
      <c r="C82" s="472"/>
      <c r="D82" s="472"/>
      <c r="E82" s="47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73" t="s">
        <v>113</v>
      </c>
      <c r="B83" s="474"/>
      <c r="C83" s="464" t="s">
        <v>52</v>
      </c>
      <c r="D83" s="464"/>
      <c r="E83" s="464" t="s">
        <v>53</v>
      </c>
      <c r="F83" s="464"/>
      <c r="G83" s="464"/>
      <c r="H83" s="464"/>
      <c r="I83" s="464"/>
      <c r="J83" s="464"/>
      <c r="K83" s="464" t="s">
        <v>54</v>
      </c>
      <c r="L83" s="464"/>
      <c r="M83" s="464"/>
      <c r="N83" s="464"/>
      <c r="O83" s="464"/>
      <c r="P83" s="464"/>
      <c r="Q83" s="464"/>
      <c r="R83" s="464"/>
      <c r="S83" s="464"/>
      <c r="T83" s="464" t="s">
        <v>55</v>
      </c>
      <c r="U83" s="464"/>
      <c r="V83" s="464" t="s">
        <v>56</v>
      </c>
      <c r="W83" s="464"/>
      <c r="X83" s="464"/>
      <c r="Y83" s="464" t="s">
        <v>51</v>
      </c>
      <c r="Z83" s="464"/>
      <c r="AA83" s="464"/>
      <c r="AB83" s="464"/>
      <c r="AC83" s="464"/>
      <c r="AD83" s="465"/>
      <c r="AF83" s="50"/>
    </row>
    <row r="84" spans="1:32" ht="30.75" customHeight="1">
      <c r="A84" s="466">
        <v>1</v>
      </c>
      <c r="B84" s="467"/>
      <c r="C84" s="468"/>
      <c r="D84" s="468"/>
      <c r="E84" s="468"/>
      <c r="F84" s="468"/>
      <c r="G84" s="468"/>
      <c r="H84" s="468"/>
      <c r="I84" s="468"/>
      <c r="J84" s="468"/>
      <c r="K84" s="468"/>
      <c r="L84" s="468"/>
      <c r="M84" s="468"/>
      <c r="N84" s="468"/>
      <c r="O84" s="468"/>
      <c r="P84" s="468"/>
      <c r="Q84" s="468"/>
      <c r="R84" s="468"/>
      <c r="S84" s="468"/>
      <c r="T84" s="468"/>
      <c r="U84" s="468"/>
      <c r="V84" s="469"/>
      <c r="W84" s="469"/>
      <c r="X84" s="469"/>
      <c r="Y84" s="470"/>
      <c r="Z84" s="470"/>
      <c r="AA84" s="470"/>
      <c r="AB84" s="470"/>
      <c r="AC84" s="470"/>
      <c r="AD84" s="471"/>
      <c r="AF84" s="50"/>
    </row>
    <row r="85" spans="1:32" ht="30.75" customHeight="1">
      <c r="A85" s="459">
        <v>2</v>
      </c>
      <c r="B85" s="460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2"/>
      <c r="Z85" s="452"/>
      <c r="AA85" s="452"/>
      <c r="AB85" s="452"/>
      <c r="AC85" s="452"/>
      <c r="AD85" s="453"/>
      <c r="AF85" s="50"/>
    </row>
    <row r="86" spans="1:32" ht="30.75" customHeight="1" thickBot="1">
      <c r="A86" s="454">
        <v>3</v>
      </c>
      <c r="B86" s="455"/>
      <c r="C86" s="456"/>
      <c r="D86" s="456"/>
      <c r="E86" s="456"/>
      <c r="F86" s="456"/>
      <c r="G86" s="456"/>
      <c r="H86" s="456"/>
      <c r="I86" s="456"/>
      <c r="J86" s="456"/>
      <c r="K86" s="456"/>
      <c r="L86" s="456"/>
      <c r="M86" s="456"/>
      <c r="N86" s="456"/>
      <c r="O86" s="456"/>
      <c r="P86" s="456"/>
      <c r="Q86" s="456"/>
      <c r="R86" s="456"/>
      <c r="S86" s="456"/>
      <c r="T86" s="456"/>
      <c r="U86" s="456"/>
      <c r="V86" s="456"/>
      <c r="W86" s="456"/>
      <c r="X86" s="456"/>
      <c r="Y86" s="457"/>
      <c r="Z86" s="457"/>
      <c r="AA86" s="457"/>
      <c r="AB86" s="457"/>
      <c r="AC86" s="457"/>
      <c r="AD86" s="458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C482-A83E-45D9-81D4-72C44B32EB76}">
  <dimension ref="A1:AF86"/>
  <sheetViews>
    <sheetView topLeftCell="A5" zoomScale="72" zoomScaleNormal="72" zoomScaleSheetLayoutView="70" workbookViewId="0">
      <selection activeCell="A16" sqref="A16:XFD1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247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175" t="s">
        <v>17</v>
      </c>
      <c r="L5" s="175" t="s">
        <v>18</v>
      </c>
      <c r="M5" s="175" t="s">
        <v>19</v>
      </c>
      <c r="N5" s="17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0.36388888888888893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0.36388888888888893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114</v>
      </c>
      <c r="D8" s="52" t="s">
        <v>222</v>
      </c>
      <c r="E8" s="53" t="s">
        <v>211</v>
      </c>
      <c r="F8" s="30" t="s">
        <v>123</v>
      </c>
      <c r="G8" s="33">
        <v>1</v>
      </c>
      <c r="H8" s="35">
        <v>24</v>
      </c>
      <c r="I8" s="7">
        <v>14000</v>
      </c>
      <c r="J8" s="14">
        <v>945</v>
      </c>
      <c r="K8" s="15">
        <f>L8+1392</f>
        <v>2337</v>
      </c>
      <c r="L8" s="15">
        <f>429+516</f>
        <v>945</v>
      </c>
      <c r="M8" s="15">
        <f t="shared" si="1"/>
        <v>945</v>
      </c>
      <c r="N8" s="15">
        <v>0</v>
      </c>
      <c r="O8" s="58">
        <f t="shared" si="2"/>
        <v>0</v>
      </c>
      <c r="P8" s="39">
        <f t="shared" si="3"/>
        <v>6</v>
      </c>
      <c r="Q8" s="40">
        <f t="shared" si="4"/>
        <v>18</v>
      </c>
      <c r="R8" s="7"/>
      <c r="S8" s="6">
        <v>18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0.25</v>
      </c>
      <c r="AD8" s="10">
        <f t="shared" si="7"/>
        <v>0.25</v>
      </c>
      <c r="AE8" s="36">
        <f t="shared" si="8"/>
        <v>0.36388888888888893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2784</v>
      </c>
      <c r="K9" s="15">
        <f>L9+1036+2500+4639+2951+2392+2902</f>
        <v>19204</v>
      </c>
      <c r="L9" s="15">
        <f>1064+1720</f>
        <v>2784</v>
      </c>
      <c r="M9" s="15">
        <f t="shared" si="1"/>
        <v>2784</v>
      </c>
      <c r="N9" s="15">
        <v>0</v>
      </c>
      <c r="O9" s="58">
        <f t="shared" si="2"/>
        <v>0</v>
      </c>
      <c r="P9" s="39">
        <f t="shared" si="3"/>
        <v>15</v>
      </c>
      <c r="Q9" s="40">
        <f t="shared" si="4"/>
        <v>9</v>
      </c>
      <c r="R9" s="7"/>
      <c r="S9" s="6">
        <v>9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0.625</v>
      </c>
      <c r="AD9" s="10">
        <f t="shared" si="7"/>
        <v>0.625</v>
      </c>
      <c r="AE9" s="36">
        <f t="shared" si="8"/>
        <v>0.36388888888888893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138</v>
      </c>
      <c r="D10" s="52" t="s">
        <v>139</v>
      </c>
      <c r="E10" s="53" t="s">
        <v>146</v>
      </c>
      <c r="F10" s="30" t="s">
        <v>140</v>
      </c>
      <c r="G10" s="33" t="s">
        <v>136</v>
      </c>
      <c r="H10" s="35">
        <v>24</v>
      </c>
      <c r="I10" s="7">
        <v>35000</v>
      </c>
      <c r="J10" s="5">
        <v>6681</v>
      </c>
      <c r="K10" s="15">
        <f>L10+3601+2209+6181+7284+1089+15594+5320+6949+5143+7270+3769+2517+6249</f>
        <v>79856</v>
      </c>
      <c r="L10" s="15">
        <f>4595+2086</f>
        <v>6681</v>
      </c>
      <c r="M10" s="15">
        <f t="shared" si="1"/>
        <v>6681</v>
      </c>
      <c r="N10" s="15">
        <v>0</v>
      </c>
      <c r="O10" s="58">
        <f t="shared" si="2"/>
        <v>0</v>
      </c>
      <c r="P10" s="39">
        <f t="shared" si="3"/>
        <v>22</v>
      </c>
      <c r="Q10" s="40">
        <f t="shared" si="4"/>
        <v>2</v>
      </c>
      <c r="R10" s="7"/>
      <c r="S10" s="6">
        <v>2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0.91666666666666663</v>
      </c>
      <c r="AD10" s="10">
        <f>AC10*AB10*(1-O10)</f>
        <v>0.91666666666666663</v>
      </c>
      <c r="AE10" s="36">
        <f t="shared" si="8"/>
        <v>0.36388888888888893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114</v>
      </c>
      <c r="D11" s="52" t="s">
        <v>122</v>
      </c>
      <c r="E11" s="53" t="s">
        <v>236</v>
      </c>
      <c r="F11" s="30" t="s">
        <v>248</v>
      </c>
      <c r="G11" s="33">
        <v>1</v>
      </c>
      <c r="H11" s="35">
        <v>24</v>
      </c>
      <c r="I11" s="7">
        <v>300</v>
      </c>
      <c r="J11" s="5">
        <v>677</v>
      </c>
      <c r="K11" s="15">
        <f>L11</f>
        <v>677</v>
      </c>
      <c r="L11" s="15">
        <v>677</v>
      </c>
      <c r="M11" s="15">
        <f t="shared" si="1"/>
        <v>677</v>
      </c>
      <c r="N11" s="15">
        <v>0</v>
      </c>
      <c r="O11" s="58">
        <f t="shared" si="2"/>
        <v>0</v>
      </c>
      <c r="P11" s="39">
        <f t="shared" si="3"/>
        <v>4</v>
      </c>
      <c r="Q11" s="40">
        <f t="shared" si="4"/>
        <v>20</v>
      </c>
      <c r="R11" s="7"/>
      <c r="S11" s="6"/>
      <c r="T11" s="16"/>
      <c r="U11" s="16"/>
      <c r="V11" s="17"/>
      <c r="W11" s="5">
        <v>20</v>
      </c>
      <c r="X11" s="16"/>
      <c r="Y11" s="16"/>
      <c r="Z11" s="16"/>
      <c r="AA11" s="18"/>
      <c r="AB11" s="8">
        <f t="shared" si="5"/>
        <v>1</v>
      </c>
      <c r="AC11" s="9">
        <f t="shared" si="6"/>
        <v>0.16666666666666666</v>
      </c>
      <c r="AD11" s="10">
        <f>AC11*AB11*(1-O11)</f>
        <v>0.16666666666666666</v>
      </c>
      <c r="AE11" s="36">
        <f t="shared" si="8"/>
        <v>0.36388888888888893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144</v>
      </c>
      <c r="F12" s="30" t="s">
        <v>121</v>
      </c>
      <c r="G12" s="33">
        <v>1</v>
      </c>
      <c r="H12" s="35">
        <v>24</v>
      </c>
      <c r="I12" s="7">
        <v>70000</v>
      </c>
      <c r="J12" s="14">
        <v>3155</v>
      </c>
      <c r="K12" s="15">
        <f>L12+2036+3193+2673+3958+1875+401</f>
        <v>17291</v>
      </c>
      <c r="L12" s="15">
        <f>929+2226</f>
        <v>3155</v>
      </c>
      <c r="M12" s="15">
        <f t="shared" si="1"/>
        <v>3155</v>
      </c>
      <c r="N12" s="15">
        <v>0</v>
      </c>
      <c r="O12" s="58">
        <f t="shared" si="2"/>
        <v>0</v>
      </c>
      <c r="P12" s="39">
        <f t="shared" si="3"/>
        <v>17</v>
      </c>
      <c r="Q12" s="40">
        <f t="shared" si="4"/>
        <v>7</v>
      </c>
      <c r="R12" s="7"/>
      <c r="S12" s="6">
        <v>7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0.70833333333333337</v>
      </c>
      <c r="AD12" s="10">
        <f t="shared" ref="AD12:AD13" si="10">AC12*AB12*(1-O12)</f>
        <v>0.70833333333333337</v>
      </c>
      <c r="AE12" s="36">
        <f t="shared" si="8"/>
        <v>0.36388888888888893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117</v>
      </c>
      <c r="E13" s="53" t="s">
        <v>223</v>
      </c>
      <c r="F13" s="30" t="s">
        <v>126</v>
      </c>
      <c r="G13" s="33">
        <v>1</v>
      </c>
      <c r="H13" s="35">
        <v>24</v>
      </c>
      <c r="I13" s="7">
        <v>300</v>
      </c>
      <c r="J13" s="14">
        <v>720</v>
      </c>
      <c r="K13" s="15">
        <f>L13</f>
        <v>720</v>
      </c>
      <c r="L13" s="15">
        <f>361+359</f>
        <v>720</v>
      </c>
      <c r="M13" s="15">
        <f t="shared" si="1"/>
        <v>720</v>
      </c>
      <c r="N13" s="15">
        <v>0</v>
      </c>
      <c r="O13" s="58">
        <f t="shared" si="2"/>
        <v>0</v>
      </c>
      <c r="P13" s="39">
        <f t="shared" si="3"/>
        <v>6</v>
      </c>
      <c r="Q13" s="40">
        <f t="shared" si="4"/>
        <v>18</v>
      </c>
      <c r="R13" s="7"/>
      <c r="S13" s="6">
        <v>6</v>
      </c>
      <c r="T13" s="16"/>
      <c r="U13" s="16"/>
      <c r="V13" s="17"/>
      <c r="W13" s="5">
        <v>12</v>
      </c>
      <c r="X13" s="16"/>
      <c r="Y13" s="16"/>
      <c r="Z13" s="16"/>
      <c r="AA13" s="18"/>
      <c r="AB13" s="8">
        <f t="shared" si="5"/>
        <v>1</v>
      </c>
      <c r="AC13" s="9">
        <f t="shared" si="6"/>
        <v>0.25</v>
      </c>
      <c r="AD13" s="10">
        <f t="shared" si="10"/>
        <v>0.25</v>
      </c>
      <c r="AE13" s="36">
        <f t="shared" si="8"/>
        <v>0.36388888888888893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124</v>
      </c>
      <c r="D14" s="52" t="s">
        <v>135</v>
      </c>
      <c r="E14" s="53" t="s">
        <v>143</v>
      </c>
      <c r="F14" s="30" t="s">
        <v>133</v>
      </c>
      <c r="G14" s="33">
        <v>1</v>
      </c>
      <c r="H14" s="35">
        <v>24</v>
      </c>
      <c r="I14" s="7">
        <v>10000</v>
      </c>
      <c r="J14" s="5">
        <v>3411</v>
      </c>
      <c r="K14" s="15">
        <f>L14+3232+3411</f>
        <v>6643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0.36388888888888893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124</v>
      </c>
      <c r="D15" s="52" t="s">
        <v>135</v>
      </c>
      <c r="E15" s="53" t="s">
        <v>148</v>
      </c>
      <c r="F15" s="12">
        <v>8301</v>
      </c>
      <c r="G15" s="12">
        <v>1</v>
      </c>
      <c r="H15" s="13">
        <v>24</v>
      </c>
      <c r="I15" s="31">
        <v>500</v>
      </c>
      <c r="J15" s="14">
        <v>2517</v>
      </c>
      <c r="K15" s="15">
        <f>L15+2517</f>
        <v>2517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0.36388888888888893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125</v>
      </c>
      <c r="E16" s="53" t="s">
        <v>149</v>
      </c>
      <c r="F16" s="30" t="s">
        <v>126</v>
      </c>
      <c r="G16" s="12">
        <v>1</v>
      </c>
      <c r="H16" s="13">
        <v>28</v>
      </c>
      <c r="I16" s="7">
        <v>70000</v>
      </c>
      <c r="J16" s="14">
        <v>5101</v>
      </c>
      <c r="K16" s="15">
        <f>L16+2620+5280+5157+5344+5134+2370+5096</f>
        <v>36102</v>
      </c>
      <c r="L16" s="15">
        <f>2488+2613</f>
        <v>5101</v>
      </c>
      <c r="M16" s="15">
        <f t="shared" si="1"/>
        <v>5101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0.36388888888888893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135</v>
      </c>
      <c r="E17" s="53" t="s">
        <v>238</v>
      </c>
      <c r="F17" s="30" t="s">
        <v>249</v>
      </c>
      <c r="G17" s="33">
        <v>1</v>
      </c>
      <c r="H17" s="35">
        <v>24</v>
      </c>
      <c r="I17" s="7">
        <v>300</v>
      </c>
      <c r="J17" s="5">
        <v>713</v>
      </c>
      <c r="K17" s="15">
        <f>L17</f>
        <v>713</v>
      </c>
      <c r="L17" s="15">
        <v>713</v>
      </c>
      <c r="M17" s="15">
        <f t="shared" si="1"/>
        <v>713</v>
      </c>
      <c r="N17" s="15">
        <v>0</v>
      </c>
      <c r="O17" s="58">
        <f t="shared" si="2"/>
        <v>0</v>
      </c>
      <c r="P17" s="39">
        <f t="shared" si="3"/>
        <v>5</v>
      </c>
      <c r="Q17" s="40">
        <f t="shared" si="4"/>
        <v>19</v>
      </c>
      <c r="R17" s="7"/>
      <c r="S17" s="6"/>
      <c r="T17" s="16"/>
      <c r="U17" s="16"/>
      <c r="V17" s="17"/>
      <c r="W17" s="5">
        <v>19</v>
      </c>
      <c r="X17" s="16"/>
      <c r="Y17" s="16"/>
      <c r="Z17" s="16"/>
      <c r="AA17" s="18"/>
      <c r="AB17" s="8">
        <f t="shared" si="5"/>
        <v>1</v>
      </c>
      <c r="AC17" s="9">
        <f t="shared" si="6"/>
        <v>0.20833333333333334</v>
      </c>
      <c r="AD17" s="10">
        <f t="shared" si="7"/>
        <v>0.20833333333333334</v>
      </c>
      <c r="AE17" s="36">
        <f t="shared" si="8"/>
        <v>0.36388888888888893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124</v>
      </c>
      <c r="D18" s="52" t="s">
        <v>117</v>
      </c>
      <c r="E18" s="53" t="s">
        <v>165</v>
      </c>
      <c r="F18" s="30" t="s">
        <v>141</v>
      </c>
      <c r="G18" s="33">
        <v>1</v>
      </c>
      <c r="H18" s="35">
        <v>24</v>
      </c>
      <c r="I18" s="7">
        <v>8000</v>
      </c>
      <c r="J18" s="5">
        <v>544</v>
      </c>
      <c r="K18" s="15">
        <f>L18+380+291</f>
        <v>1215</v>
      </c>
      <c r="L18" s="15">
        <f>220+324</f>
        <v>544</v>
      </c>
      <c r="M18" s="15">
        <f t="shared" si="1"/>
        <v>544</v>
      </c>
      <c r="N18" s="15">
        <v>0</v>
      </c>
      <c r="O18" s="58">
        <f t="shared" si="2"/>
        <v>0</v>
      </c>
      <c r="P18" s="39">
        <f t="shared" si="3"/>
        <v>4</v>
      </c>
      <c r="Q18" s="40">
        <f t="shared" si="4"/>
        <v>20</v>
      </c>
      <c r="R18" s="7"/>
      <c r="S18" s="6">
        <v>20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0.16666666666666666</v>
      </c>
      <c r="AD18" s="10">
        <f>AC18*AB18*(1-O18)</f>
        <v>0.16666666666666666</v>
      </c>
      <c r="AE18" s="36">
        <f t="shared" si="8"/>
        <v>0.36388888888888893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235</v>
      </c>
      <c r="F19" s="30" t="s">
        <v>121</v>
      </c>
      <c r="G19" s="33">
        <v>1</v>
      </c>
      <c r="H19" s="35">
        <v>24</v>
      </c>
      <c r="I19" s="7">
        <v>5000</v>
      </c>
      <c r="J19" s="14">
        <v>532</v>
      </c>
      <c r="K19" s="15">
        <f>L19</f>
        <v>532</v>
      </c>
      <c r="L19" s="15">
        <v>532</v>
      </c>
      <c r="M19" s="15">
        <f t="shared" si="1"/>
        <v>532</v>
      </c>
      <c r="N19" s="15">
        <v>0</v>
      </c>
      <c r="O19" s="58">
        <f t="shared" si="2"/>
        <v>0</v>
      </c>
      <c r="P19" s="39">
        <f t="shared" si="3"/>
        <v>4</v>
      </c>
      <c r="Q19" s="40">
        <f t="shared" si="4"/>
        <v>20</v>
      </c>
      <c r="R19" s="7"/>
      <c r="S19" s="6">
        <v>20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0.16666666666666666</v>
      </c>
      <c r="AD19" s="10">
        <f t="shared" si="7"/>
        <v>0.16666666666666666</v>
      </c>
      <c r="AE19" s="36">
        <f t="shared" si="8"/>
        <v>0.36388888888888893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134</v>
      </c>
      <c r="F20" s="12" t="s">
        <v>116</v>
      </c>
      <c r="G20" s="12">
        <v>4</v>
      </c>
      <c r="H20" s="35">
        <v>20</v>
      </c>
      <c r="I20" s="7">
        <v>300000</v>
      </c>
      <c r="J20" s="14">
        <v>73208</v>
      </c>
      <c r="K20" s="15">
        <f>L20+40708+40480+40040+40484+64016</f>
        <v>298936</v>
      </c>
      <c r="L20" s="15">
        <f>10383*4+7919*4</f>
        <v>73208</v>
      </c>
      <c r="M20" s="15">
        <f t="shared" si="1"/>
        <v>73208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 t="shared" si="7"/>
        <v>1</v>
      </c>
      <c r="AE20" s="36">
        <f t="shared" si="8"/>
        <v>0.36388888888888893</v>
      </c>
      <c r="AF20" s="87">
        <f t="shared" si="9"/>
        <v>15</v>
      </c>
    </row>
    <row r="21" spans="1:32" ht="31.5" customHeight="1" thickBot="1">
      <c r="A21" s="541" t="s">
        <v>34</v>
      </c>
      <c r="B21" s="542"/>
      <c r="C21" s="542"/>
      <c r="D21" s="542"/>
      <c r="E21" s="542"/>
      <c r="F21" s="542"/>
      <c r="G21" s="542"/>
      <c r="H21" s="543"/>
      <c r="I21" s="22">
        <f t="shared" ref="I21:N21" si="11">SUM(I6:I20)</f>
        <v>604400</v>
      </c>
      <c r="J21" s="19">
        <f t="shared" si="11"/>
        <v>103049</v>
      </c>
      <c r="K21" s="20">
        <f t="shared" si="11"/>
        <v>478291</v>
      </c>
      <c r="L21" s="21">
        <f t="shared" si="11"/>
        <v>95060</v>
      </c>
      <c r="M21" s="20">
        <f t="shared" si="11"/>
        <v>95060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131</v>
      </c>
      <c r="Q21" s="43">
        <f t="shared" si="12"/>
        <v>229</v>
      </c>
      <c r="R21" s="23">
        <f t="shared" si="12"/>
        <v>24</v>
      </c>
      <c r="S21" s="24">
        <f t="shared" si="12"/>
        <v>82</v>
      </c>
      <c r="T21" s="24">
        <f t="shared" si="12"/>
        <v>0</v>
      </c>
      <c r="U21" s="24">
        <f t="shared" si="12"/>
        <v>0</v>
      </c>
      <c r="V21" s="25">
        <f t="shared" si="12"/>
        <v>24</v>
      </c>
      <c r="W21" s="26">
        <f t="shared" si="12"/>
        <v>99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0.73333333333333328</v>
      </c>
      <c r="AC21" s="4">
        <f>SUM(AC6:AC20)/15</f>
        <v>0.36388888888888893</v>
      </c>
      <c r="AD21" s="4">
        <f>SUM(AD6:AD20)/15</f>
        <v>0.36388888888888893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44" t="s">
        <v>45</v>
      </c>
      <c r="B48" s="544"/>
      <c r="C48" s="544"/>
      <c r="D48" s="544"/>
      <c r="E48" s="54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45" t="s">
        <v>250</v>
      </c>
      <c r="B49" s="546"/>
      <c r="C49" s="546"/>
      <c r="D49" s="546"/>
      <c r="E49" s="546"/>
      <c r="F49" s="546"/>
      <c r="G49" s="546"/>
      <c r="H49" s="546"/>
      <c r="I49" s="546"/>
      <c r="J49" s="546"/>
      <c r="K49" s="546"/>
      <c r="L49" s="546"/>
      <c r="M49" s="547"/>
      <c r="N49" s="548" t="s">
        <v>256</v>
      </c>
      <c r="O49" s="549"/>
      <c r="P49" s="549"/>
      <c r="Q49" s="549"/>
      <c r="R49" s="549"/>
      <c r="S49" s="549"/>
      <c r="T49" s="549"/>
      <c r="U49" s="549"/>
      <c r="V49" s="549"/>
      <c r="W49" s="549"/>
      <c r="X49" s="549"/>
      <c r="Y49" s="549"/>
      <c r="Z49" s="549"/>
      <c r="AA49" s="549"/>
      <c r="AB49" s="549"/>
      <c r="AC49" s="549"/>
      <c r="AD49" s="550"/>
    </row>
    <row r="50" spans="1:32" ht="27" customHeight="1">
      <c r="A50" s="551" t="s">
        <v>2</v>
      </c>
      <c r="B50" s="552"/>
      <c r="C50" s="176" t="s">
        <v>46</v>
      </c>
      <c r="D50" s="176" t="s">
        <v>47</v>
      </c>
      <c r="E50" s="176" t="s">
        <v>108</v>
      </c>
      <c r="F50" s="552" t="s">
        <v>107</v>
      </c>
      <c r="G50" s="552"/>
      <c r="H50" s="552"/>
      <c r="I50" s="552"/>
      <c r="J50" s="552"/>
      <c r="K50" s="552"/>
      <c r="L50" s="552"/>
      <c r="M50" s="553"/>
      <c r="N50" s="67" t="s">
        <v>112</v>
      </c>
      <c r="O50" s="176" t="s">
        <v>46</v>
      </c>
      <c r="P50" s="554" t="s">
        <v>47</v>
      </c>
      <c r="Q50" s="555"/>
      <c r="R50" s="554" t="s">
        <v>38</v>
      </c>
      <c r="S50" s="556"/>
      <c r="T50" s="556"/>
      <c r="U50" s="555"/>
      <c r="V50" s="554" t="s">
        <v>48</v>
      </c>
      <c r="W50" s="556"/>
      <c r="X50" s="556"/>
      <c r="Y50" s="556"/>
      <c r="Z50" s="556"/>
      <c r="AA50" s="556"/>
      <c r="AB50" s="556"/>
      <c r="AC50" s="556"/>
      <c r="AD50" s="557"/>
    </row>
    <row r="51" spans="1:32" ht="27" customHeight="1">
      <c r="A51" s="524" t="s">
        <v>138</v>
      </c>
      <c r="B51" s="525"/>
      <c r="C51" s="178" t="s">
        <v>155</v>
      </c>
      <c r="D51" s="178" t="s">
        <v>156</v>
      </c>
      <c r="E51" s="178" t="s">
        <v>146</v>
      </c>
      <c r="F51" s="517" t="s">
        <v>209</v>
      </c>
      <c r="G51" s="518"/>
      <c r="H51" s="518"/>
      <c r="I51" s="518"/>
      <c r="J51" s="518"/>
      <c r="K51" s="518"/>
      <c r="L51" s="518"/>
      <c r="M51" s="526"/>
      <c r="N51" s="177" t="s">
        <v>114</v>
      </c>
      <c r="O51" s="182" t="s">
        <v>170</v>
      </c>
      <c r="P51" s="536" t="s">
        <v>212</v>
      </c>
      <c r="Q51" s="537"/>
      <c r="R51" s="536" t="s">
        <v>211</v>
      </c>
      <c r="S51" s="538"/>
      <c r="T51" s="538"/>
      <c r="U51" s="537"/>
      <c r="V51" s="503" t="s">
        <v>157</v>
      </c>
      <c r="W51" s="503"/>
      <c r="X51" s="503"/>
      <c r="Y51" s="503"/>
      <c r="Z51" s="503"/>
      <c r="AA51" s="503"/>
      <c r="AB51" s="503"/>
      <c r="AC51" s="503"/>
      <c r="AD51" s="527"/>
    </row>
    <row r="52" spans="1:32" ht="27" customHeight="1">
      <c r="A52" s="524" t="s">
        <v>124</v>
      </c>
      <c r="B52" s="525"/>
      <c r="C52" s="178" t="s">
        <v>234</v>
      </c>
      <c r="D52" s="178" t="s">
        <v>117</v>
      </c>
      <c r="E52" s="178" t="s">
        <v>165</v>
      </c>
      <c r="F52" s="517" t="s">
        <v>251</v>
      </c>
      <c r="G52" s="518"/>
      <c r="H52" s="518"/>
      <c r="I52" s="518"/>
      <c r="J52" s="518"/>
      <c r="K52" s="518"/>
      <c r="L52" s="518"/>
      <c r="M52" s="526"/>
      <c r="N52" s="177" t="s">
        <v>124</v>
      </c>
      <c r="O52" s="182" t="s">
        <v>234</v>
      </c>
      <c r="P52" s="536" t="s">
        <v>117</v>
      </c>
      <c r="Q52" s="537"/>
      <c r="R52" s="536" t="s">
        <v>165</v>
      </c>
      <c r="S52" s="538"/>
      <c r="T52" s="538"/>
      <c r="U52" s="537"/>
      <c r="V52" s="503" t="s">
        <v>157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124</v>
      </c>
      <c r="B53" s="525"/>
      <c r="C53" s="178" t="s">
        <v>171</v>
      </c>
      <c r="D53" s="178" t="s">
        <v>117</v>
      </c>
      <c r="E53" s="178" t="s">
        <v>235</v>
      </c>
      <c r="F53" s="517" t="s">
        <v>252</v>
      </c>
      <c r="G53" s="518"/>
      <c r="H53" s="518"/>
      <c r="I53" s="518"/>
      <c r="J53" s="518"/>
      <c r="K53" s="518"/>
      <c r="L53" s="518"/>
      <c r="M53" s="526"/>
      <c r="N53" s="177" t="s">
        <v>124</v>
      </c>
      <c r="O53" s="182" t="s">
        <v>171</v>
      </c>
      <c r="P53" s="536" t="s">
        <v>117</v>
      </c>
      <c r="Q53" s="537"/>
      <c r="R53" s="525" t="s">
        <v>235</v>
      </c>
      <c r="S53" s="525"/>
      <c r="T53" s="525"/>
      <c r="U53" s="525"/>
      <c r="V53" s="503" t="s">
        <v>157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114</v>
      </c>
      <c r="B54" s="525"/>
      <c r="C54" s="178" t="s">
        <v>170</v>
      </c>
      <c r="D54" s="178" t="s">
        <v>222</v>
      </c>
      <c r="E54" s="178" t="s">
        <v>211</v>
      </c>
      <c r="F54" s="517" t="s">
        <v>253</v>
      </c>
      <c r="G54" s="518"/>
      <c r="H54" s="518"/>
      <c r="I54" s="518"/>
      <c r="J54" s="518"/>
      <c r="K54" s="518"/>
      <c r="L54" s="518"/>
      <c r="M54" s="526"/>
      <c r="N54" s="177"/>
      <c r="O54" s="182"/>
      <c r="P54" s="536"/>
      <c r="Q54" s="537"/>
      <c r="R54" s="525"/>
      <c r="S54" s="525"/>
      <c r="T54" s="525"/>
      <c r="U54" s="525"/>
      <c r="V54" s="503"/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114</v>
      </c>
      <c r="B55" s="525"/>
      <c r="C55" s="178" t="s">
        <v>131</v>
      </c>
      <c r="D55" s="178" t="s">
        <v>142</v>
      </c>
      <c r="E55" s="178" t="s">
        <v>145</v>
      </c>
      <c r="F55" s="517" t="s">
        <v>254</v>
      </c>
      <c r="G55" s="518"/>
      <c r="H55" s="518"/>
      <c r="I55" s="518"/>
      <c r="J55" s="518"/>
      <c r="K55" s="518"/>
      <c r="L55" s="518"/>
      <c r="M55" s="526"/>
      <c r="N55" s="177"/>
      <c r="O55" s="182"/>
      <c r="P55" s="536"/>
      <c r="Q55" s="537"/>
      <c r="R55" s="536"/>
      <c r="S55" s="538"/>
      <c r="T55" s="538"/>
      <c r="U55" s="537"/>
      <c r="V55" s="503"/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 t="s">
        <v>114</v>
      </c>
      <c r="B56" s="525"/>
      <c r="C56" s="178" t="s">
        <v>150</v>
      </c>
      <c r="D56" s="178" t="s">
        <v>117</v>
      </c>
      <c r="E56" s="178" t="s">
        <v>144</v>
      </c>
      <c r="F56" s="517" t="s">
        <v>255</v>
      </c>
      <c r="G56" s="518"/>
      <c r="H56" s="518"/>
      <c r="I56" s="518"/>
      <c r="J56" s="518"/>
      <c r="K56" s="518"/>
      <c r="L56" s="518"/>
      <c r="M56" s="526"/>
      <c r="N56" s="177"/>
      <c r="O56" s="182"/>
      <c r="P56" s="536"/>
      <c r="Q56" s="537"/>
      <c r="R56" s="525"/>
      <c r="S56" s="525"/>
      <c r="T56" s="525"/>
      <c r="U56" s="525"/>
      <c r="V56" s="503"/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/>
      <c r="B57" s="525"/>
      <c r="C57" s="178"/>
      <c r="D57" s="178"/>
      <c r="E57" s="178"/>
      <c r="F57" s="517"/>
      <c r="G57" s="518"/>
      <c r="H57" s="518"/>
      <c r="I57" s="518"/>
      <c r="J57" s="518"/>
      <c r="K57" s="518"/>
      <c r="L57" s="518"/>
      <c r="M57" s="526"/>
      <c r="N57" s="177"/>
      <c r="O57" s="182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/>
      <c r="B58" s="525"/>
      <c r="C58" s="178"/>
      <c r="D58" s="178"/>
      <c r="E58" s="178"/>
      <c r="F58" s="517"/>
      <c r="G58" s="518"/>
      <c r="H58" s="518"/>
      <c r="I58" s="518"/>
      <c r="J58" s="518"/>
      <c r="K58" s="518"/>
      <c r="L58" s="518"/>
      <c r="M58" s="526"/>
      <c r="N58" s="177"/>
      <c r="O58" s="182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/>
      <c r="B59" s="525"/>
      <c r="C59" s="178"/>
      <c r="D59" s="178"/>
      <c r="E59" s="178"/>
      <c r="F59" s="517"/>
      <c r="G59" s="518"/>
      <c r="H59" s="518"/>
      <c r="I59" s="518"/>
      <c r="J59" s="518"/>
      <c r="K59" s="518"/>
      <c r="L59" s="518"/>
      <c r="M59" s="526"/>
      <c r="N59" s="177"/>
      <c r="O59" s="182"/>
      <c r="P59" s="525"/>
      <c r="Q59" s="525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  <c r="AF59" s="87">
        <f>8*3000</f>
        <v>24000</v>
      </c>
    </row>
    <row r="60" spans="1:32" ht="27" customHeight="1" thickBot="1">
      <c r="A60" s="528"/>
      <c r="B60" s="529"/>
      <c r="C60" s="179"/>
      <c r="D60" s="179"/>
      <c r="E60" s="179"/>
      <c r="F60" s="530"/>
      <c r="G60" s="531"/>
      <c r="H60" s="531"/>
      <c r="I60" s="531"/>
      <c r="J60" s="531"/>
      <c r="K60" s="531"/>
      <c r="L60" s="531"/>
      <c r="M60" s="532"/>
      <c r="N60" s="124"/>
      <c r="O60" s="114"/>
      <c r="P60" s="533"/>
      <c r="Q60" s="533"/>
      <c r="R60" s="533"/>
      <c r="S60" s="533"/>
      <c r="T60" s="533"/>
      <c r="U60" s="533"/>
      <c r="V60" s="534"/>
      <c r="W60" s="534"/>
      <c r="X60" s="534"/>
      <c r="Y60" s="534"/>
      <c r="Z60" s="534"/>
      <c r="AA60" s="534"/>
      <c r="AB60" s="534"/>
      <c r="AC60" s="534"/>
      <c r="AD60" s="535"/>
      <c r="AF60" s="87">
        <f>16*3000</f>
        <v>48000</v>
      </c>
    </row>
    <row r="61" spans="1:32" ht="27.75" thickBot="1">
      <c r="A61" s="522" t="s">
        <v>257</v>
      </c>
      <c r="B61" s="522"/>
      <c r="C61" s="522"/>
      <c r="D61" s="522"/>
      <c r="E61" s="522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523" t="s">
        <v>113</v>
      </c>
      <c r="B62" s="515"/>
      <c r="C62" s="180" t="s">
        <v>2</v>
      </c>
      <c r="D62" s="180" t="s">
        <v>37</v>
      </c>
      <c r="E62" s="180" t="s">
        <v>3</v>
      </c>
      <c r="F62" s="515" t="s">
        <v>110</v>
      </c>
      <c r="G62" s="515"/>
      <c r="H62" s="515"/>
      <c r="I62" s="515"/>
      <c r="J62" s="515"/>
      <c r="K62" s="515" t="s">
        <v>39</v>
      </c>
      <c r="L62" s="515"/>
      <c r="M62" s="180" t="s">
        <v>40</v>
      </c>
      <c r="N62" s="515" t="s">
        <v>41</v>
      </c>
      <c r="O62" s="515"/>
      <c r="P62" s="512" t="s">
        <v>42</v>
      </c>
      <c r="Q62" s="514"/>
      <c r="R62" s="512" t="s">
        <v>43</v>
      </c>
      <c r="S62" s="513"/>
      <c r="T62" s="513"/>
      <c r="U62" s="513"/>
      <c r="V62" s="513"/>
      <c r="W62" s="513"/>
      <c r="X62" s="513"/>
      <c r="Y62" s="513"/>
      <c r="Z62" s="513"/>
      <c r="AA62" s="514"/>
      <c r="AB62" s="515" t="s">
        <v>44</v>
      </c>
      <c r="AC62" s="515"/>
      <c r="AD62" s="516"/>
      <c r="AF62" s="87">
        <f>SUM(AF59:AF61)</f>
        <v>96000</v>
      </c>
    </row>
    <row r="63" spans="1:32" ht="25.5" customHeight="1">
      <c r="A63" s="498">
        <v>1</v>
      </c>
      <c r="B63" s="499"/>
      <c r="C63" s="117" t="s">
        <v>114</v>
      </c>
      <c r="D63" s="184"/>
      <c r="E63" s="181" t="s">
        <v>117</v>
      </c>
      <c r="F63" s="500" t="s">
        <v>258</v>
      </c>
      <c r="G63" s="492"/>
      <c r="H63" s="492"/>
      <c r="I63" s="492"/>
      <c r="J63" s="492"/>
      <c r="K63" s="492" t="s">
        <v>259</v>
      </c>
      <c r="L63" s="492"/>
      <c r="M63" s="51" t="s">
        <v>162</v>
      </c>
      <c r="N63" s="501" t="s">
        <v>137</v>
      </c>
      <c r="O63" s="501"/>
      <c r="P63" s="502">
        <v>20</v>
      </c>
      <c r="Q63" s="502"/>
      <c r="R63" s="503"/>
      <c r="S63" s="503"/>
      <c r="T63" s="503"/>
      <c r="U63" s="503"/>
      <c r="V63" s="503"/>
      <c r="W63" s="503"/>
      <c r="X63" s="503"/>
      <c r="Y63" s="503"/>
      <c r="Z63" s="503"/>
      <c r="AA63" s="503"/>
      <c r="AB63" s="507"/>
      <c r="AC63" s="520"/>
      <c r="AD63" s="521"/>
      <c r="AF63" s="50"/>
    </row>
    <row r="64" spans="1:32" ht="25.5" customHeight="1">
      <c r="A64" s="498">
        <v>2</v>
      </c>
      <c r="B64" s="499"/>
      <c r="C64" s="117"/>
      <c r="D64" s="184"/>
      <c r="E64" s="181"/>
      <c r="F64" s="504"/>
      <c r="G64" s="505"/>
      <c r="H64" s="505"/>
      <c r="I64" s="505"/>
      <c r="J64" s="506"/>
      <c r="K64" s="507"/>
      <c r="L64" s="499"/>
      <c r="M64" s="51"/>
      <c r="N64" s="508"/>
      <c r="O64" s="509"/>
      <c r="P64" s="510"/>
      <c r="Q64" s="511"/>
      <c r="R64" s="503"/>
      <c r="S64" s="503"/>
      <c r="T64" s="503"/>
      <c r="U64" s="503"/>
      <c r="V64" s="503"/>
      <c r="W64" s="503"/>
      <c r="X64" s="503"/>
      <c r="Y64" s="503"/>
      <c r="Z64" s="503"/>
      <c r="AA64" s="503"/>
      <c r="AB64" s="492"/>
      <c r="AC64" s="492"/>
      <c r="AD64" s="493"/>
      <c r="AF64" s="50"/>
    </row>
    <row r="65" spans="1:32" ht="25.5" customHeight="1">
      <c r="A65" s="498">
        <v>3</v>
      </c>
      <c r="B65" s="499"/>
      <c r="C65" s="117"/>
      <c r="D65" s="184"/>
      <c r="E65" s="181"/>
      <c r="F65" s="504"/>
      <c r="G65" s="505"/>
      <c r="H65" s="505"/>
      <c r="I65" s="505"/>
      <c r="J65" s="506"/>
      <c r="K65" s="507"/>
      <c r="L65" s="499"/>
      <c r="M65" s="51"/>
      <c r="N65" s="508"/>
      <c r="O65" s="509"/>
      <c r="P65" s="510"/>
      <c r="Q65" s="511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4</v>
      </c>
      <c r="B66" s="499"/>
      <c r="C66" s="117"/>
      <c r="D66" s="184"/>
      <c r="E66" s="181"/>
      <c r="F66" s="500"/>
      <c r="G66" s="492"/>
      <c r="H66" s="492"/>
      <c r="I66" s="492"/>
      <c r="J66" s="492"/>
      <c r="K66" s="492"/>
      <c r="L66" s="492"/>
      <c r="M66" s="51"/>
      <c r="N66" s="501"/>
      <c r="O66" s="501"/>
      <c r="P66" s="502"/>
      <c r="Q66" s="502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5</v>
      </c>
      <c r="B67" s="499"/>
      <c r="C67" s="117"/>
      <c r="D67" s="184"/>
      <c r="E67" s="181"/>
      <c r="F67" s="500"/>
      <c r="G67" s="492"/>
      <c r="H67" s="492"/>
      <c r="I67" s="492"/>
      <c r="J67" s="492"/>
      <c r="K67" s="492"/>
      <c r="L67" s="492"/>
      <c r="M67" s="51"/>
      <c r="N67" s="501"/>
      <c r="O67" s="501"/>
      <c r="P67" s="502"/>
      <c r="Q67" s="502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6</v>
      </c>
      <c r="B68" s="499"/>
      <c r="C68" s="117"/>
      <c r="D68" s="184"/>
      <c r="E68" s="181"/>
      <c r="F68" s="500"/>
      <c r="G68" s="492"/>
      <c r="H68" s="492"/>
      <c r="I68" s="492"/>
      <c r="J68" s="492"/>
      <c r="K68" s="492"/>
      <c r="L68" s="492"/>
      <c r="M68" s="51"/>
      <c r="N68" s="501"/>
      <c r="O68" s="501"/>
      <c r="P68" s="502"/>
      <c r="Q68" s="502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7</v>
      </c>
      <c r="B69" s="499"/>
      <c r="C69" s="117"/>
      <c r="D69" s="184"/>
      <c r="E69" s="181"/>
      <c r="F69" s="500"/>
      <c r="G69" s="492"/>
      <c r="H69" s="492"/>
      <c r="I69" s="492"/>
      <c r="J69" s="492"/>
      <c r="K69" s="492"/>
      <c r="L69" s="492"/>
      <c r="M69" s="51"/>
      <c r="N69" s="501"/>
      <c r="O69" s="501"/>
      <c r="P69" s="502"/>
      <c r="Q69" s="502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8</v>
      </c>
      <c r="B70" s="499"/>
      <c r="C70" s="117"/>
      <c r="D70" s="184"/>
      <c r="E70" s="181"/>
      <c r="F70" s="500"/>
      <c r="G70" s="492"/>
      <c r="H70" s="492"/>
      <c r="I70" s="492"/>
      <c r="J70" s="492"/>
      <c r="K70" s="492"/>
      <c r="L70" s="492"/>
      <c r="M70" s="51"/>
      <c r="N70" s="501"/>
      <c r="O70" s="501"/>
      <c r="P70" s="502"/>
      <c r="Q70" s="502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6.25" customHeight="1" thickBot="1">
      <c r="A71" s="472" t="s">
        <v>282</v>
      </c>
      <c r="B71" s="472"/>
      <c r="C71" s="472"/>
      <c r="D71" s="472"/>
      <c r="E71" s="47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73" t="s">
        <v>113</v>
      </c>
      <c r="B72" s="474"/>
      <c r="C72" s="183" t="s">
        <v>2</v>
      </c>
      <c r="D72" s="183" t="s">
        <v>37</v>
      </c>
      <c r="E72" s="183" t="s">
        <v>3</v>
      </c>
      <c r="F72" s="474" t="s">
        <v>38</v>
      </c>
      <c r="G72" s="474"/>
      <c r="H72" s="474"/>
      <c r="I72" s="474"/>
      <c r="J72" s="474"/>
      <c r="K72" s="494" t="s">
        <v>58</v>
      </c>
      <c r="L72" s="495"/>
      <c r="M72" s="495"/>
      <c r="N72" s="495"/>
      <c r="O72" s="495"/>
      <c r="P72" s="495"/>
      <c r="Q72" s="495"/>
      <c r="R72" s="495"/>
      <c r="S72" s="496"/>
      <c r="T72" s="474" t="s">
        <v>49</v>
      </c>
      <c r="U72" s="474"/>
      <c r="V72" s="494" t="s">
        <v>50</v>
      </c>
      <c r="W72" s="496"/>
      <c r="X72" s="495" t="s">
        <v>51</v>
      </c>
      <c r="Y72" s="495"/>
      <c r="Z72" s="495"/>
      <c r="AA72" s="495"/>
      <c r="AB72" s="495"/>
      <c r="AC72" s="495"/>
      <c r="AD72" s="497"/>
      <c r="AF72" s="50"/>
    </row>
    <row r="73" spans="1:32" ht="33.75" customHeight="1">
      <c r="A73" s="466">
        <v>1</v>
      </c>
      <c r="B73" s="467"/>
      <c r="C73" s="185" t="s">
        <v>114</v>
      </c>
      <c r="D73" s="185"/>
      <c r="E73" s="65" t="s">
        <v>119</v>
      </c>
      <c r="F73" s="481" t="s">
        <v>118</v>
      </c>
      <c r="G73" s="482"/>
      <c r="H73" s="482"/>
      <c r="I73" s="482"/>
      <c r="J73" s="483"/>
      <c r="K73" s="484" t="s">
        <v>130</v>
      </c>
      <c r="L73" s="485"/>
      <c r="M73" s="485"/>
      <c r="N73" s="485"/>
      <c r="O73" s="485"/>
      <c r="P73" s="485"/>
      <c r="Q73" s="485"/>
      <c r="R73" s="485"/>
      <c r="S73" s="486"/>
      <c r="T73" s="487">
        <v>43675</v>
      </c>
      <c r="U73" s="488"/>
      <c r="V73" s="489"/>
      <c r="W73" s="489"/>
      <c r="X73" s="490"/>
      <c r="Y73" s="490"/>
      <c r="Z73" s="490"/>
      <c r="AA73" s="490"/>
      <c r="AB73" s="490"/>
      <c r="AC73" s="490"/>
      <c r="AD73" s="491"/>
      <c r="AF73" s="50"/>
    </row>
    <row r="74" spans="1:32" ht="30" customHeight="1">
      <c r="A74" s="459">
        <f>A73+1</f>
        <v>2</v>
      </c>
      <c r="B74" s="460"/>
      <c r="C74" s="184"/>
      <c r="D74" s="184"/>
      <c r="E74" s="32"/>
      <c r="F74" s="460"/>
      <c r="G74" s="460"/>
      <c r="H74" s="460"/>
      <c r="I74" s="460"/>
      <c r="J74" s="460"/>
      <c r="K74" s="475"/>
      <c r="L74" s="476"/>
      <c r="M74" s="476"/>
      <c r="N74" s="476"/>
      <c r="O74" s="476"/>
      <c r="P74" s="476"/>
      <c r="Q74" s="476"/>
      <c r="R74" s="476"/>
      <c r="S74" s="477"/>
      <c r="T74" s="478"/>
      <c r="U74" s="478"/>
      <c r="V74" s="478"/>
      <c r="W74" s="478"/>
      <c r="X74" s="479"/>
      <c r="Y74" s="479"/>
      <c r="Z74" s="479"/>
      <c r="AA74" s="479"/>
      <c r="AB74" s="479"/>
      <c r="AC74" s="479"/>
      <c r="AD74" s="480"/>
      <c r="AF74" s="50"/>
    </row>
    <row r="75" spans="1:32" ht="30" customHeight="1">
      <c r="A75" s="459">
        <f t="shared" ref="A75:A81" si="13">A74+1</f>
        <v>3</v>
      </c>
      <c r="B75" s="460"/>
      <c r="C75" s="184"/>
      <c r="D75" s="184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si="13"/>
        <v>4</v>
      </c>
      <c r="B76" s="460"/>
      <c r="C76" s="184"/>
      <c r="D76" s="184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13"/>
        <v>5</v>
      </c>
      <c r="B77" s="460"/>
      <c r="C77" s="184"/>
      <c r="D77" s="184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13"/>
        <v>6</v>
      </c>
      <c r="B78" s="460"/>
      <c r="C78" s="184"/>
      <c r="D78" s="184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13"/>
        <v>7</v>
      </c>
      <c r="B79" s="460"/>
      <c r="C79" s="184"/>
      <c r="D79" s="184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13"/>
        <v>8</v>
      </c>
      <c r="B80" s="460"/>
      <c r="C80" s="184"/>
      <c r="D80" s="184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13"/>
        <v>9</v>
      </c>
      <c r="B81" s="460"/>
      <c r="C81" s="184"/>
      <c r="D81" s="184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6" thickBot="1">
      <c r="A82" s="472" t="s">
        <v>283</v>
      </c>
      <c r="B82" s="472"/>
      <c r="C82" s="472"/>
      <c r="D82" s="472"/>
      <c r="E82" s="47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73" t="s">
        <v>113</v>
      </c>
      <c r="B83" s="474"/>
      <c r="C83" s="464" t="s">
        <v>52</v>
      </c>
      <c r="D83" s="464"/>
      <c r="E83" s="464" t="s">
        <v>53</v>
      </c>
      <c r="F83" s="464"/>
      <c r="G83" s="464"/>
      <c r="H83" s="464"/>
      <c r="I83" s="464"/>
      <c r="J83" s="464"/>
      <c r="K83" s="464" t="s">
        <v>54</v>
      </c>
      <c r="L83" s="464"/>
      <c r="M83" s="464"/>
      <c r="N83" s="464"/>
      <c r="O83" s="464"/>
      <c r="P83" s="464"/>
      <c r="Q83" s="464"/>
      <c r="R83" s="464"/>
      <c r="S83" s="464"/>
      <c r="T83" s="464" t="s">
        <v>55</v>
      </c>
      <c r="U83" s="464"/>
      <c r="V83" s="464" t="s">
        <v>56</v>
      </c>
      <c r="W83" s="464"/>
      <c r="X83" s="464"/>
      <c r="Y83" s="464" t="s">
        <v>51</v>
      </c>
      <c r="Z83" s="464"/>
      <c r="AA83" s="464"/>
      <c r="AB83" s="464"/>
      <c r="AC83" s="464"/>
      <c r="AD83" s="465"/>
      <c r="AF83" s="50"/>
    </row>
    <row r="84" spans="1:32" ht="30.75" customHeight="1">
      <c r="A84" s="466">
        <v>1</v>
      </c>
      <c r="B84" s="467"/>
      <c r="C84" s="468"/>
      <c r="D84" s="468"/>
      <c r="E84" s="468"/>
      <c r="F84" s="468"/>
      <c r="G84" s="468"/>
      <c r="H84" s="468"/>
      <c r="I84" s="468"/>
      <c r="J84" s="468"/>
      <c r="K84" s="468"/>
      <c r="L84" s="468"/>
      <c r="M84" s="468"/>
      <c r="N84" s="468"/>
      <c r="O84" s="468"/>
      <c r="P84" s="468"/>
      <c r="Q84" s="468"/>
      <c r="R84" s="468"/>
      <c r="S84" s="468"/>
      <c r="T84" s="468"/>
      <c r="U84" s="468"/>
      <c r="V84" s="469"/>
      <c r="W84" s="469"/>
      <c r="X84" s="469"/>
      <c r="Y84" s="470"/>
      <c r="Z84" s="470"/>
      <c r="AA84" s="470"/>
      <c r="AB84" s="470"/>
      <c r="AC84" s="470"/>
      <c r="AD84" s="471"/>
      <c r="AF84" s="50"/>
    </row>
    <row r="85" spans="1:32" ht="30.75" customHeight="1">
      <c r="A85" s="459">
        <v>2</v>
      </c>
      <c r="B85" s="460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2"/>
      <c r="Z85" s="452"/>
      <c r="AA85" s="452"/>
      <c r="AB85" s="452"/>
      <c r="AC85" s="452"/>
      <c r="AD85" s="453"/>
      <c r="AF85" s="50"/>
    </row>
    <row r="86" spans="1:32" ht="30.75" customHeight="1" thickBot="1">
      <c r="A86" s="454">
        <v>3</v>
      </c>
      <c r="B86" s="455"/>
      <c r="C86" s="456"/>
      <c r="D86" s="456"/>
      <c r="E86" s="456"/>
      <c r="F86" s="456"/>
      <c r="G86" s="456"/>
      <c r="H86" s="456"/>
      <c r="I86" s="456"/>
      <c r="J86" s="456"/>
      <c r="K86" s="456"/>
      <c r="L86" s="456"/>
      <c r="M86" s="456"/>
      <c r="N86" s="456"/>
      <c r="O86" s="456"/>
      <c r="P86" s="456"/>
      <c r="Q86" s="456"/>
      <c r="R86" s="456"/>
      <c r="S86" s="456"/>
      <c r="T86" s="456"/>
      <c r="U86" s="456"/>
      <c r="V86" s="456"/>
      <c r="W86" s="456"/>
      <c r="X86" s="456"/>
      <c r="Y86" s="457"/>
      <c r="Z86" s="457"/>
      <c r="AA86" s="457"/>
      <c r="AB86" s="457"/>
      <c r="AC86" s="457"/>
      <c r="AD86" s="458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9405-8841-4F75-A7EC-F29DF194A033}">
  <dimension ref="A1:AF87"/>
  <sheetViews>
    <sheetView zoomScale="72" zoomScaleNormal="72" zoomScaleSheetLayoutView="70" workbookViewId="0">
      <selection activeCell="F79" sqref="F79:J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260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196" t="s">
        <v>17</v>
      </c>
      <c r="L5" s="196" t="s">
        <v>18</v>
      </c>
      <c r="M5" s="196" t="s">
        <v>19</v>
      </c>
      <c r="N5" s="19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0.38611111111111102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0.38611111111111102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114</v>
      </c>
      <c r="D8" s="52" t="s">
        <v>222</v>
      </c>
      <c r="E8" s="53" t="s">
        <v>211</v>
      </c>
      <c r="F8" s="30" t="s">
        <v>123</v>
      </c>
      <c r="G8" s="33">
        <v>1</v>
      </c>
      <c r="H8" s="35">
        <v>24</v>
      </c>
      <c r="I8" s="7">
        <v>14000</v>
      </c>
      <c r="J8" s="14">
        <v>2815</v>
      </c>
      <c r="K8" s="15">
        <f>L8+1392+945</f>
        <v>5152</v>
      </c>
      <c r="L8" s="15">
        <f>1724+1091</f>
        <v>2815</v>
      </c>
      <c r="M8" s="15">
        <f t="shared" si="1"/>
        <v>2815</v>
      </c>
      <c r="N8" s="15">
        <v>0</v>
      </c>
      <c r="O8" s="58">
        <f t="shared" si="2"/>
        <v>0</v>
      </c>
      <c r="P8" s="39">
        <f t="shared" si="3"/>
        <v>16</v>
      </c>
      <c r="Q8" s="40">
        <f t="shared" si="4"/>
        <v>8</v>
      </c>
      <c r="R8" s="7"/>
      <c r="S8" s="6">
        <v>8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0.66666666666666663</v>
      </c>
      <c r="AD8" s="10">
        <f t="shared" si="7"/>
        <v>0.66666666666666663</v>
      </c>
      <c r="AE8" s="36">
        <f t="shared" si="8"/>
        <v>0.38611111111111102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3566</v>
      </c>
      <c r="K9" s="15">
        <f>L9+1036+2500+4639+2951+2392+2902+2784</f>
        <v>22770</v>
      </c>
      <c r="L9" s="15">
        <f>2434+1132</f>
        <v>3566</v>
      </c>
      <c r="M9" s="15">
        <f t="shared" si="1"/>
        <v>3566</v>
      </c>
      <c r="N9" s="15">
        <v>0</v>
      </c>
      <c r="O9" s="58">
        <f t="shared" si="2"/>
        <v>0</v>
      </c>
      <c r="P9" s="39">
        <f t="shared" si="3"/>
        <v>18</v>
      </c>
      <c r="Q9" s="40">
        <f t="shared" si="4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0.75</v>
      </c>
      <c r="AD9" s="10">
        <f t="shared" si="7"/>
        <v>0.75</v>
      </c>
      <c r="AE9" s="36">
        <f t="shared" si="8"/>
        <v>0.38611111111111102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138</v>
      </c>
      <c r="D10" s="52" t="s">
        <v>139</v>
      </c>
      <c r="E10" s="53" t="s">
        <v>146</v>
      </c>
      <c r="F10" s="30" t="s">
        <v>140</v>
      </c>
      <c r="G10" s="33" t="s">
        <v>136</v>
      </c>
      <c r="H10" s="35">
        <v>24</v>
      </c>
      <c r="I10" s="7">
        <v>35000</v>
      </c>
      <c r="J10" s="5">
        <v>2799</v>
      </c>
      <c r="K10" s="15">
        <f>L10+3601+2209+6181+7284+1089+15594+5320+6949+5143+7270+3769+2517+6249+6681</f>
        <v>82655</v>
      </c>
      <c r="L10" s="15">
        <v>2799</v>
      </c>
      <c r="M10" s="15">
        <f t="shared" si="1"/>
        <v>2799</v>
      </c>
      <c r="N10" s="15">
        <v>0</v>
      </c>
      <c r="O10" s="58">
        <f t="shared" si="2"/>
        <v>0</v>
      </c>
      <c r="P10" s="39">
        <f t="shared" si="3"/>
        <v>9</v>
      </c>
      <c r="Q10" s="40">
        <f t="shared" si="4"/>
        <v>15</v>
      </c>
      <c r="R10" s="7"/>
      <c r="S10" s="6">
        <v>15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0.375</v>
      </c>
      <c r="AD10" s="10">
        <f>AC10*AB10*(1-O10)</f>
        <v>0.375</v>
      </c>
      <c r="AE10" s="36">
        <f t="shared" si="8"/>
        <v>0.38611111111111102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114</v>
      </c>
      <c r="D11" s="52" t="s">
        <v>122</v>
      </c>
      <c r="E11" s="53" t="s">
        <v>236</v>
      </c>
      <c r="F11" s="30" t="s">
        <v>248</v>
      </c>
      <c r="G11" s="33">
        <v>1</v>
      </c>
      <c r="H11" s="35">
        <v>24</v>
      </c>
      <c r="I11" s="7">
        <v>300</v>
      </c>
      <c r="J11" s="5">
        <v>677</v>
      </c>
      <c r="K11" s="15">
        <f>L11+677</f>
        <v>677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5"/>
        <v>0</v>
      </c>
      <c r="AC11" s="9">
        <f t="shared" si="6"/>
        <v>0</v>
      </c>
      <c r="AD11" s="10">
        <f>AC11*AB11*(1-O11)</f>
        <v>0</v>
      </c>
      <c r="AE11" s="36">
        <f t="shared" si="8"/>
        <v>0.38611111111111102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144</v>
      </c>
      <c r="F12" s="30" t="s">
        <v>121</v>
      </c>
      <c r="G12" s="33">
        <v>1</v>
      </c>
      <c r="H12" s="35">
        <v>24</v>
      </c>
      <c r="I12" s="7">
        <v>70000</v>
      </c>
      <c r="J12" s="14">
        <v>4199</v>
      </c>
      <c r="K12" s="15">
        <f>L12+2036+3193+2673+3958+1875+401+3155</f>
        <v>21490</v>
      </c>
      <c r="L12" s="15">
        <f>2074+2125</f>
        <v>4199</v>
      </c>
      <c r="M12" s="15">
        <f t="shared" si="1"/>
        <v>4199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ref="AD12:AD13" si="10">AC12*AB12*(1-O12)</f>
        <v>1</v>
      </c>
      <c r="AE12" s="36">
        <f t="shared" si="8"/>
        <v>0.38611111111111102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117</v>
      </c>
      <c r="E13" s="53" t="s">
        <v>223</v>
      </c>
      <c r="F13" s="30" t="s">
        <v>126</v>
      </c>
      <c r="G13" s="33">
        <v>1</v>
      </c>
      <c r="H13" s="35">
        <v>24</v>
      </c>
      <c r="I13" s="7">
        <v>300</v>
      </c>
      <c r="J13" s="14">
        <v>720</v>
      </c>
      <c r="K13" s="15">
        <f>L13+720</f>
        <v>720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5"/>
        <v>0</v>
      </c>
      <c r="AC13" s="9">
        <f t="shared" si="6"/>
        <v>0</v>
      </c>
      <c r="AD13" s="10">
        <f t="shared" si="10"/>
        <v>0</v>
      </c>
      <c r="AE13" s="36">
        <f t="shared" si="8"/>
        <v>0.38611111111111102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261</v>
      </c>
      <c r="F14" s="30" t="s">
        <v>262</v>
      </c>
      <c r="G14" s="33">
        <v>1</v>
      </c>
      <c r="H14" s="35">
        <v>24</v>
      </c>
      <c r="I14" s="7">
        <v>200</v>
      </c>
      <c r="J14" s="5">
        <v>220</v>
      </c>
      <c r="K14" s="15">
        <f>L14</f>
        <v>220</v>
      </c>
      <c r="L14" s="15">
        <v>220</v>
      </c>
      <c r="M14" s="15">
        <f t="shared" si="1"/>
        <v>220</v>
      </c>
      <c r="N14" s="15">
        <v>0</v>
      </c>
      <c r="O14" s="58">
        <f t="shared" si="2"/>
        <v>0</v>
      </c>
      <c r="P14" s="39">
        <f t="shared" si="3"/>
        <v>4</v>
      </c>
      <c r="Q14" s="40">
        <f t="shared" si="4"/>
        <v>20</v>
      </c>
      <c r="R14" s="7"/>
      <c r="S14" s="6"/>
      <c r="T14" s="16"/>
      <c r="U14" s="16"/>
      <c r="V14" s="17"/>
      <c r="W14" s="5">
        <v>20</v>
      </c>
      <c r="X14" s="16"/>
      <c r="Y14" s="16"/>
      <c r="Z14" s="16"/>
      <c r="AA14" s="18"/>
      <c r="AB14" s="8">
        <f t="shared" si="5"/>
        <v>1</v>
      </c>
      <c r="AC14" s="9">
        <f t="shared" si="6"/>
        <v>0.16666666666666666</v>
      </c>
      <c r="AD14" s="10">
        <f t="shared" si="7"/>
        <v>0.16666666666666666</v>
      </c>
      <c r="AE14" s="36">
        <f t="shared" si="8"/>
        <v>0.38611111111111102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214</v>
      </c>
      <c r="D15" s="52"/>
      <c r="E15" s="53" t="s">
        <v>215</v>
      </c>
      <c r="F15" s="12">
        <v>8301</v>
      </c>
      <c r="G15" s="12" t="s">
        <v>263</v>
      </c>
      <c r="H15" s="13">
        <v>24</v>
      </c>
      <c r="I15" s="31">
        <v>1000</v>
      </c>
      <c r="J15" s="14">
        <v>1350</v>
      </c>
      <c r="K15" s="15">
        <f>L15</f>
        <v>1350</v>
      </c>
      <c r="L15" s="15">
        <f>1350</f>
        <v>1350</v>
      </c>
      <c r="M15" s="15">
        <f t="shared" si="1"/>
        <v>1350</v>
      </c>
      <c r="N15" s="15">
        <v>0</v>
      </c>
      <c r="O15" s="58">
        <f t="shared" si="2"/>
        <v>0</v>
      </c>
      <c r="P15" s="39">
        <f t="shared" si="3"/>
        <v>10</v>
      </c>
      <c r="Q15" s="40">
        <f t="shared" si="4"/>
        <v>14</v>
      </c>
      <c r="R15" s="7"/>
      <c r="S15" s="6">
        <v>8</v>
      </c>
      <c r="T15" s="16"/>
      <c r="U15" s="16"/>
      <c r="V15" s="17"/>
      <c r="W15" s="5">
        <v>6</v>
      </c>
      <c r="X15" s="16"/>
      <c r="Y15" s="16"/>
      <c r="Z15" s="16"/>
      <c r="AA15" s="18"/>
      <c r="AB15" s="8">
        <f t="shared" si="5"/>
        <v>1</v>
      </c>
      <c r="AC15" s="9">
        <f t="shared" si="6"/>
        <v>0.41666666666666669</v>
      </c>
      <c r="AD15" s="10">
        <f t="shared" si="7"/>
        <v>0.41666666666666669</v>
      </c>
      <c r="AE15" s="36">
        <f t="shared" si="8"/>
        <v>0.38611111111111102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125</v>
      </c>
      <c r="E16" s="53" t="s">
        <v>264</v>
      </c>
      <c r="F16" s="30" t="s">
        <v>206</v>
      </c>
      <c r="G16" s="12">
        <v>1</v>
      </c>
      <c r="H16" s="13">
        <v>28</v>
      </c>
      <c r="I16" s="7">
        <v>3000</v>
      </c>
      <c r="J16" s="14">
        <v>2916</v>
      </c>
      <c r="K16" s="15">
        <f>L16</f>
        <v>2916</v>
      </c>
      <c r="L16" s="15">
        <f>641+2275</f>
        <v>2916</v>
      </c>
      <c r="M16" s="15">
        <f t="shared" si="1"/>
        <v>2916</v>
      </c>
      <c r="N16" s="15">
        <v>0</v>
      </c>
      <c r="O16" s="58">
        <f t="shared" si="2"/>
        <v>0</v>
      </c>
      <c r="P16" s="39">
        <f t="shared" si="3"/>
        <v>16</v>
      </c>
      <c r="Q16" s="40">
        <f t="shared" si="4"/>
        <v>8</v>
      </c>
      <c r="R16" s="7"/>
      <c r="S16" s="6"/>
      <c r="T16" s="16">
        <v>8</v>
      </c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0.66666666666666663</v>
      </c>
      <c r="AD16" s="10">
        <f t="shared" si="7"/>
        <v>0.66666666666666663</v>
      </c>
      <c r="AE16" s="36">
        <f t="shared" si="8"/>
        <v>0.38611111111111102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135</v>
      </c>
      <c r="E17" s="53" t="s">
        <v>238</v>
      </c>
      <c r="F17" s="30" t="s">
        <v>249</v>
      </c>
      <c r="G17" s="33">
        <v>1</v>
      </c>
      <c r="H17" s="35">
        <v>24</v>
      </c>
      <c r="I17" s="7">
        <v>300</v>
      </c>
      <c r="J17" s="5">
        <v>713</v>
      </c>
      <c r="K17" s="15">
        <f>L17+713</f>
        <v>713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0.38611111111111102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124</v>
      </c>
      <c r="D18" s="52" t="s">
        <v>117</v>
      </c>
      <c r="E18" s="53" t="s">
        <v>165</v>
      </c>
      <c r="F18" s="30" t="s">
        <v>141</v>
      </c>
      <c r="G18" s="33">
        <v>1</v>
      </c>
      <c r="H18" s="35">
        <v>24</v>
      </c>
      <c r="I18" s="7">
        <v>8000</v>
      </c>
      <c r="J18" s="5">
        <v>2968</v>
      </c>
      <c r="K18" s="15">
        <f>L18+380+291+544</f>
        <v>4183</v>
      </c>
      <c r="L18" s="15">
        <f>2148+820</f>
        <v>2968</v>
      </c>
      <c r="M18" s="15">
        <f t="shared" si="1"/>
        <v>2968</v>
      </c>
      <c r="N18" s="15">
        <v>0</v>
      </c>
      <c r="O18" s="58">
        <f t="shared" si="2"/>
        <v>0</v>
      </c>
      <c r="P18" s="39">
        <f t="shared" si="3"/>
        <v>15</v>
      </c>
      <c r="Q18" s="40">
        <f t="shared" si="4"/>
        <v>9</v>
      </c>
      <c r="R18" s="7"/>
      <c r="S18" s="6">
        <v>9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0.625</v>
      </c>
      <c r="AD18" s="10">
        <f>AC18*AB18*(1-O18)</f>
        <v>0.625</v>
      </c>
      <c r="AE18" s="36">
        <f t="shared" si="8"/>
        <v>0.38611111111111102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114</v>
      </c>
      <c r="D19" s="52" t="s">
        <v>117</v>
      </c>
      <c r="E19" s="53" t="s">
        <v>265</v>
      </c>
      <c r="F19" s="30" t="s">
        <v>123</v>
      </c>
      <c r="G19" s="33">
        <v>1</v>
      </c>
      <c r="H19" s="35">
        <v>24</v>
      </c>
      <c r="I19" s="7">
        <v>200</v>
      </c>
      <c r="J19" s="14">
        <v>853</v>
      </c>
      <c r="K19" s="15">
        <f>L19</f>
        <v>853</v>
      </c>
      <c r="L19" s="15">
        <f>102+751</f>
        <v>853</v>
      </c>
      <c r="M19" s="15">
        <f t="shared" ref="M19" si="11">L19-N19</f>
        <v>853</v>
      </c>
      <c r="N19" s="15">
        <v>0</v>
      </c>
      <c r="O19" s="58">
        <f t="shared" ref="O19" si="12">IF(L19=0,"0",N19/L19)</f>
        <v>0</v>
      </c>
      <c r="P19" s="39">
        <f t="shared" ref="P19" si="13">IF(L19=0,"0",(24-Q19))</f>
        <v>5</v>
      </c>
      <c r="Q19" s="40">
        <f t="shared" ref="Q19" si="14">SUM(R19:AA19)</f>
        <v>19</v>
      </c>
      <c r="R19" s="7"/>
      <c r="S19" s="6"/>
      <c r="T19" s="16"/>
      <c r="U19" s="16"/>
      <c r="V19" s="17"/>
      <c r="W19" s="5">
        <v>19</v>
      </c>
      <c r="X19" s="16"/>
      <c r="Y19" s="16"/>
      <c r="Z19" s="16"/>
      <c r="AA19" s="18"/>
      <c r="AB19" s="8">
        <f t="shared" ref="AB19" si="15">IF(J19=0,"0",(L19/J19))</f>
        <v>1</v>
      </c>
      <c r="AC19" s="9">
        <f t="shared" ref="AC19" si="16">IF(P19=0,"0",(P19/24))</f>
        <v>0.20833333333333334</v>
      </c>
      <c r="AD19" s="10">
        <f t="shared" ref="AD19" si="17">AC19*AB19*(1-O19)</f>
        <v>0.20833333333333334</v>
      </c>
      <c r="AE19" s="36">
        <f t="shared" si="8"/>
        <v>0.38611111111111102</v>
      </c>
      <c r="AF19" s="87">
        <f t="shared" ref="AF19" si="18">A19</f>
        <v>14</v>
      </c>
    </row>
    <row r="20" spans="1:32" ht="27" customHeight="1">
      <c r="A20" s="103">
        <v>14</v>
      </c>
      <c r="B20" s="11" t="s">
        <v>57</v>
      </c>
      <c r="C20" s="11" t="s">
        <v>124</v>
      </c>
      <c r="D20" s="52" t="s">
        <v>117</v>
      </c>
      <c r="E20" s="53" t="s">
        <v>266</v>
      </c>
      <c r="F20" s="30" t="s">
        <v>267</v>
      </c>
      <c r="G20" s="33">
        <v>1</v>
      </c>
      <c r="H20" s="35">
        <v>24</v>
      </c>
      <c r="I20" s="7">
        <v>4500</v>
      </c>
      <c r="J20" s="14">
        <v>1918</v>
      </c>
      <c r="K20" s="15">
        <f>L20</f>
        <v>1918</v>
      </c>
      <c r="L20" s="15">
        <f>1918</f>
        <v>1918</v>
      </c>
      <c r="M20" s="15">
        <f t="shared" si="1"/>
        <v>1918</v>
      </c>
      <c r="N20" s="15">
        <v>0</v>
      </c>
      <c r="O20" s="58">
        <f t="shared" si="2"/>
        <v>0</v>
      </c>
      <c r="P20" s="39">
        <f t="shared" si="3"/>
        <v>11</v>
      </c>
      <c r="Q20" s="40">
        <f t="shared" si="4"/>
        <v>13</v>
      </c>
      <c r="R20" s="7"/>
      <c r="S20" s="6"/>
      <c r="T20" s="16">
        <v>13</v>
      </c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0.45833333333333331</v>
      </c>
      <c r="AD20" s="10">
        <f t="shared" si="7"/>
        <v>0.45833333333333331</v>
      </c>
      <c r="AE20" s="36">
        <f t="shared" si="8"/>
        <v>0.38611111111111102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268</v>
      </c>
      <c r="F21" s="12" t="s">
        <v>116</v>
      </c>
      <c r="G21" s="12">
        <v>4</v>
      </c>
      <c r="H21" s="35">
        <v>20</v>
      </c>
      <c r="I21" s="7">
        <v>80000</v>
      </c>
      <c r="J21" s="14">
        <v>33696</v>
      </c>
      <c r="K21" s="15">
        <f>L21</f>
        <v>33696</v>
      </c>
      <c r="L21" s="15">
        <f>8424*4</f>
        <v>33696</v>
      </c>
      <c r="M21" s="15">
        <f t="shared" si="1"/>
        <v>33696</v>
      </c>
      <c r="N21" s="15">
        <v>0</v>
      </c>
      <c r="O21" s="58">
        <f t="shared" si="2"/>
        <v>0</v>
      </c>
      <c r="P21" s="39">
        <f t="shared" si="3"/>
        <v>11</v>
      </c>
      <c r="Q21" s="40">
        <f t="shared" si="4"/>
        <v>13</v>
      </c>
      <c r="R21" s="7"/>
      <c r="S21" s="6">
        <v>13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0.45833333333333331</v>
      </c>
      <c r="AD21" s="10">
        <f t="shared" si="7"/>
        <v>0.45833333333333331</v>
      </c>
      <c r="AE21" s="36">
        <f t="shared" si="8"/>
        <v>0.38611111111111102</v>
      </c>
      <c r="AF21" s="87">
        <f t="shared" si="9"/>
        <v>15</v>
      </c>
    </row>
    <row r="22" spans="1:32" ht="31.5" customHeight="1" thickBot="1">
      <c r="A22" s="541" t="s">
        <v>34</v>
      </c>
      <c r="B22" s="542"/>
      <c r="C22" s="542"/>
      <c r="D22" s="542"/>
      <c r="E22" s="542"/>
      <c r="F22" s="542"/>
      <c r="G22" s="542"/>
      <c r="H22" s="543"/>
      <c r="I22" s="22">
        <f t="shared" ref="I22:N22" si="19">SUM(I6:I21)</f>
        <v>307800</v>
      </c>
      <c r="J22" s="19">
        <f t="shared" si="19"/>
        <v>61471</v>
      </c>
      <c r="K22" s="20">
        <f t="shared" si="19"/>
        <v>190861</v>
      </c>
      <c r="L22" s="21">
        <f t="shared" si="19"/>
        <v>57300</v>
      </c>
      <c r="M22" s="20">
        <f t="shared" si="19"/>
        <v>57300</v>
      </c>
      <c r="N22" s="21">
        <f t="shared" si="19"/>
        <v>0</v>
      </c>
      <c r="O22" s="41">
        <f t="shared" si="2"/>
        <v>0</v>
      </c>
      <c r="P22" s="42">
        <f t="shared" ref="P22:AA22" si="20">SUM(P6:P21)</f>
        <v>139</v>
      </c>
      <c r="Q22" s="43">
        <f t="shared" si="20"/>
        <v>245</v>
      </c>
      <c r="R22" s="23">
        <f t="shared" si="20"/>
        <v>24</v>
      </c>
      <c r="S22" s="24">
        <f t="shared" si="20"/>
        <v>59</v>
      </c>
      <c r="T22" s="24">
        <f t="shared" si="20"/>
        <v>21</v>
      </c>
      <c r="U22" s="24">
        <f t="shared" si="20"/>
        <v>0</v>
      </c>
      <c r="V22" s="25">
        <f t="shared" si="20"/>
        <v>24</v>
      </c>
      <c r="W22" s="26">
        <f t="shared" si="20"/>
        <v>69</v>
      </c>
      <c r="X22" s="27">
        <f t="shared" si="20"/>
        <v>0</v>
      </c>
      <c r="Y22" s="27">
        <f t="shared" si="20"/>
        <v>0</v>
      </c>
      <c r="Z22" s="27">
        <f t="shared" si="20"/>
        <v>0</v>
      </c>
      <c r="AA22" s="27">
        <f t="shared" si="20"/>
        <v>48</v>
      </c>
      <c r="AB22" s="28">
        <f>SUM(AB6:AB21)/15</f>
        <v>0.73333333333333328</v>
      </c>
      <c r="AC22" s="4">
        <f>SUM(AC6:AC21)/15</f>
        <v>0.38611111111111102</v>
      </c>
      <c r="AD22" s="4">
        <f>SUM(AD6:AD21)/15</f>
        <v>0.38611111111111102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44" t="s">
        <v>45</v>
      </c>
      <c r="B49" s="544"/>
      <c r="C49" s="544"/>
      <c r="D49" s="544"/>
      <c r="E49" s="544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45" t="s">
        <v>269</v>
      </c>
      <c r="B50" s="546"/>
      <c r="C50" s="546"/>
      <c r="D50" s="546"/>
      <c r="E50" s="546"/>
      <c r="F50" s="546"/>
      <c r="G50" s="546"/>
      <c r="H50" s="546"/>
      <c r="I50" s="546"/>
      <c r="J50" s="546"/>
      <c r="K50" s="546"/>
      <c r="L50" s="546"/>
      <c r="M50" s="547"/>
      <c r="N50" s="548" t="s">
        <v>256</v>
      </c>
      <c r="O50" s="549"/>
      <c r="P50" s="549"/>
      <c r="Q50" s="549"/>
      <c r="R50" s="549"/>
      <c r="S50" s="549"/>
      <c r="T50" s="549"/>
      <c r="U50" s="549"/>
      <c r="V50" s="549"/>
      <c r="W50" s="549"/>
      <c r="X50" s="549"/>
      <c r="Y50" s="549"/>
      <c r="Z50" s="549"/>
      <c r="AA50" s="549"/>
      <c r="AB50" s="549"/>
      <c r="AC50" s="549"/>
      <c r="AD50" s="550"/>
    </row>
    <row r="51" spans="1:32" ht="27" customHeight="1">
      <c r="A51" s="551" t="s">
        <v>2</v>
      </c>
      <c r="B51" s="552"/>
      <c r="C51" s="195" t="s">
        <v>46</v>
      </c>
      <c r="D51" s="195" t="s">
        <v>47</v>
      </c>
      <c r="E51" s="195" t="s">
        <v>108</v>
      </c>
      <c r="F51" s="552" t="s">
        <v>107</v>
      </c>
      <c r="G51" s="552"/>
      <c r="H51" s="552"/>
      <c r="I51" s="552"/>
      <c r="J51" s="552"/>
      <c r="K51" s="552"/>
      <c r="L51" s="552"/>
      <c r="M51" s="553"/>
      <c r="N51" s="67" t="s">
        <v>112</v>
      </c>
      <c r="O51" s="195" t="s">
        <v>46</v>
      </c>
      <c r="P51" s="554" t="s">
        <v>47</v>
      </c>
      <c r="Q51" s="555"/>
      <c r="R51" s="554" t="s">
        <v>38</v>
      </c>
      <c r="S51" s="556"/>
      <c r="T51" s="556"/>
      <c r="U51" s="555"/>
      <c r="V51" s="554" t="s">
        <v>48</v>
      </c>
      <c r="W51" s="556"/>
      <c r="X51" s="556"/>
      <c r="Y51" s="556"/>
      <c r="Z51" s="556"/>
      <c r="AA51" s="556"/>
      <c r="AB51" s="556"/>
      <c r="AC51" s="556"/>
      <c r="AD51" s="557"/>
    </row>
    <row r="52" spans="1:32" ht="27" customHeight="1">
      <c r="A52" s="524" t="s">
        <v>138</v>
      </c>
      <c r="B52" s="525"/>
      <c r="C52" s="193" t="s">
        <v>155</v>
      </c>
      <c r="D52" s="193" t="s">
        <v>156</v>
      </c>
      <c r="E52" s="193" t="s">
        <v>146</v>
      </c>
      <c r="F52" s="517" t="s">
        <v>199</v>
      </c>
      <c r="G52" s="518"/>
      <c r="H52" s="518"/>
      <c r="I52" s="518"/>
      <c r="J52" s="518"/>
      <c r="K52" s="518"/>
      <c r="L52" s="518"/>
      <c r="M52" s="526"/>
      <c r="N52" s="192" t="s">
        <v>114</v>
      </c>
      <c r="O52" s="190" t="s">
        <v>170</v>
      </c>
      <c r="P52" s="536" t="s">
        <v>212</v>
      </c>
      <c r="Q52" s="537"/>
      <c r="R52" s="536" t="s">
        <v>211</v>
      </c>
      <c r="S52" s="538"/>
      <c r="T52" s="538"/>
      <c r="U52" s="537"/>
      <c r="V52" s="503" t="s">
        <v>157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124</v>
      </c>
      <c r="B53" s="525"/>
      <c r="C53" s="193" t="s">
        <v>234</v>
      </c>
      <c r="D53" s="193" t="s">
        <v>117</v>
      </c>
      <c r="E53" s="193" t="s">
        <v>165</v>
      </c>
      <c r="F53" s="517" t="s">
        <v>270</v>
      </c>
      <c r="G53" s="518"/>
      <c r="H53" s="518"/>
      <c r="I53" s="518"/>
      <c r="J53" s="518"/>
      <c r="K53" s="518"/>
      <c r="L53" s="518"/>
      <c r="M53" s="526"/>
      <c r="N53" s="192" t="s">
        <v>124</v>
      </c>
      <c r="O53" s="190" t="s">
        <v>234</v>
      </c>
      <c r="P53" s="536" t="s">
        <v>117</v>
      </c>
      <c r="Q53" s="537"/>
      <c r="R53" s="536" t="s">
        <v>165</v>
      </c>
      <c r="S53" s="538"/>
      <c r="T53" s="538"/>
      <c r="U53" s="537"/>
      <c r="V53" s="503" t="s">
        <v>157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124</v>
      </c>
      <c r="B54" s="525"/>
      <c r="C54" s="193" t="s">
        <v>171</v>
      </c>
      <c r="D54" s="193" t="s">
        <v>117</v>
      </c>
      <c r="E54" s="193" t="s">
        <v>271</v>
      </c>
      <c r="F54" s="517" t="s">
        <v>120</v>
      </c>
      <c r="G54" s="518"/>
      <c r="H54" s="518"/>
      <c r="I54" s="518"/>
      <c r="J54" s="518"/>
      <c r="K54" s="518"/>
      <c r="L54" s="518"/>
      <c r="M54" s="526"/>
      <c r="N54" s="192" t="s">
        <v>124</v>
      </c>
      <c r="O54" s="190" t="s">
        <v>171</v>
      </c>
      <c r="P54" s="536" t="s">
        <v>117</v>
      </c>
      <c r="Q54" s="537"/>
      <c r="R54" s="525" t="s">
        <v>235</v>
      </c>
      <c r="S54" s="525"/>
      <c r="T54" s="525"/>
      <c r="U54" s="525"/>
      <c r="V54" s="503" t="s">
        <v>157</v>
      </c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114</v>
      </c>
      <c r="B55" s="525"/>
      <c r="C55" s="193" t="s">
        <v>170</v>
      </c>
      <c r="D55" s="193" t="s">
        <v>222</v>
      </c>
      <c r="E55" s="193" t="s">
        <v>211</v>
      </c>
      <c r="F55" s="517" t="s">
        <v>253</v>
      </c>
      <c r="G55" s="518"/>
      <c r="H55" s="518"/>
      <c r="I55" s="518"/>
      <c r="J55" s="518"/>
      <c r="K55" s="518"/>
      <c r="L55" s="518"/>
      <c r="M55" s="526"/>
      <c r="N55" s="192"/>
      <c r="O55" s="190"/>
      <c r="P55" s="536"/>
      <c r="Q55" s="537"/>
      <c r="R55" s="525"/>
      <c r="S55" s="525"/>
      <c r="T55" s="525"/>
      <c r="U55" s="525"/>
      <c r="V55" s="503"/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 t="s">
        <v>114</v>
      </c>
      <c r="B56" s="525"/>
      <c r="C56" s="193" t="s">
        <v>131</v>
      </c>
      <c r="D56" s="193" t="s">
        <v>142</v>
      </c>
      <c r="E56" s="193" t="s">
        <v>145</v>
      </c>
      <c r="F56" s="517" t="s">
        <v>254</v>
      </c>
      <c r="G56" s="518"/>
      <c r="H56" s="518"/>
      <c r="I56" s="518"/>
      <c r="J56" s="518"/>
      <c r="K56" s="518"/>
      <c r="L56" s="518"/>
      <c r="M56" s="526"/>
      <c r="N56" s="192"/>
      <c r="O56" s="190"/>
      <c r="P56" s="536"/>
      <c r="Q56" s="537"/>
      <c r="R56" s="536"/>
      <c r="S56" s="538"/>
      <c r="T56" s="538"/>
      <c r="U56" s="537"/>
      <c r="V56" s="503"/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 t="s">
        <v>114</v>
      </c>
      <c r="B57" s="525"/>
      <c r="C57" s="193" t="s">
        <v>150</v>
      </c>
      <c r="D57" s="193" t="s">
        <v>117</v>
      </c>
      <c r="E57" s="193" t="s">
        <v>144</v>
      </c>
      <c r="F57" s="517" t="s">
        <v>255</v>
      </c>
      <c r="G57" s="518"/>
      <c r="H57" s="518"/>
      <c r="I57" s="518"/>
      <c r="J57" s="518"/>
      <c r="K57" s="518"/>
      <c r="L57" s="518"/>
      <c r="M57" s="526"/>
      <c r="N57" s="192"/>
      <c r="O57" s="190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/>
      <c r="B58" s="525"/>
      <c r="C58" s="193"/>
      <c r="D58" s="193"/>
      <c r="E58" s="193"/>
      <c r="F58" s="517"/>
      <c r="G58" s="518"/>
      <c r="H58" s="518"/>
      <c r="I58" s="518"/>
      <c r="J58" s="518"/>
      <c r="K58" s="518"/>
      <c r="L58" s="518"/>
      <c r="M58" s="526"/>
      <c r="N58" s="192"/>
      <c r="O58" s="190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/>
      <c r="B59" s="525"/>
      <c r="C59" s="193"/>
      <c r="D59" s="193"/>
      <c r="E59" s="193"/>
      <c r="F59" s="517"/>
      <c r="G59" s="518"/>
      <c r="H59" s="518"/>
      <c r="I59" s="518"/>
      <c r="J59" s="518"/>
      <c r="K59" s="518"/>
      <c r="L59" s="518"/>
      <c r="M59" s="526"/>
      <c r="N59" s="192"/>
      <c r="O59" s="190"/>
      <c r="P59" s="536"/>
      <c r="Q59" s="537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</row>
    <row r="60" spans="1:32" ht="27" customHeight="1">
      <c r="A60" s="524"/>
      <c r="B60" s="525"/>
      <c r="C60" s="193"/>
      <c r="D60" s="193"/>
      <c r="E60" s="193"/>
      <c r="F60" s="517"/>
      <c r="G60" s="518"/>
      <c r="H60" s="518"/>
      <c r="I60" s="518"/>
      <c r="J60" s="518"/>
      <c r="K60" s="518"/>
      <c r="L60" s="518"/>
      <c r="M60" s="526"/>
      <c r="N60" s="192"/>
      <c r="O60" s="190"/>
      <c r="P60" s="525"/>
      <c r="Q60" s="525"/>
      <c r="R60" s="525"/>
      <c r="S60" s="525"/>
      <c r="T60" s="525"/>
      <c r="U60" s="525"/>
      <c r="V60" s="503"/>
      <c r="W60" s="503"/>
      <c r="X60" s="503"/>
      <c r="Y60" s="503"/>
      <c r="Z60" s="503"/>
      <c r="AA60" s="503"/>
      <c r="AB60" s="503"/>
      <c r="AC60" s="503"/>
      <c r="AD60" s="527"/>
      <c r="AF60" s="87">
        <f>8*3000</f>
        <v>24000</v>
      </c>
    </row>
    <row r="61" spans="1:32" ht="27" customHeight="1" thickBot="1">
      <c r="A61" s="528"/>
      <c r="B61" s="529"/>
      <c r="C61" s="194"/>
      <c r="D61" s="194"/>
      <c r="E61" s="194"/>
      <c r="F61" s="530"/>
      <c r="G61" s="531"/>
      <c r="H61" s="531"/>
      <c r="I61" s="531"/>
      <c r="J61" s="531"/>
      <c r="K61" s="531"/>
      <c r="L61" s="531"/>
      <c r="M61" s="532"/>
      <c r="N61" s="124"/>
      <c r="O61" s="114"/>
      <c r="P61" s="533"/>
      <c r="Q61" s="533"/>
      <c r="R61" s="533"/>
      <c r="S61" s="533"/>
      <c r="T61" s="533"/>
      <c r="U61" s="533"/>
      <c r="V61" s="534"/>
      <c r="W61" s="534"/>
      <c r="X61" s="534"/>
      <c r="Y61" s="534"/>
      <c r="Z61" s="534"/>
      <c r="AA61" s="534"/>
      <c r="AB61" s="534"/>
      <c r="AC61" s="534"/>
      <c r="AD61" s="535"/>
      <c r="AF61" s="87">
        <f>16*3000</f>
        <v>48000</v>
      </c>
    </row>
    <row r="62" spans="1:32" ht="27.75" thickBot="1">
      <c r="A62" s="522" t="s">
        <v>272</v>
      </c>
      <c r="B62" s="522"/>
      <c r="C62" s="522"/>
      <c r="D62" s="522"/>
      <c r="E62" s="52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523" t="s">
        <v>113</v>
      </c>
      <c r="B63" s="515"/>
      <c r="C63" s="191" t="s">
        <v>2</v>
      </c>
      <c r="D63" s="191" t="s">
        <v>37</v>
      </c>
      <c r="E63" s="191" t="s">
        <v>3</v>
      </c>
      <c r="F63" s="515" t="s">
        <v>110</v>
      </c>
      <c r="G63" s="515"/>
      <c r="H63" s="515"/>
      <c r="I63" s="515"/>
      <c r="J63" s="515"/>
      <c r="K63" s="515" t="s">
        <v>39</v>
      </c>
      <c r="L63" s="515"/>
      <c r="M63" s="191" t="s">
        <v>40</v>
      </c>
      <c r="N63" s="515" t="s">
        <v>41</v>
      </c>
      <c r="O63" s="515"/>
      <c r="P63" s="512" t="s">
        <v>42</v>
      </c>
      <c r="Q63" s="514"/>
      <c r="R63" s="512" t="s">
        <v>43</v>
      </c>
      <c r="S63" s="513"/>
      <c r="T63" s="513"/>
      <c r="U63" s="513"/>
      <c r="V63" s="513"/>
      <c r="W63" s="513"/>
      <c r="X63" s="513"/>
      <c r="Y63" s="513"/>
      <c r="Z63" s="513"/>
      <c r="AA63" s="514"/>
      <c r="AB63" s="515" t="s">
        <v>44</v>
      </c>
      <c r="AC63" s="515"/>
      <c r="AD63" s="516"/>
      <c r="AF63" s="87">
        <f>SUM(AF60:AF62)</f>
        <v>96000</v>
      </c>
    </row>
    <row r="64" spans="1:32" ht="25.5" customHeight="1">
      <c r="A64" s="498">
        <v>1</v>
      </c>
      <c r="B64" s="499"/>
      <c r="C64" s="117" t="s">
        <v>114</v>
      </c>
      <c r="D64" s="186"/>
      <c r="E64" s="189" t="s">
        <v>135</v>
      </c>
      <c r="F64" s="500" t="s">
        <v>273</v>
      </c>
      <c r="G64" s="492"/>
      <c r="H64" s="492"/>
      <c r="I64" s="492"/>
      <c r="J64" s="492"/>
      <c r="K64" s="492" t="s">
        <v>133</v>
      </c>
      <c r="L64" s="492"/>
      <c r="M64" s="51" t="s">
        <v>162</v>
      </c>
      <c r="N64" s="501" t="s">
        <v>163</v>
      </c>
      <c r="O64" s="501"/>
      <c r="P64" s="502">
        <v>200</v>
      </c>
      <c r="Q64" s="502"/>
      <c r="R64" s="503" t="s">
        <v>274</v>
      </c>
      <c r="S64" s="503"/>
      <c r="T64" s="503"/>
      <c r="U64" s="503"/>
      <c r="V64" s="503"/>
      <c r="W64" s="503"/>
      <c r="X64" s="503"/>
      <c r="Y64" s="503"/>
      <c r="Z64" s="503"/>
      <c r="AA64" s="503"/>
      <c r="AB64" s="507"/>
      <c r="AC64" s="520"/>
      <c r="AD64" s="521"/>
      <c r="AF64" s="50"/>
    </row>
    <row r="65" spans="1:32" ht="25.5" customHeight="1">
      <c r="A65" s="498">
        <v>2</v>
      </c>
      <c r="B65" s="499"/>
      <c r="C65" s="117" t="s">
        <v>114</v>
      </c>
      <c r="D65" s="186"/>
      <c r="E65" s="189" t="s">
        <v>117</v>
      </c>
      <c r="F65" s="504" t="s">
        <v>242</v>
      </c>
      <c r="G65" s="505"/>
      <c r="H65" s="505"/>
      <c r="I65" s="505"/>
      <c r="J65" s="506"/>
      <c r="K65" s="507" t="s">
        <v>243</v>
      </c>
      <c r="L65" s="499"/>
      <c r="M65" s="51" t="s">
        <v>162</v>
      </c>
      <c r="N65" s="501" t="s">
        <v>179</v>
      </c>
      <c r="O65" s="501"/>
      <c r="P65" s="510"/>
      <c r="Q65" s="511"/>
      <c r="R65" s="503" t="s">
        <v>275</v>
      </c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3</v>
      </c>
      <c r="B66" s="499"/>
      <c r="C66" s="117" t="s">
        <v>214</v>
      </c>
      <c r="D66" s="186"/>
      <c r="E66" s="189"/>
      <c r="F66" s="504" t="s">
        <v>215</v>
      </c>
      <c r="G66" s="505"/>
      <c r="H66" s="505"/>
      <c r="I66" s="505"/>
      <c r="J66" s="506"/>
      <c r="K66" s="507">
        <v>8301</v>
      </c>
      <c r="L66" s="499"/>
      <c r="M66" s="51" t="s">
        <v>162</v>
      </c>
      <c r="N66" s="508" t="s">
        <v>217</v>
      </c>
      <c r="O66" s="509"/>
      <c r="P66" s="510" t="s">
        <v>276</v>
      </c>
      <c r="Q66" s="511"/>
      <c r="R66" s="503" t="s">
        <v>277</v>
      </c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4</v>
      </c>
      <c r="B67" s="499"/>
      <c r="C67" s="117" t="s">
        <v>124</v>
      </c>
      <c r="D67" s="186"/>
      <c r="E67" s="189" t="s">
        <v>135</v>
      </c>
      <c r="F67" s="500" t="s">
        <v>143</v>
      </c>
      <c r="G67" s="492"/>
      <c r="H67" s="492"/>
      <c r="I67" s="492"/>
      <c r="J67" s="492"/>
      <c r="K67" s="492" t="s">
        <v>278</v>
      </c>
      <c r="L67" s="492"/>
      <c r="M67" s="51"/>
      <c r="N67" s="501" t="s">
        <v>132</v>
      </c>
      <c r="O67" s="501"/>
      <c r="P67" s="502"/>
      <c r="Q67" s="502"/>
      <c r="R67" s="503" t="s">
        <v>279</v>
      </c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5</v>
      </c>
      <c r="B68" s="499"/>
      <c r="C68" s="117"/>
      <c r="D68" s="186"/>
      <c r="E68" s="189"/>
      <c r="F68" s="500"/>
      <c r="G68" s="492"/>
      <c r="H68" s="492"/>
      <c r="I68" s="492"/>
      <c r="J68" s="492"/>
      <c r="K68" s="492"/>
      <c r="L68" s="492"/>
      <c r="M68" s="51"/>
      <c r="N68" s="501"/>
      <c r="O68" s="501"/>
      <c r="P68" s="502"/>
      <c r="Q68" s="502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6</v>
      </c>
      <c r="B69" s="499"/>
      <c r="C69" s="117"/>
      <c r="D69" s="186"/>
      <c r="E69" s="189"/>
      <c r="F69" s="500"/>
      <c r="G69" s="492"/>
      <c r="H69" s="492"/>
      <c r="I69" s="492"/>
      <c r="J69" s="492"/>
      <c r="K69" s="492"/>
      <c r="L69" s="492"/>
      <c r="M69" s="51"/>
      <c r="N69" s="501"/>
      <c r="O69" s="501"/>
      <c r="P69" s="502"/>
      <c r="Q69" s="502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7</v>
      </c>
      <c r="B70" s="499"/>
      <c r="C70" s="117"/>
      <c r="D70" s="186"/>
      <c r="E70" s="189"/>
      <c r="F70" s="500"/>
      <c r="G70" s="492"/>
      <c r="H70" s="492"/>
      <c r="I70" s="492"/>
      <c r="J70" s="492"/>
      <c r="K70" s="492"/>
      <c r="L70" s="492"/>
      <c r="M70" s="51"/>
      <c r="N70" s="501"/>
      <c r="O70" s="501"/>
      <c r="P70" s="502"/>
      <c r="Q70" s="502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5.5" customHeight="1">
      <c r="A71" s="498">
        <v>8</v>
      </c>
      <c r="B71" s="499"/>
      <c r="C71" s="117"/>
      <c r="D71" s="186"/>
      <c r="E71" s="189"/>
      <c r="F71" s="500"/>
      <c r="G71" s="492"/>
      <c r="H71" s="492"/>
      <c r="I71" s="492"/>
      <c r="J71" s="492"/>
      <c r="K71" s="492"/>
      <c r="L71" s="492"/>
      <c r="M71" s="51"/>
      <c r="N71" s="501"/>
      <c r="O71" s="501"/>
      <c r="P71" s="502"/>
      <c r="Q71" s="502"/>
      <c r="R71" s="503"/>
      <c r="S71" s="503"/>
      <c r="T71" s="503"/>
      <c r="U71" s="503"/>
      <c r="V71" s="503"/>
      <c r="W71" s="503"/>
      <c r="X71" s="503"/>
      <c r="Y71" s="503"/>
      <c r="Z71" s="503"/>
      <c r="AA71" s="503"/>
      <c r="AB71" s="492"/>
      <c r="AC71" s="492"/>
      <c r="AD71" s="493"/>
      <c r="AF71" s="50"/>
    </row>
    <row r="72" spans="1:32" ht="26.25" customHeight="1" thickBot="1">
      <c r="A72" s="472" t="s">
        <v>280</v>
      </c>
      <c r="B72" s="472"/>
      <c r="C72" s="472"/>
      <c r="D72" s="472"/>
      <c r="E72" s="472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73" t="s">
        <v>113</v>
      </c>
      <c r="B73" s="474"/>
      <c r="C73" s="188" t="s">
        <v>2</v>
      </c>
      <c r="D73" s="188" t="s">
        <v>37</v>
      </c>
      <c r="E73" s="188" t="s">
        <v>3</v>
      </c>
      <c r="F73" s="474" t="s">
        <v>38</v>
      </c>
      <c r="G73" s="474"/>
      <c r="H73" s="474"/>
      <c r="I73" s="474"/>
      <c r="J73" s="474"/>
      <c r="K73" s="494" t="s">
        <v>58</v>
      </c>
      <c r="L73" s="495"/>
      <c r="M73" s="495"/>
      <c r="N73" s="495"/>
      <c r="O73" s="495"/>
      <c r="P73" s="495"/>
      <c r="Q73" s="495"/>
      <c r="R73" s="495"/>
      <c r="S73" s="496"/>
      <c r="T73" s="474" t="s">
        <v>49</v>
      </c>
      <c r="U73" s="474"/>
      <c r="V73" s="494" t="s">
        <v>50</v>
      </c>
      <c r="W73" s="496"/>
      <c r="X73" s="495" t="s">
        <v>51</v>
      </c>
      <c r="Y73" s="495"/>
      <c r="Z73" s="495"/>
      <c r="AA73" s="495"/>
      <c r="AB73" s="495"/>
      <c r="AC73" s="495"/>
      <c r="AD73" s="497"/>
      <c r="AF73" s="50"/>
    </row>
    <row r="74" spans="1:32" ht="33.75" customHeight="1">
      <c r="A74" s="466">
        <v>1</v>
      </c>
      <c r="B74" s="467"/>
      <c r="C74" s="187" t="s">
        <v>114</v>
      </c>
      <c r="D74" s="187"/>
      <c r="E74" s="65" t="s">
        <v>119</v>
      </c>
      <c r="F74" s="481" t="s">
        <v>118</v>
      </c>
      <c r="G74" s="482"/>
      <c r="H74" s="482"/>
      <c r="I74" s="482"/>
      <c r="J74" s="483"/>
      <c r="K74" s="484" t="s">
        <v>130</v>
      </c>
      <c r="L74" s="485"/>
      <c r="M74" s="485"/>
      <c r="N74" s="485"/>
      <c r="O74" s="485"/>
      <c r="P74" s="485"/>
      <c r="Q74" s="485"/>
      <c r="R74" s="485"/>
      <c r="S74" s="486"/>
      <c r="T74" s="487">
        <v>43675</v>
      </c>
      <c r="U74" s="488"/>
      <c r="V74" s="489"/>
      <c r="W74" s="489"/>
      <c r="X74" s="490"/>
      <c r="Y74" s="490"/>
      <c r="Z74" s="490"/>
      <c r="AA74" s="490"/>
      <c r="AB74" s="490"/>
      <c r="AC74" s="490"/>
      <c r="AD74" s="491"/>
      <c r="AF74" s="50"/>
    </row>
    <row r="75" spans="1:32" ht="30" customHeight="1">
      <c r="A75" s="459">
        <f>A74+1</f>
        <v>2</v>
      </c>
      <c r="B75" s="460"/>
      <c r="C75" s="186"/>
      <c r="D75" s="186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ref="A76:A82" si="21">A75+1</f>
        <v>3</v>
      </c>
      <c r="B76" s="460"/>
      <c r="C76" s="186"/>
      <c r="D76" s="186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21"/>
        <v>4</v>
      </c>
      <c r="B77" s="460"/>
      <c r="C77" s="186"/>
      <c r="D77" s="186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21"/>
        <v>5</v>
      </c>
      <c r="B78" s="460"/>
      <c r="C78" s="186"/>
      <c r="D78" s="186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21"/>
        <v>6</v>
      </c>
      <c r="B79" s="460"/>
      <c r="C79" s="186"/>
      <c r="D79" s="186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21"/>
        <v>7</v>
      </c>
      <c r="B80" s="460"/>
      <c r="C80" s="186"/>
      <c r="D80" s="186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21"/>
        <v>8</v>
      </c>
      <c r="B81" s="460"/>
      <c r="C81" s="186"/>
      <c r="D81" s="186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0" customHeight="1">
      <c r="A82" s="459">
        <f t="shared" si="21"/>
        <v>9</v>
      </c>
      <c r="B82" s="460"/>
      <c r="C82" s="186"/>
      <c r="D82" s="186"/>
      <c r="E82" s="32"/>
      <c r="F82" s="460"/>
      <c r="G82" s="460"/>
      <c r="H82" s="460"/>
      <c r="I82" s="460"/>
      <c r="J82" s="460"/>
      <c r="K82" s="475"/>
      <c r="L82" s="476"/>
      <c r="M82" s="476"/>
      <c r="N82" s="476"/>
      <c r="O82" s="476"/>
      <c r="P82" s="476"/>
      <c r="Q82" s="476"/>
      <c r="R82" s="476"/>
      <c r="S82" s="477"/>
      <c r="T82" s="478"/>
      <c r="U82" s="478"/>
      <c r="V82" s="478"/>
      <c r="W82" s="478"/>
      <c r="X82" s="479"/>
      <c r="Y82" s="479"/>
      <c r="Z82" s="479"/>
      <c r="AA82" s="479"/>
      <c r="AB82" s="479"/>
      <c r="AC82" s="479"/>
      <c r="AD82" s="480"/>
      <c r="AF82" s="50"/>
    </row>
    <row r="83" spans="1:32" ht="36" thickBot="1">
      <c r="A83" s="472" t="s">
        <v>281</v>
      </c>
      <c r="B83" s="472"/>
      <c r="C83" s="472"/>
      <c r="D83" s="472"/>
      <c r="E83" s="472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3" t="s">
        <v>113</v>
      </c>
      <c r="B84" s="474"/>
      <c r="C84" s="464" t="s">
        <v>52</v>
      </c>
      <c r="D84" s="464"/>
      <c r="E84" s="464" t="s">
        <v>53</v>
      </c>
      <c r="F84" s="464"/>
      <c r="G84" s="464"/>
      <c r="H84" s="464"/>
      <c r="I84" s="464"/>
      <c r="J84" s="464"/>
      <c r="K84" s="464" t="s">
        <v>54</v>
      </c>
      <c r="L84" s="464"/>
      <c r="M84" s="464"/>
      <c r="N84" s="464"/>
      <c r="O84" s="464"/>
      <c r="P84" s="464"/>
      <c r="Q84" s="464"/>
      <c r="R84" s="464"/>
      <c r="S84" s="464"/>
      <c r="T84" s="464" t="s">
        <v>55</v>
      </c>
      <c r="U84" s="464"/>
      <c r="V84" s="464" t="s">
        <v>56</v>
      </c>
      <c r="W84" s="464"/>
      <c r="X84" s="464"/>
      <c r="Y84" s="464" t="s">
        <v>51</v>
      </c>
      <c r="Z84" s="464"/>
      <c r="AA84" s="464"/>
      <c r="AB84" s="464"/>
      <c r="AC84" s="464"/>
      <c r="AD84" s="465"/>
      <c r="AF84" s="50"/>
    </row>
    <row r="85" spans="1:32" ht="30.75" customHeight="1">
      <c r="A85" s="466">
        <v>1</v>
      </c>
      <c r="B85" s="467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8"/>
      <c r="U85" s="468"/>
      <c r="V85" s="469"/>
      <c r="W85" s="469"/>
      <c r="X85" s="469"/>
      <c r="Y85" s="470"/>
      <c r="Z85" s="470"/>
      <c r="AA85" s="470"/>
      <c r="AB85" s="470"/>
      <c r="AC85" s="470"/>
      <c r="AD85" s="471"/>
      <c r="AF85" s="50"/>
    </row>
    <row r="86" spans="1:32" ht="30.75" customHeight="1">
      <c r="A86" s="459">
        <v>2</v>
      </c>
      <c r="B86" s="460"/>
      <c r="C86" s="461"/>
      <c r="D86" s="461"/>
      <c r="E86" s="461"/>
      <c r="F86" s="461"/>
      <c r="G86" s="461"/>
      <c r="H86" s="461"/>
      <c r="I86" s="461"/>
      <c r="J86" s="461"/>
      <c r="K86" s="461"/>
      <c r="L86" s="461"/>
      <c r="M86" s="461"/>
      <c r="N86" s="461"/>
      <c r="O86" s="461"/>
      <c r="P86" s="461"/>
      <c r="Q86" s="461"/>
      <c r="R86" s="461"/>
      <c r="S86" s="461"/>
      <c r="T86" s="462"/>
      <c r="U86" s="462"/>
      <c r="V86" s="463"/>
      <c r="W86" s="463"/>
      <c r="X86" s="463"/>
      <c r="Y86" s="452"/>
      <c r="Z86" s="452"/>
      <c r="AA86" s="452"/>
      <c r="AB86" s="452"/>
      <c r="AC86" s="452"/>
      <c r="AD86" s="453"/>
      <c r="AF86" s="50"/>
    </row>
    <row r="87" spans="1:32" ht="30.75" customHeight="1" thickBot="1">
      <c r="A87" s="454">
        <v>3</v>
      </c>
      <c r="B87" s="455"/>
      <c r="C87" s="456"/>
      <c r="D87" s="456"/>
      <c r="E87" s="456"/>
      <c r="F87" s="456"/>
      <c r="G87" s="456"/>
      <c r="H87" s="456"/>
      <c r="I87" s="456"/>
      <c r="J87" s="456"/>
      <c r="K87" s="456"/>
      <c r="L87" s="456"/>
      <c r="M87" s="456"/>
      <c r="N87" s="456"/>
      <c r="O87" s="456"/>
      <c r="P87" s="456"/>
      <c r="Q87" s="456"/>
      <c r="R87" s="456"/>
      <c r="S87" s="456"/>
      <c r="T87" s="456"/>
      <c r="U87" s="456"/>
      <c r="V87" s="456"/>
      <c r="W87" s="456"/>
      <c r="X87" s="456"/>
      <c r="Y87" s="457"/>
      <c r="Z87" s="457"/>
      <c r="AA87" s="457"/>
      <c r="AB87" s="457"/>
      <c r="AC87" s="457"/>
      <c r="AD87" s="458"/>
      <c r="AF87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9D0F-AA7D-40CD-BDA8-AE341D948575}">
  <dimension ref="A1:AF88"/>
  <sheetViews>
    <sheetView topLeftCell="A34" zoomScale="72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284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197" t="s">
        <v>17</v>
      </c>
      <c r="L5" s="197" t="s">
        <v>18</v>
      </c>
      <c r="M5" s="197" t="s">
        <v>19</v>
      </c>
      <c r="N5" s="19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2" si="1">L6-N6</f>
        <v>0</v>
      </c>
      <c r="N6" s="15">
        <v>0</v>
      </c>
      <c r="O6" s="58" t="str">
        <f t="shared" ref="O6:O23" si="2">IF(L6=0,"0",N6/L6)</f>
        <v>0</v>
      </c>
      <c r="P6" s="39" t="str">
        <f t="shared" ref="P6:P22" si="3">IF(L6=0,"0",(24-Q6))</f>
        <v>0</v>
      </c>
      <c r="Q6" s="40">
        <f t="shared" ref="Q6:Q22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2" si="5">IF(J6=0,"0",(L6/J6))</f>
        <v>0</v>
      </c>
      <c r="AC6" s="9">
        <f t="shared" ref="AC6:AC22" si="6">IF(P6=0,"0",(P6/24))</f>
        <v>0</v>
      </c>
      <c r="AD6" s="10">
        <f t="shared" ref="AD6:AD22" si="7">AC6*AB6*(1-O6)</f>
        <v>0</v>
      </c>
      <c r="AE6" s="36">
        <f t="shared" ref="AE6:AE22" si="8">$AD$23</f>
        <v>0.51944444444444449</v>
      </c>
      <c r="AF6" s="87">
        <f t="shared" ref="AF6:AF22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0.51944444444444449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114</v>
      </c>
      <c r="D8" s="52" t="s">
        <v>222</v>
      </c>
      <c r="E8" s="53" t="s">
        <v>211</v>
      </c>
      <c r="F8" s="30" t="s">
        <v>123</v>
      </c>
      <c r="G8" s="33">
        <v>1</v>
      </c>
      <c r="H8" s="35">
        <v>24</v>
      </c>
      <c r="I8" s="7">
        <v>14000</v>
      </c>
      <c r="J8" s="14">
        <v>4038</v>
      </c>
      <c r="K8" s="15">
        <f>L8+1392+945+2815</f>
        <v>9190</v>
      </c>
      <c r="L8" s="15">
        <f>2020+2018</f>
        <v>4038</v>
      </c>
      <c r="M8" s="15">
        <f t="shared" si="1"/>
        <v>4038</v>
      </c>
      <c r="N8" s="15">
        <v>0</v>
      </c>
      <c r="O8" s="58">
        <f t="shared" si="2"/>
        <v>0</v>
      </c>
      <c r="P8" s="39">
        <f t="shared" si="3"/>
        <v>22</v>
      </c>
      <c r="Q8" s="40">
        <f t="shared" si="4"/>
        <v>2</v>
      </c>
      <c r="R8" s="7"/>
      <c r="S8" s="6">
        <v>2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0.91666666666666663</v>
      </c>
      <c r="AD8" s="10">
        <f t="shared" si="7"/>
        <v>0.91666666666666663</v>
      </c>
      <c r="AE8" s="36">
        <f t="shared" si="8"/>
        <v>0.51944444444444449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4110</v>
      </c>
      <c r="K9" s="15">
        <f>L9+1036+2500+4639+2951+2392+2902+2784+3566</f>
        <v>26880</v>
      </c>
      <c r="L9" s="15">
        <f>1325+2785</f>
        <v>4110</v>
      </c>
      <c r="M9" s="15">
        <f t="shared" si="1"/>
        <v>4110</v>
      </c>
      <c r="N9" s="15">
        <v>0</v>
      </c>
      <c r="O9" s="58">
        <f t="shared" si="2"/>
        <v>0</v>
      </c>
      <c r="P9" s="39">
        <f t="shared" si="3"/>
        <v>20</v>
      </c>
      <c r="Q9" s="40">
        <f t="shared" si="4"/>
        <v>4</v>
      </c>
      <c r="R9" s="7"/>
      <c r="S9" s="6">
        <v>4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0.83333333333333337</v>
      </c>
      <c r="AD9" s="10">
        <f t="shared" si="7"/>
        <v>0.83333333333333337</v>
      </c>
      <c r="AE9" s="36">
        <f t="shared" si="8"/>
        <v>0.51944444444444449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285</v>
      </c>
      <c r="E10" s="53" t="s">
        <v>286</v>
      </c>
      <c r="F10" s="30" t="s">
        <v>123</v>
      </c>
      <c r="G10" s="33">
        <v>20</v>
      </c>
      <c r="H10" s="35">
        <v>24</v>
      </c>
      <c r="I10" s="7">
        <v>220000</v>
      </c>
      <c r="J10" s="5">
        <v>164120</v>
      </c>
      <c r="K10" s="15">
        <f>L10</f>
        <v>164120</v>
      </c>
      <c r="L10" s="15">
        <f>4671*20+3535*20</f>
        <v>164120</v>
      </c>
      <c r="M10" s="15">
        <f t="shared" si="1"/>
        <v>164120</v>
      </c>
      <c r="N10" s="15">
        <v>0</v>
      </c>
      <c r="O10" s="58">
        <f t="shared" si="2"/>
        <v>0</v>
      </c>
      <c r="P10" s="39">
        <f t="shared" si="3"/>
        <v>23</v>
      </c>
      <c r="Q10" s="40">
        <f t="shared" si="4"/>
        <v>1</v>
      </c>
      <c r="R10" s="7"/>
      <c r="S10" s="6"/>
      <c r="T10" s="16">
        <v>1</v>
      </c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0.95833333333333337</v>
      </c>
      <c r="AD10" s="10">
        <f>AC10*AB10*(1-O10)</f>
        <v>0.95833333333333337</v>
      </c>
      <c r="AE10" s="36">
        <f t="shared" si="8"/>
        <v>0.51944444444444449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287</v>
      </c>
      <c r="F11" s="30" t="s">
        <v>126</v>
      </c>
      <c r="G11" s="33">
        <v>1</v>
      </c>
      <c r="H11" s="35">
        <v>24</v>
      </c>
      <c r="I11" s="7">
        <v>2000</v>
      </c>
      <c r="J11" s="5">
        <v>2180</v>
      </c>
      <c r="K11" s="15">
        <f>L11</f>
        <v>2180</v>
      </c>
      <c r="L11" s="15">
        <f>300+1880</f>
        <v>2180</v>
      </c>
      <c r="M11" s="15">
        <f t="shared" si="1"/>
        <v>2180</v>
      </c>
      <c r="N11" s="15">
        <v>0</v>
      </c>
      <c r="O11" s="58">
        <f t="shared" si="2"/>
        <v>0</v>
      </c>
      <c r="P11" s="39">
        <f t="shared" si="3"/>
        <v>11</v>
      </c>
      <c r="Q11" s="40">
        <f t="shared" si="4"/>
        <v>13</v>
      </c>
      <c r="R11" s="7"/>
      <c r="S11" s="6">
        <v>13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0.45833333333333331</v>
      </c>
      <c r="AD11" s="10">
        <f>AC11*AB11*(1-O11)</f>
        <v>0.45833333333333331</v>
      </c>
      <c r="AE11" s="36">
        <f t="shared" si="8"/>
        <v>0.51944444444444449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144</v>
      </c>
      <c r="F12" s="30" t="s">
        <v>121</v>
      </c>
      <c r="G12" s="33">
        <v>1</v>
      </c>
      <c r="H12" s="35">
        <v>24</v>
      </c>
      <c r="I12" s="7">
        <v>70000</v>
      </c>
      <c r="J12" s="14">
        <v>2859</v>
      </c>
      <c r="K12" s="15">
        <f>L12+2036+3193+2673+3958+1875+401+3155+4199</f>
        <v>24349</v>
      </c>
      <c r="L12" s="15">
        <f>607+2252</f>
        <v>2859</v>
      </c>
      <c r="M12" s="15">
        <f t="shared" si="1"/>
        <v>2859</v>
      </c>
      <c r="N12" s="15">
        <v>0</v>
      </c>
      <c r="O12" s="58">
        <f t="shared" si="2"/>
        <v>0</v>
      </c>
      <c r="P12" s="39">
        <f t="shared" si="3"/>
        <v>15</v>
      </c>
      <c r="Q12" s="40">
        <f t="shared" si="4"/>
        <v>9</v>
      </c>
      <c r="R12" s="7"/>
      <c r="S12" s="6">
        <v>9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0.625</v>
      </c>
      <c r="AD12" s="10">
        <f t="shared" ref="AD12:AD13" si="10">AC12*AB12*(1-O12)</f>
        <v>0.625</v>
      </c>
      <c r="AE12" s="36">
        <f t="shared" si="8"/>
        <v>0.51944444444444449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288</v>
      </c>
      <c r="D13" s="52" t="s">
        <v>135</v>
      </c>
      <c r="E13" s="53" t="s">
        <v>289</v>
      </c>
      <c r="F13" s="30" t="s">
        <v>248</v>
      </c>
      <c r="G13" s="33">
        <v>1</v>
      </c>
      <c r="H13" s="35">
        <v>24</v>
      </c>
      <c r="I13" s="7">
        <v>100</v>
      </c>
      <c r="J13" s="14">
        <v>150</v>
      </c>
      <c r="K13" s="15">
        <f>L13</f>
        <v>150</v>
      </c>
      <c r="L13" s="15">
        <v>150</v>
      </c>
      <c r="M13" s="15">
        <f t="shared" si="1"/>
        <v>150</v>
      </c>
      <c r="N13" s="15">
        <v>0</v>
      </c>
      <c r="O13" s="58">
        <f t="shared" si="2"/>
        <v>0</v>
      </c>
      <c r="P13" s="39">
        <f t="shared" si="3"/>
        <v>4</v>
      </c>
      <c r="Q13" s="40">
        <f t="shared" si="4"/>
        <v>20</v>
      </c>
      <c r="R13" s="7"/>
      <c r="S13" s="6"/>
      <c r="T13" s="16"/>
      <c r="U13" s="16"/>
      <c r="V13" s="17"/>
      <c r="W13" s="5">
        <v>20</v>
      </c>
      <c r="X13" s="16"/>
      <c r="Y13" s="16"/>
      <c r="Z13" s="16"/>
      <c r="AA13" s="18"/>
      <c r="AB13" s="8">
        <f t="shared" si="5"/>
        <v>1</v>
      </c>
      <c r="AC13" s="9">
        <f t="shared" si="6"/>
        <v>0.16666666666666666</v>
      </c>
      <c r="AD13" s="10">
        <f t="shared" si="10"/>
        <v>0.16666666666666666</v>
      </c>
      <c r="AE13" s="36">
        <f t="shared" si="8"/>
        <v>0.51944444444444449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290</v>
      </c>
      <c r="F14" s="30" t="s">
        <v>262</v>
      </c>
      <c r="G14" s="33">
        <v>1</v>
      </c>
      <c r="H14" s="35">
        <v>24</v>
      </c>
      <c r="I14" s="7">
        <v>200</v>
      </c>
      <c r="J14" s="5">
        <v>300</v>
      </c>
      <c r="K14" s="15">
        <f>L14</f>
        <v>300</v>
      </c>
      <c r="L14" s="15">
        <v>300</v>
      </c>
      <c r="M14" s="15">
        <f t="shared" si="1"/>
        <v>300</v>
      </c>
      <c r="N14" s="15">
        <v>0</v>
      </c>
      <c r="O14" s="58">
        <f t="shared" si="2"/>
        <v>0</v>
      </c>
      <c r="P14" s="39">
        <f t="shared" si="3"/>
        <v>5</v>
      </c>
      <c r="Q14" s="40">
        <f t="shared" si="4"/>
        <v>19</v>
      </c>
      <c r="R14" s="7"/>
      <c r="S14" s="6"/>
      <c r="T14" s="16"/>
      <c r="U14" s="16"/>
      <c r="V14" s="17"/>
      <c r="W14" s="5">
        <v>19</v>
      </c>
      <c r="X14" s="16"/>
      <c r="Y14" s="16"/>
      <c r="Z14" s="16"/>
      <c r="AA14" s="18"/>
      <c r="AB14" s="8">
        <f t="shared" si="5"/>
        <v>1</v>
      </c>
      <c r="AC14" s="9">
        <f t="shared" si="6"/>
        <v>0.20833333333333334</v>
      </c>
      <c r="AD14" s="10">
        <f t="shared" si="7"/>
        <v>0.20833333333333334</v>
      </c>
      <c r="AE14" s="36">
        <f t="shared" si="8"/>
        <v>0.51944444444444449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214</v>
      </c>
      <c r="D15" s="52"/>
      <c r="E15" s="53" t="s">
        <v>215</v>
      </c>
      <c r="F15" s="12">
        <v>8301</v>
      </c>
      <c r="G15" s="12" t="s">
        <v>263</v>
      </c>
      <c r="H15" s="13">
        <v>24</v>
      </c>
      <c r="I15" s="31">
        <v>1000</v>
      </c>
      <c r="J15" s="14">
        <v>1350</v>
      </c>
      <c r="K15" s="15">
        <f>L15+1350</f>
        <v>1350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0.51944444444444449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125</v>
      </c>
      <c r="E16" s="53" t="s">
        <v>264</v>
      </c>
      <c r="F16" s="30" t="s">
        <v>206</v>
      </c>
      <c r="G16" s="12">
        <v>1</v>
      </c>
      <c r="H16" s="13">
        <v>28</v>
      </c>
      <c r="I16" s="7">
        <v>3000</v>
      </c>
      <c r="J16" s="14">
        <v>901</v>
      </c>
      <c r="K16" s="15">
        <f>L16+2916</f>
        <v>3817</v>
      </c>
      <c r="L16" s="15">
        <v>901</v>
      </c>
      <c r="M16" s="15">
        <f t="shared" si="1"/>
        <v>901</v>
      </c>
      <c r="N16" s="15">
        <v>0</v>
      </c>
      <c r="O16" s="58">
        <f t="shared" si="2"/>
        <v>0</v>
      </c>
      <c r="P16" s="39">
        <f t="shared" si="3"/>
        <v>5</v>
      </c>
      <c r="Q16" s="40">
        <f t="shared" si="4"/>
        <v>19</v>
      </c>
      <c r="R16" s="7"/>
      <c r="S16" s="6"/>
      <c r="T16" s="16"/>
      <c r="U16" s="16"/>
      <c r="V16" s="17"/>
      <c r="W16" s="5">
        <v>19</v>
      </c>
      <c r="X16" s="16"/>
      <c r="Y16" s="16"/>
      <c r="Z16" s="16"/>
      <c r="AA16" s="18"/>
      <c r="AB16" s="8">
        <f t="shared" si="5"/>
        <v>1</v>
      </c>
      <c r="AC16" s="9">
        <f t="shared" si="6"/>
        <v>0.20833333333333334</v>
      </c>
      <c r="AD16" s="10">
        <f t="shared" si="7"/>
        <v>0.20833333333333334</v>
      </c>
      <c r="AE16" s="36">
        <f t="shared" si="8"/>
        <v>0.51944444444444449</v>
      </c>
      <c r="AF16" s="87">
        <f t="shared" si="9"/>
        <v>11</v>
      </c>
    </row>
    <row r="17" spans="1:32" ht="30" customHeight="1">
      <c r="A17" s="102">
        <v>11</v>
      </c>
      <c r="B17" s="11" t="s">
        <v>57</v>
      </c>
      <c r="C17" s="34" t="s">
        <v>114</v>
      </c>
      <c r="D17" s="52" t="s">
        <v>125</v>
      </c>
      <c r="E17" s="53" t="s">
        <v>149</v>
      </c>
      <c r="F17" s="30" t="s">
        <v>126</v>
      </c>
      <c r="G17" s="12">
        <v>1</v>
      </c>
      <c r="H17" s="13">
        <v>28</v>
      </c>
      <c r="I17" s="7">
        <v>70000</v>
      </c>
      <c r="J17" s="14">
        <v>629</v>
      </c>
      <c r="K17" s="15">
        <f>L17+2620+5280+5157+5344+5134+2370+5096+5101</f>
        <v>36731</v>
      </c>
      <c r="L17" s="15">
        <v>629</v>
      </c>
      <c r="M17" s="15">
        <f t="shared" si="1"/>
        <v>629</v>
      </c>
      <c r="N17" s="15">
        <v>0</v>
      </c>
      <c r="O17" s="58">
        <f t="shared" si="2"/>
        <v>0</v>
      </c>
      <c r="P17" s="39">
        <f t="shared" si="3"/>
        <v>4</v>
      </c>
      <c r="Q17" s="40">
        <f t="shared" si="4"/>
        <v>20</v>
      </c>
      <c r="R17" s="7"/>
      <c r="S17" s="6">
        <v>20</v>
      </c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0.16666666666666666</v>
      </c>
      <c r="AD17" s="10">
        <f t="shared" si="7"/>
        <v>0.16666666666666666</v>
      </c>
      <c r="AE17" s="36">
        <f t="shared" si="8"/>
        <v>0.51944444444444449</v>
      </c>
      <c r="AF17" s="87">
        <f t="shared" si="9"/>
        <v>11</v>
      </c>
    </row>
    <row r="18" spans="1:32" ht="30" customHeight="1">
      <c r="A18" s="102">
        <v>11</v>
      </c>
      <c r="B18" s="11" t="s">
        <v>57</v>
      </c>
      <c r="C18" s="34" t="s">
        <v>114</v>
      </c>
      <c r="D18" s="52" t="s">
        <v>125</v>
      </c>
      <c r="E18" s="53" t="s">
        <v>291</v>
      </c>
      <c r="F18" s="30" t="s">
        <v>126</v>
      </c>
      <c r="G18" s="12">
        <v>1</v>
      </c>
      <c r="H18" s="13">
        <v>28</v>
      </c>
      <c r="I18" s="7">
        <v>73000</v>
      </c>
      <c r="J18" s="14">
        <v>2222</v>
      </c>
      <c r="K18" s="15">
        <f>L18</f>
        <v>2222</v>
      </c>
      <c r="L18" s="15">
        <v>2222</v>
      </c>
      <c r="M18" s="15">
        <f t="shared" ref="M18" si="11">L18-N18</f>
        <v>2222</v>
      </c>
      <c r="N18" s="15">
        <v>0</v>
      </c>
      <c r="O18" s="58">
        <f t="shared" ref="O18" si="12">IF(L18=0,"0",N18/L18)</f>
        <v>0</v>
      </c>
      <c r="P18" s="39">
        <f t="shared" ref="P18" si="13">IF(L18=0,"0",(24-Q18))</f>
        <v>11</v>
      </c>
      <c r="Q18" s="40">
        <f t="shared" ref="Q18" si="14">SUM(R18:AA18)</f>
        <v>13</v>
      </c>
      <c r="R18" s="7"/>
      <c r="S18" s="6">
        <v>13</v>
      </c>
      <c r="T18" s="16"/>
      <c r="U18" s="16"/>
      <c r="V18" s="17"/>
      <c r="W18" s="5"/>
      <c r="X18" s="16"/>
      <c r="Y18" s="16"/>
      <c r="Z18" s="16"/>
      <c r="AA18" s="18"/>
      <c r="AB18" s="8">
        <f t="shared" ref="AB18" si="15">IF(J18=0,"0",(L18/J18))</f>
        <v>1</v>
      </c>
      <c r="AC18" s="9">
        <f t="shared" ref="AC18" si="16">IF(P18=0,"0",(P18/24))</f>
        <v>0.45833333333333331</v>
      </c>
      <c r="AD18" s="10">
        <f t="shared" ref="AD18" si="17">AC18*AB18*(1-O18)</f>
        <v>0.45833333333333331</v>
      </c>
      <c r="AE18" s="36">
        <f t="shared" si="8"/>
        <v>0.51944444444444449</v>
      </c>
      <c r="AF18" s="87">
        <f t="shared" ref="AF18" si="18">A18</f>
        <v>11</v>
      </c>
    </row>
    <row r="19" spans="1:32" ht="27" customHeight="1">
      <c r="A19" s="102">
        <v>12</v>
      </c>
      <c r="B19" s="11" t="s">
        <v>57</v>
      </c>
      <c r="C19" s="34" t="s">
        <v>114</v>
      </c>
      <c r="D19" s="52" t="s">
        <v>135</v>
      </c>
      <c r="E19" s="53" t="s">
        <v>238</v>
      </c>
      <c r="F19" s="30" t="s">
        <v>249</v>
      </c>
      <c r="G19" s="33">
        <v>1</v>
      </c>
      <c r="H19" s="35">
        <v>24</v>
      </c>
      <c r="I19" s="7">
        <v>300</v>
      </c>
      <c r="J19" s="5">
        <v>713</v>
      </c>
      <c r="K19" s="15">
        <f>L19+713</f>
        <v>713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 t="shared" si="7"/>
        <v>0</v>
      </c>
      <c r="AE19" s="36">
        <f t="shared" si="8"/>
        <v>0.51944444444444449</v>
      </c>
      <c r="AF19" s="87">
        <f t="shared" si="9"/>
        <v>12</v>
      </c>
    </row>
    <row r="20" spans="1:32" ht="27" customHeight="1">
      <c r="A20" s="103">
        <v>13</v>
      </c>
      <c r="B20" s="11" t="s">
        <v>57</v>
      </c>
      <c r="C20" s="34" t="s">
        <v>124</v>
      </c>
      <c r="D20" s="52" t="s">
        <v>117</v>
      </c>
      <c r="E20" s="53" t="s">
        <v>165</v>
      </c>
      <c r="F20" s="30" t="s">
        <v>141</v>
      </c>
      <c r="G20" s="33">
        <v>1</v>
      </c>
      <c r="H20" s="35">
        <v>24</v>
      </c>
      <c r="I20" s="7">
        <v>8000</v>
      </c>
      <c r="J20" s="5">
        <v>3617</v>
      </c>
      <c r="K20" s="15">
        <f>L20+380+291+544+2968</f>
        <v>7800</v>
      </c>
      <c r="L20" s="15">
        <f>2342+1275</f>
        <v>3617</v>
      </c>
      <c r="M20" s="15">
        <f t="shared" si="1"/>
        <v>3617</v>
      </c>
      <c r="N20" s="15">
        <v>0</v>
      </c>
      <c r="O20" s="58">
        <f t="shared" si="2"/>
        <v>0</v>
      </c>
      <c r="P20" s="39">
        <f t="shared" si="3"/>
        <v>19</v>
      </c>
      <c r="Q20" s="40">
        <f t="shared" si="4"/>
        <v>5</v>
      </c>
      <c r="R20" s="7"/>
      <c r="S20" s="6">
        <v>5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0.79166666666666663</v>
      </c>
      <c r="AD20" s="10">
        <f>AC20*AB20*(1-O20)</f>
        <v>0.79166666666666663</v>
      </c>
      <c r="AE20" s="36">
        <f t="shared" si="8"/>
        <v>0.51944444444444449</v>
      </c>
      <c r="AF20" s="87">
        <f t="shared" si="9"/>
        <v>13</v>
      </c>
    </row>
    <row r="21" spans="1:32" ht="27" customHeight="1">
      <c r="A21" s="103">
        <v>14</v>
      </c>
      <c r="B21" s="11" t="s">
        <v>57</v>
      </c>
      <c r="C21" s="11" t="s">
        <v>124</v>
      </c>
      <c r="D21" s="52" t="s">
        <v>117</v>
      </c>
      <c r="E21" s="53" t="s">
        <v>266</v>
      </c>
      <c r="F21" s="30" t="s">
        <v>267</v>
      </c>
      <c r="G21" s="33">
        <v>1</v>
      </c>
      <c r="H21" s="35">
        <v>24</v>
      </c>
      <c r="I21" s="7">
        <v>4500</v>
      </c>
      <c r="J21" s="14">
        <v>4120</v>
      </c>
      <c r="K21" s="15">
        <f>L21+1918</f>
        <v>6038</v>
      </c>
      <c r="L21" s="15">
        <f>2164+1956</f>
        <v>4120</v>
      </c>
      <c r="M21" s="15">
        <f t="shared" si="1"/>
        <v>4120</v>
      </c>
      <c r="N21" s="15">
        <v>0</v>
      </c>
      <c r="O21" s="58">
        <f t="shared" si="2"/>
        <v>0</v>
      </c>
      <c r="P21" s="39">
        <f t="shared" si="3"/>
        <v>24</v>
      </c>
      <c r="Q21" s="40">
        <f t="shared" si="4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1</v>
      </c>
      <c r="AD21" s="10">
        <f t="shared" si="7"/>
        <v>1</v>
      </c>
      <c r="AE21" s="36">
        <f t="shared" si="8"/>
        <v>0.51944444444444449</v>
      </c>
      <c r="AF21" s="87">
        <f t="shared" si="9"/>
        <v>14</v>
      </c>
    </row>
    <row r="22" spans="1:32" ht="27" customHeight="1" thickBot="1">
      <c r="A22" s="103">
        <v>15</v>
      </c>
      <c r="B22" s="11" t="s">
        <v>57</v>
      </c>
      <c r="C22" s="11" t="s">
        <v>115</v>
      </c>
      <c r="D22" s="52"/>
      <c r="E22" s="53" t="s">
        <v>268</v>
      </c>
      <c r="F22" s="12" t="s">
        <v>116</v>
      </c>
      <c r="G22" s="12">
        <v>4</v>
      </c>
      <c r="H22" s="35">
        <v>20</v>
      </c>
      <c r="I22" s="7">
        <v>80000</v>
      </c>
      <c r="J22" s="14">
        <v>46737</v>
      </c>
      <c r="K22" s="15">
        <f>L22+33696</f>
        <v>80433</v>
      </c>
      <c r="L22" s="15">
        <f>6384*3+9195*3</f>
        <v>46737</v>
      </c>
      <c r="M22" s="15">
        <f t="shared" si="1"/>
        <v>46737</v>
      </c>
      <c r="N22" s="15">
        <v>0</v>
      </c>
      <c r="O22" s="58">
        <f t="shared" si="2"/>
        <v>0</v>
      </c>
      <c r="P22" s="39">
        <f t="shared" si="3"/>
        <v>24</v>
      </c>
      <c r="Q22" s="40">
        <f t="shared" si="4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5"/>
        <v>1</v>
      </c>
      <c r="AC22" s="9">
        <f t="shared" si="6"/>
        <v>1</v>
      </c>
      <c r="AD22" s="10">
        <f t="shared" si="7"/>
        <v>1</v>
      </c>
      <c r="AE22" s="36">
        <f t="shared" si="8"/>
        <v>0.51944444444444449</v>
      </c>
      <c r="AF22" s="87">
        <f t="shared" si="9"/>
        <v>15</v>
      </c>
    </row>
    <row r="23" spans="1:32" ht="31.5" customHeight="1" thickBot="1">
      <c r="A23" s="541" t="s">
        <v>34</v>
      </c>
      <c r="B23" s="542"/>
      <c r="C23" s="542"/>
      <c r="D23" s="542"/>
      <c r="E23" s="542"/>
      <c r="F23" s="542"/>
      <c r="G23" s="542"/>
      <c r="H23" s="543"/>
      <c r="I23" s="22">
        <f t="shared" ref="I23:N23" si="19">SUM(I6:I22)</f>
        <v>637100</v>
      </c>
      <c r="J23" s="19">
        <f t="shared" si="19"/>
        <v>240107</v>
      </c>
      <c r="K23" s="20">
        <f t="shared" si="19"/>
        <v>377821</v>
      </c>
      <c r="L23" s="21">
        <f t="shared" si="19"/>
        <v>235983</v>
      </c>
      <c r="M23" s="20">
        <f t="shared" si="19"/>
        <v>235983</v>
      </c>
      <c r="N23" s="21">
        <f t="shared" si="19"/>
        <v>0</v>
      </c>
      <c r="O23" s="41">
        <f t="shared" si="2"/>
        <v>0</v>
      </c>
      <c r="P23" s="42">
        <f t="shared" ref="P23:AA23" si="20">SUM(P6:P22)</f>
        <v>187</v>
      </c>
      <c r="Q23" s="43">
        <f t="shared" si="20"/>
        <v>221</v>
      </c>
      <c r="R23" s="23">
        <f t="shared" si="20"/>
        <v>24</v>
      </c>
      <c r="S23" s="24">
        <f t="shared" si="20"/>
        <v>66</v>
      </c>
      <c r="T23" s="24">
        <f t="shared" si="20"/>
        <v>1</v>
      </c>
      <c r="U23" s="24">
        <f t="shared" si="20"/>
        <v>0</v>
      </c>
      <c r="V23" s="25">
        <f t="shared" si="20"/>
        <v>24</v>
      </c>
      <c r="W23" s="26">
        <f t="shared" si="20"/>
        <v>106</v>
      </c>
      <c r="X23" s="27">
        <f t="shared" si="20"/>
        <v>0</v>
      </c>
      <c r="Y23" s="27">
        <f t="shared" si="20"/>
        <v>0</v>
      </c>
      <c r="Z23" s="27">
        <f t="shared" si="20"/>
        <v>0</v>
      </c>
      <c r="AA23" s="27">
        <f t="shared" si="20"/>
        <v>0</v>
      </c>
      <c r="AB23" s="28">
        <f>SUM(AB6:AB22)/15</f>
        <v>0.8666666666666667</v>
      </c>
      <c r="AC23" s="4">
        <f>SUM(AC6:AC22)/15</f>
        <v>0.51944444444444449</v>
      </c>
      <c r="AD23" s="4">
        <f>SUM(AD6:AD22)/15</f>
        <v>0.51944444444444449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8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44" t="s">
        <v>45</v>
      </c>
      <c r="B50" s="544"/>
      <c r="C50" s="544"/>
      <c r="D50" s="544"/>
      <c r="E50" s="544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45" t="s">
        <v>292</v>
      </c>
      <c r="B51" s="546"/>
      <c r="C51" s="546"/>
      <c r="D51" s="546"/>
      <c r="E51" s="546"/>
      <c r="F51" s="546"/>
      <c r="G51" s="546"/>
      <c r="H51" s="546"/>
      <c r="I51" s="546"/>
      <c r="J51" s="546"/>
      <c r="K51" s="546"/>
      <c r="L51" s="546"/>
      <c r="M51" s="547"/>
      <c r="N51" s="548" t="s">
        <v>298</v>
      </c>
      <c r="O51" s="549"/>
      <c r="P51" s="549"/>
      <c r="Q51" s="549"/>
      <c r="R51" s="549"/>
      <c r="S51" s="549"/>
      <c r="T51" s="549"/>
      <c r="U51" s="549"/>
      <c r="V51" s="549"/>
      <c r="W51" s="549"/>
      <c r="X51" s="549"/>
      <c r="Y51" s="549"/>
      <c r="Z51" s="549"/>
      <c r="AA51" s="549"/>
      <c r="AB51" s="549"/>
      <c r="AC51" s="549"/>
      <c r="AD51" s="550"/>
    </row>
    <row r="52" spans="1:32" ht="27" customHeight="1">
      <c r="A52" s="551" t="s">
        <v>2</v>
      </c>
      <c r="B52" s="552"/>
      <c r="C52" s="198" t="s">
        <v>46</v>
      </c>
      <c r="D52" s="198" t="s">
        <v>47</v>
      </c>
      <c r="E52" s="198" t="s">
        <v>108</v>
      </c>
      <c r="F52" s="552" t="s">
        <v>107</v>
      </c>
      <c r="G52" s="552"/>
      <c r="H52" s="552"/>
      <c r="I52" s="552"/>
      <c r="J52" s="552"/>
      <c r="K52" s="552"/>
      <c r="L52" s="552"/>
      <c r="M52" s="553"/>
      <c r="N52" s="67" t="s">
        <v>112</v>
      </c>
      <c r="O52" s="198" t="s">
        <v>46</v>
      </c>
      <c r="P52" s="554" t="s">
        <v>47</v>
      </c>
      <c r="Q52" s="555"/>
      <c r="R52" s="554" t="s">
        <v>38</v>
      </c>
      <c r="S52" s="556"/>
      <c r="T52" s="556"/>
      <c r="U52" s="555"/>
      <c r="V52" s="554" t="s">
        <v>48</v>
      </c>
      <c r="W52" s="556"/>
      <c r="X52" s="556"/>
      <c r="Y52" s="556"/>
      <c r="Z52" s="556"/>
      <c r="AA52" s="556"/>
      <c r="AB52" s="556"/>
      <c r="AC52" s="556"/>
      <c r="AD52" s="557"/>
    </row>
    <row r="53" spans="1:32" ht="27" customHeight="1">
      <c r="A53" s="524" t="s">
        <v>114</v>
      </c>
      <c r="B53" s="525"/>
      <c r="C53" s="200" t="s">
        <v>170</v>
      </c>
      <c r="D53" s="200" t="s">
        <v>222</v>
      </c>
      <c r="E53" s="200" t="s">
        <v>211</v>
      </c>
      <c r="F53" s="517" t="s">
        <v>293</v>
      </c>
      <c r="G53" s="518"/>
      <c r="H53" s="518"/>
      <c r="I53" s="518"/>
      <c r="J53" s="518"/>
      <c r="K53" s="518"/>
      <c r="L53" s="518"/>
      <c r="M53" s="526"/>
      <c r="N53" s="199" t="s">
        <v>114</v>
      </c>
      <c r="O53" s="204" t="s">
        <v>170</v>
      </c>
      <c r="P53" s="536" t="s">
        <v>212</v>
      </c>
      <c r="Q53" s="537"/>
      <c r="R53" s="536" t="s">
        <v>211</v>
      </c>
      <c r="S53" s="538"/>
      <c r="T53" s="538"/>
      <c r="U53" s="537"/>
      <c r="V53" s="503" t="s">
        <v>299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124</v>
      </c>
      <c r="B54" s="525"/>
      <c r="C54" s="200" t="s">
        <v>234</v>
      </c>
      <c r="D54" s="200" t="s">
        <v>117</v>
      </c>
      <c r="E54" s="200" t="s">
        <v>165</v>
      </c>
      <c r="F54" s="517" t="s">
        <v>226</v>
      </c>
      <c r="G54" s="518"/>
      <c r="H54" s="518"/>
      <c r="I54" s="518"/>
      <c r="J54" s="518"/>
      <c r="K54" s="518"/>
      <c r="L54" s="518"/>
      <c r="M54" s="526"/>
      <c r="N54" s="199" t="s">
        <v>124</v>
      </c>
      <c r="O54" s="204" t="s">
        <v>234</v>
      </c>
      <c r="P54" s="536" t="s">
        <v>117</v>
      </c>
      <c r="Q54" s="537"/>
      <c r="R54" s="536" t="s">
        <v>165</v>
      </c>
      <c r="S54" s="538"/>
      <c r="T54" s="538"/>
      <c r="U54" s="537"/>
      <c r="V54" s="503" t="s">
        <v>157</v>
      </c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124</v>
      </c>
      <c r="B55" s="525"/>
      <c r="C55" s="200" t="s">
        <v>155</v>
      </c>
      <c r="D55" s="200" t="s">
        <v>285</v>
      </c>
      <c r="E55" s="200" t="s">
        <v>286</v>
      </c>
      <c r="F55" s="517" t="s">
        <v>120</v>
      </c>
      <c r="G55" s="518"/>
      <c r="H55" s="518"/>
      <c r="I55" s="518"/>
      <c r="J55" s="518"/>
      <c r="K55" s="518"/>
      <c r="L55" s="518"/>
      <c r="M55" s="526"/>
      <c r="N55" s="199" t="s">
        <v>124</v>
      </c>
      <c r="O55" s="204" t="s">
        <v>171</v>
      </c>
      <c r="P55" s="536" t="s">
        <v>117</v>
      </c>
      <c r="Q55" s="537"/>
      <c r="R55" s="525" t="s">
        <v>235</v>
      </c>
      <c r="S55" s="525"/>
      <c r="T55" s="525"/>
      <c r="U55" s="525"/>
      <c r="V55" s="503" t="s">
        <v>157</v>
      </c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 t="s">
        <v>114</v>
      </c>
      <c r="B56" s="525"/>
      <c r="C56" s="200" t="s">
        <v>295</v>
      </c>
      <c r="D56" s="200" t="s">
        <v>125</v>
      </c>
      <c r="E56" s="200" t="s">
        <v>291</v>
      </c>
      <c r="F56" s="517" t="s">
        <v>296</v>
      </c>
      <c r="G56" s="518"/>
      <c r="H56" s="518"/>
      <c r="I56" s="518"/>
      <c r="J56" s="518"/>
      <c r="K56" s="518"/>
      <c r="L56" s="518"/>
      <c r="M56" s="526"/>
      <c r="N56" s="199" t="s">
        <v>124</v>
      </c>
      <c r="O56" s="204" t="s">
        <v>132</v>
      </c>
      <c r="P56" s="536" t="s">
        <v>183</v>
      </c>
      <c r="Q56" s="537"/>
      <c r="R56" s="525" t="s">
        <v>300</v>
      </c>
      <c r="S56" s="525"/>
      <c r="T56" s="525"/>
      <c r="U56" s="525"/>
      <c r="V56" s="503" t="s">
        <v>120</v>
      </c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 t="s">
        <v>114</v>
      </c>
      <c r="B57" s="525"/>
      <c r="C57" s="200" t="s">
        <v>131</v>
      </c>
      <c r="D57" s="200" t="s">
        <v>142</v>
      </c>
      <c r="E57" s="200" t="s">
        <v>145</v>
      </c>
      <c r="F57" s="517" t="s">
        <v>294</v>
      </c>
      <c r="G57" s="518"/>
      <c r="H57" s="518"/>
      <c r="I57" s="518"/>
      <c r="J57" s="518"/>
      <c r="K57" s="518"/>
      <c r="L57" s="518"/>
      <c r="M57" s="526"/>
      <c r="N57" s="199" t="s">
        <v>114</v>
      </c>
      <c r="O57" s="204" t="s">
        <v>234</v>
      </c>
      <c r="P57" s="536" t="s">
        <v>122</v>
      </c>
      <c r="Q57" s="537"/>
      <c r="R57" s="536" t="s">
        <v>147</v>
      </c>
      <c r="S57" s="538"/>
      <c r="T57" s="538"/>
      <c r="U57" s="537"/>
      <c r="V57" s="503" t="s">
        <v>157</v>
      </c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 t="s">
        <v>114</v>
      </c>
      <c r="B58" s="525"/>
      <c r="C58" s="200" t="s">
        <v>150</v>
      </c>
      <c r="D58" s="200" t="s">
        <v>117</v>
      </c>
      <c r="E58" s="200" t="s">
        <v>144</v>
      </c>
      <c r="F58" s="517" t="s">
        <v>301</v>
      </c>
      <c r="G58" s="518"/>
      <c r="H58" s="518"/>
      <c r="I58" s="518"/>
      <c r="J58" s="518"/>
      <c r="K58" s="518"/>
      <c r="L58" s="518"/>
      <c r="M58" s="526"/>
      <c r="N58" s="199" t="s">
        <v>114</v>
      </c>
      <c r="O58" s="204" t="s">
        <v>137</v>
      </c>
      <c r="P58" s="536" t="s">
        <v>117</v>
      </c>
      <c r="Q58" s="537"/>
      <c r="R58" s="525" t="s">
        <v>258</v>
      </c>
      <c r="S58" s="525"/>
      <c r="T58" s="525"/>
      <c r="U58" s="525"/>
      <c r="V58" s="503" t="s">
        <v>120</v>
      </c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 t="s">
        <v>114</v>
      </c>
      <c r="B59" s="525"/>
      <c r="C59" s="200" t="s">
        <v>137</v>
      </c>
      <c r="D59" s="200" t="s">
        <v>117</v>
      </c>
      <c r="E59" s="200" t="s">
        <v>297</v>
      </c>
      <c r="F59" s="517" t="s">
        <v>157</v>
      </c>
      <c r="G59" s="518"/>
      <c r="H59" s="518"/>
      <c r="I59" s="518"/>
      <c r="J59" s="518"/>
      <c r="K59" s="518"/>
      <c r="L59" s="518"/>
      <c r="M59" s="526"/>
      <c r="N59" s="199" t="s">
        <v>114</v>
      </c>
      <c r="O59" s="204" t="s">
        <v>150</v>
      </c>
      <c r="P59" s="536" t="s">
        <v>117</v>
      </c>
      <c r="Q59" s="537"/>
      <c r="R59" s="525" t="s">
        <v>144</v>
      </c>
      <c r="S59" s="525"/>
      <c r="T59" s="525"/>
      <c r="U59" s="525"/>
      <c r="V59" s="503" t="s">
        <v>157</v>
      </c>
      <c r="W59" s="503"/>
      <c r="X59" s="503"/>
      <c r="Y59" s="503"/>
      <c r="Z59" s="503"/>
      <c r="AA59" s="503"/>
      <c r="AB59" s="503"/>
      <c r="AC59" s="503"/>
      <c r="AD59" s="527"/>
    </row>
    <row r="60" spans="1:32" ht="27" customHeight="1">
      <c r="A60" s="524"/>
      <c r="B60" s="525"/>
      <c r="C60" s="200"/>
      <c r="D60" s="200"/>
      <c r="E60" s="200"/>
      <c r="F60" s="517"/>
      <c r="G60" s="518"/>
      <c r="H60" s="518"/>
      <c r="I60" s="518"/>
      <c r="J60" s="518"/>
      <c r="K60" s="518"/>
      <c r="L60" s="518"/>
      <c r="M60" s="526"/>
      <c r="N60" s="199"/>
      <c r="O60" s="204"/>
      <c r="P60" s="536"/>
      <c r="Q60" s="537"/>
      <c r="R60" s="525"/>
      <c r="S60" s="525"/>
      <c r="T60" s="525"/>
      <c r="U60" s="525"/>
      <c r="V60" s="503"/>
      <c r="W60" s="503"/>
      <c r="X60" s="503"/>
      <c r="Y60" s="503"/>
      <c r="Z60" s="503"/>
      <c r="AA60" s="503"/>
      <c r="AB60" s="503"/>
      <c r="AC60" s="503"/>
      <c r="AD60" s="527"/>
    </row>
    <row r="61" spans="1:32" ht="27" customHeight="1">
      <c r="A61" s="524"/>
      <c r="B61" s="525"/>
      <c r="C61" s="200"/>
      <c r="D61" s="200"/>
      <c r="E61" s="200"/>
      <c r="F61" s="517"/>
      <c r="G61" s="518"/>
      <c r="H61" s="518"/>
      <c r="I61" s="518"/>
      <c r="J61" s="518"/>
      <c r="K61" s="518"/>
      <c r="L61" s="518"/>
      <c r="M61" s="526"/>
      <c r="N61" s="199"/>
      <c r="O61" s="204"/>
      <c r="P61" s="525"/>
      <c r="Q61" s="525"/>
      <c r="R61" s="525"/>
      <c r="S61" s="525"/>
      <c r="T61" s="525"/>
      <c r="U61" s="525"/>
      <c r="V61" s="503"/>
      <c r="W61" s="503"/>
      <c r="X61" s="503"/>
      <c r="Y61" s="503"/>
      <c r="Z61" s="503"/>
      <c r="AA61" s="503"/>
      <c r="AB61" s="503"/>
      <c r="AC61" s="503"/>
      <c r="AD61" s="527"/>
      <c r="AF61" s="87">
        <f>8*3000</f>
        <v>24000</v>
      </c>
    </row>
    <row r="62" spans="1:32" ht="27" customHeight="1" thickBot="1">
      <c r="A62" s="528"/>
      <c r="B62" s="529"/>
      <c r="C62" s="201"/>
      <c r="D62" s="201"/>
      <c r="E62" s="201"/>
      <c r="F62" s="530"/>
      <c r="G62" s="531"/>
      <c r="H62" s="531"/>
      <c r="I62" s="531"/>
      <c r="J62" s="531"/>
      <c r="K62" s="531"/>
      <c r="L62" s="531"/>
      <c r="M62" s="532"/>
      <c r="N62" s="124"/>
      <c r="O62" s="114"/>
      <c r="P62" s="533"/>
      <c r="Q62" s="533"/>
      <c r="R62" s="533"/>
      <c r="S62" s="533"/>
      <c r="T62" s="533"/>
      <c r="U62" s="533"/>
      <c r="V62" s="534"/>
      <c r="W62" s="534"/>
      <c r="X62" s="534"/>
      <c r="Y62" s="534"/>
      <c r="Z62" s="534"/>
      <c r="AA62" s="534"/>
      <c r="AB62" s="534"/>
      <c r="AC62" s="534"/>
      <c r="AD62" s="535"/>
      <c r="AF62" s="87">
        <f>16*3000</f>
        <v>48000</v>
      </c>
    </row>
    <row r="63" spans="1:32" ht="27.75" thickBot="1">
      <c r="A63" s="522" t="s">
        <v>302</v>
      </c>
      <c r="B63" s="522"/>
      <c r="C63" s="522"/>
      <c r="D63" s="522"/>
      <c r="E63" s="522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7">
        <v>24000</v>
      </c>
    </row>
    <row r="64" spans="1:32" ht="29.25" customHeight="1" thickBot="1">
      <c r="A64" s="523" t="s">
        <v>113</v>
      </c>
      <c r="B64" s="515"/>
      <c r="C64" s="202" t="s">
        <v>2</v>
      </c>
      <c r="D64" s="202" t="s">
        <v>37</v>
      </c>
      <c r="E64" s="202" t="s">
        <v>3</v>
      </c>
      <c r="F64" s="515" t="s">
        <v>110</v>
      </c>
      <c r="G64" s="515"/>
      <c r="H64" s="515"/>
      <c r="I64" s="515"/>
      <c r="J64" s="515"/>
      <c r="K64" s="515" t="s">
        <v>39</v>
      </c>
      <c r="L64" s="515"/>
      <c r="M64" s="202" t="s">
        <v>40</v>
      </c>
      <c r="N64" s="515" t="s">
        <v>41</v>
      </c>
      <c r="O64" s="515"/>
      <c r="P64" s="512" t="s">
        <v>42</v>
      </c>
      <c r="Q64" s="514"/>
      <c r="R64" s="512" t="s">
        <v>43</v>
      </c>
      <c r="S64" s="513"/>
      <c r="T64" s="513"/>
      <c r="U64" s="513"/>
      <c r="V64" s="513"/>
      <c r="W64" s="513"/>
      <c r="X64" s="513"/>
      <c r="Y64" s="513"/>
      <c r="Z64" s="513"/>
      <c r="AA64" s="514"/>
      <c r="AB64" s="515" t="s">
        <v>44</v>
      </c>
      <c r="AC64" s="515"/>
      <c r="AD64" s="516"/>
      <c r="AF64" s="87">
        <f>SUM(AF61:AF63)</f>
        <v>96000</v>
      </c>
    </row>
    <row r="65" spans="1:32" ht="25.5" customHeight="1">
      <c r="A65" s="498">
        <v>1</v>
      </c>
      <c r="B65" s="499"/>
      <c r="C65" s="117" t="s">
        <v>124</v>
      </c>
      <c r="D65" s="206"/>
      <c r="E65" s="203" t="s">
        <v>125</v>
      </c>
      <c r="F65" s="500" t="s">
        <v>303</v>
      </c>
      <c r="G65" s="492"/>
      <c r="H65" s="492"/>
      <c r="I65" s="492"/>
      <c r="J65" s="492"/>
      <c r="K65" s="492" t="s">
        <v>141</v>
      </c>
      <c r="L65" s="492"/>
      <c r="M65" s="51" t="s">
        <v>162</v>
      </c>
      <c r="N65" s="501" t="s">
        <v>132</v>
      </c>
      <c r="O65" s="501"/>
      <c r="P65" s="502">
        <v>50</v>
      </c>
      <c r="Q65" s="502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507"/>
      <c r="AC65" s="520"/>
      <c r="AD65" s="521"/>
      <c r="AF65" s="50"/>
    </row>
    <row r="66" spans="1:32" ht="25.5" customHeight="1">
      <c r="A66" s="498">
        <v>2</v>
      </c>
      <c r="B66" s="499"/>
      <c r="C66" s="117" t="s">
        <v>114</v>
      </c>
      <c r="D66" s="206"/>
      <c r="E66" s="203" t="s">
        <v>142</v>
      </c>
      <c r="F66" s="504" t="s">
        <v>304</v>
      </c>
      <c r="G66" s="505"/>
      <c r="H66" s="505"/>
      <c r="I66" s="505"/>
      <c r="J66" s="506"/>
      <c r="K66" s="507" t="s">
        <v>190</v>
      </c>
      <c r="L66" s="499"/>
      <c r="M66" s="51" t="s">
        <v>162</v>
      </c>
      <c r="N66" s="501" t="s">
        <v>179</v>
      </c>
      <c r="O66" s="501"/>
      <c r="P66" s="510">
        <v>200</v>
      </c>
      <c r="Q66" s="511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3</v>
      </c>
      <c r="B67" s="499"/>
      <c r="C67" s="117" t="s">
        <v>128</v>
      </c>
      <c r="D67" s="206"/>
      <c r="E67" s="203"/>
      <c r="F67" s="504" t="s">
        <v>305</v>
      </c>
      <c r="G67" s="505"/>
      <c r="H67" s="505"/>
      <c r="I67" s="505"/>
      <c r="J67" s="506"/>
      <c r="K67" s="507" t="s">
        <v>121</v>
      </c>
      <c r="L67" s="499"/>
      <c r="M67" s="51" t="s">
        <v>306</v>
      </c>
      <c r="N67" s="508" t="s">
        <v>179</v>
      </c>
      <c r="O67" s="509"/>
      <c r="P67" s="510">
        <v>50</v>
      </c>
      <c r="Q67" s="511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4</v>
      </c>
      <c r="B68" s="499"/>
      <c r="C68" s="117" t="s">
        <v>128</v>
      </c>
      <c r="D68" s="206"/>
      <c r="E68" s="203"/>
      <c r="F68" s="504" t="s">
        <v>307</v>
      </c>
      <c r="G68" s="505"/>
      <c r="H68" s="505"/>
      <c r="I68" s="505"/>
      <c r="J68" s="506"/>
      <c r="K68" s="507" t="s">
        <v>121</v>
      </c>
      <c r="L68" s="499"/>
      <c r="M68" s="51" t="s">
        <v>306</v>
      </c>
      <c r="N68" s="508" t="s">
        <v>179</v>
      </c>
      <c r="O68" s="509"/>
      <c r="P68" s="510">
        <v>50</v>
      </c>
      <c r="Q68" s="511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5</v>
      </c>
      <c r="B69" s="499"/>
      <c r="C69" s="117" t="s">
        <v>128</v>
      </c>
      <c r="D69" s="206"/>
      <c r="E69" s="203"/>
      <c r="F69" s="500" t="s">
        <v>308</v>
      </c>
      <c r="G69" s="492"/>
      <c r="H69" s="492"/>
      <c r="I69" s="492"/>
      <c r="J69" s="492"/>
      <c r="K69" s="492">
        <v>8301</v>
      </c>
      <c r="L69" s="492"/>
      <c r="M69" s="51" t="s">
        <v>306</v>
      </c>
      <c r="N69" s="508" t="s">
        <v>217</v>
      </c>
      <c r="O69" s="509"/>
      <c r="P69" s="510">
        <v>50</v>
      </c>
      <c r="Q69" s="511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6</v>
      </c>
      <c r="B70" s="499"/>
      <c r="C70" s="117" t="s">
        <v>124</v>
      </c>
      <c r="D70" s="206"/>
      <c r="E70" s="203" t="s">
        <v>135</v>
      </c>
      <c r="F70" s="500" t="s">
        <v>309</v>
      </c>
      <c r="G70" s="492"/>
      <c r="H70" s="492"/>
      <c r="I70" s="492"/>
      <c r="J70" s="492"/>
      <c r="K70" s="492" t="s">
        <v>133</v>
      </c>
      <c r="L70" s="492"/>
      <c r="M70" s="51" t="s">
        <v>162</v>
      </c>
      <c r="N70" s="501" t="s">
        <v>217</v>
      </c>
      <c r="O70" s="501"/>
      <c r="P70" s="502">
        <v>50</v>
      </c>
      <c r="Q70" s="502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5.5" customHeight="1">
      <c r="A71" s="498">
        <v>7</v>
      </c>
      <c r="B71" s="499"/>
      <c r="C71" s="117" t="s">
        <v>128</v>
      </c>
      <c r="D71" s="206"/>
      <c r="E71" s="203" t="s">
        <v>183</v>
      </c>
      <c r="F71" s="500" t="s">
        <v>310</v>
      </c>
      <c r="G71" s="492"/>
      <c r="H71" s="492"/>
      <c r="I71" s="492"/>
      <c r="J71" s="492"/>
      <c r="K71" s="492" t="s">
        <v>161</v>
      </c>
      <c r="L71" s="492"/>
      <c r="M71" s="51" t="s">
        <v>162</v>
      </c>
      <c r="N71" s="501" t="s">
        <v>163</v>
      </c>
      <c r="O71" s="501"/>
      <c r="P71" s="502">
        <v>200</v>
      </c>
      <c r="Q71" s="502"/>
      <c r="R71" s="503" t="s">
        <v>311</v>
      </c>
      <c r="S71" s="503"/>
      <c r="T71" s="503"/>
      <c r="U71" s="503"/>
      <c r="V71" s="503"/>
      <c r="W71" s="503"/>
      <c r="X71" s="503"/>
      <c r="Y71" s="503"/>
      <c r="Z71" s="503"/>
      <c r="AA71" s="503"/>
      <c r="AB71" s="492"/>
      <c r="AC71" s="492"/>
      <c r="AD71" s="493"/>
      <c r="AF71" s="50"/>
    </row>
    <row r="72" spans="1:32" ht="25.5" customHeight="1">
      <c r="A72" s="498">
        <v>8</v>
      </c>
      <c r="B72" s="499"/>
      <c r="C72" s="117"/>
      <c r="D72" s="206"/>
      <c r="E72" s="203"/>
      <c r="F72" s="500"/>
      <c r="G72" s="492"/>
      <c r="H72" s="492"/>
      <c r="I72" s="492"/>
      <c r="J72" s="492"/>
      <c r="K72" s="492"/>
      <c r="L72" s="492"/>
      <c r="M72" s="51"/>
      <c r="N72" s="501"/>
      <c r="O72" s="501"/>
      <c r="P72" s="502"/>
      <c r="Q72" s="502"/>
      <c r="R72" s="503"/>
      <c r="S72" s="503"/>
      <c r="T72" s="503"/>
      <c r="U72" s="503"/>
      <c r="V72" s="503"/>
      <c r="W72" s="503"/>
      <c r="X72" s="503"/>
      <c r="Y72" s="503"/>
      <c r="Z72" s="503"/>
      <c r="AA72" s="503"/>
      <c r="AB72" s="492"/>
      <c r="AC72" s="492"/>
      <c r="AD72" s="493"/>
      <c r="AF72" s="50"/>
    </row>
    <row r="73" spans="1:32" ht="26.25" customHeight="1" thickBot="1">
      <c r="A73" s="472" t="s">
        <v>312</v>
      </c>
      <c r="B73" s="472"/>
      <c r="C73" s="472"/>
      <c r="D73" s="472"/>
      <c r="E73" s="472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F73" s="50"/>
    </row>
    <row r="74" spans="1:32" ht="23.25" thickBot="1">
      <c r="A74" s="473" t="s">
        <v>113</v>
      </c>
      <c r="B74" s="474"/>
      <c r="C74" s="205" t="s">
        <v>2</v>
      </c>
      <c r="D74" s="205" t="s">
        <v>37</v>
      </c>
      <c r="E74" s="205" t="s">
        <v>3</v>
      </c>
      <c r="F74" s="474" t="s">
        <v>38</v>
      </c>
      <c r="G74" s="474"/>
      <c r="H74" s="474"/>
      <c r="I74" s="474"/>
      <c r="J74" s="474"/>
      <c r="K74" s="494" t="s">
        <v>58</v>
      </c>
      <c r="L74" s="495"/>
      <c r="M74" s="495"/>
      <c r="N74" s="495"/>
      <c r="O74" s="495"/>
      <c r="P74" s="495"/>
      <c r="Q74" s="495"/>
      <c r="R74" s="495"/>
      <c r="S74" s="496"/>
      <c r="T74" s="474" t="s">
        <v>49</v>
      </c>
      <c r="U74" s="474"/>
      <c r="V74" s="494" t="s">
        <v>50</v>
      </c>
      <c r="W74" s="496"/>
      <c r="X74" s="495" t="s">
        <v>51</v>
      </c>
      <c r="Y74" s="495"/>
      <c r="Z74" s="495"/>
      <c r="AA74" s="495"/>
      <c r="AB74" s="495"/>
      <c r="AC74" s="495"/>
      <c r="AD74" s="497"/>
      <c r="AF74" s="50"/>
    </row>
    <row r="75" spans="1:32" ht="33.75" customHeight="1">
      <c r="A75" s="466">
        <v>1</v>
      </c>
      <c r="B75" s="467"/>
      <c r="C75" s="207" t="s">
        <v>114</v>
      </c>
      <c r="D75" s="207"/>
      <c r="E75" s="65" t="s">
        <v>119</v>
      </c>
      <c r="F75" s="481" t="s">
        <v>118</v>
      </c>
      <c r="G75" s="482"/>
      <c r="H75" s="482"/>
      <c r="I75" s="482"/>
      <c r="J75" s="483"/>
      <c r="K75" s="484" t="s">
        <v>130</v>
      </c>
      <c r="L75" s="485"/>
      <c r="M75" s="485"/>
      <c r="N75" s="485"/>
      <c r="O75" s="485"/>
      <c r="P75" s="485"/>
      <c r="Q75" s="485"/>
      <c r="R75" s="485"/>
      <c r="S75" s="486"/>
      <c r="T75" s="487">
        <v>43675</v>
      </c>
      <c r="U75" s="488"/>
      <c r="V75" s="489"/>
      <c r="W75" s="489"/>
      <c r="X75" s="490"/>
      <c r="Y75" s="490"/>
      <c r="Z75" s="490"/>
      <c r="AA75" s="490"/>
      <c r="AB75" s="490"/>
      <c r="AC75" s="490"/>
      <c r="AD75" s="491"/>
      <c r="AF75" s="50"/>
    </row>
    <row r="76" spans="1:32" ht="30" customHeight="1">
      <c r="A76" s="459">
        <f>A75+1</f>
        <v>2</v>
      </c>
      <c r="B76" s="460"/>
      <c r="C76" s="206"/>
      <c r="D76" s="206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ref="A77:A83" si="21">A76+1</f>
        <v>3</v>
      </c>
      <c r="B77" s="460"/>
      <c r="C77" s="206"/>
      <c r="D77" s="206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21"/>
        <v>4</v>
      </c>
      <c r="B78" s="460"/>
      <c r="C78" s="206"/>
      <c r="D78" s="206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21"/>
        <v>5</v>
      </c>
      <c r="B79" s="460"/>
      <c r="C79" s="206"/>
      <c r="D79" s="206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21"/>
        <v>6</v>
      </c>
      <c r="B80" s="460"/>
      <c r="C80" s="206"/>
      <c r="D80" s="206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21"/>
        <v>7</v>
      </c>
      <c r="B81" s="460"/>
      <c r="C81" s="206"/>
      <c r="D81" s="206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0" customHeight="1">
      <c r="A82" s="459">
        <f t="shared" si="21"/>
        <v>8</v>
      </c>
      <c r="B82" s="460"/>
      <c r="C82" s="206"/>
      <c r="D82" s="206"/>
      <c r="E82" s="32"/>
      <c r="F82" s="460"/>
      <c r="G82" s="460"/>
      <c r="H82" s="460"/>
      <c r="I82" s="460"/>
      <c r="J82" s="460"/>
      <c r="K82" s="475"/>
      <c r="L82" s="476"/>
      <c r="M82" s="476"/>
      <c r="N82" s="476"/>
      <c r="O82" s="476"/>
      <c r="P82" s="476"/>
      <c r="Q82" s="476"/>
      <c r="R82" s="476"/>
      <c r="S82" s="477"/>
      <c r="T82" s="478"/>
      <c r="U82" s="478"/>
      <c r="V82" s="478"/>
      <c r="W82" s="478"/>
      <c r="X82" s="479"/>
      <c r="Y82" s="479"/>
      <c r="Z82" s="479"/>
      <c r="AA82" s="479"/>
      <c r="AB82" s="479"/>
      <c r="AC82" s="479"/>
      <c r="AD82" s="480"/>
      <c r="AF82" s="50"/>
    </row>
    <row r="83" spans="1:32" ht="30" customHeight="1">
      <c r="A83" s="459">
        <f t="shared" si="21"/>
        <v>9</v>
      </c>
      <c r="B83" s="460"/>
      <c r="C83" s="206"/>
      <c r="D83" s="206"/>
      <c r="E83" s="32"/>
      <c r="F83" s="460"/>
      <c r="G83" s="460"/>
      <c r="H83" s="460"/>
      <c r="I83" s="460"/>
      <c r="J83" s="460"/>
      <c r="K83" s="475"/>
      <c r="L83" s="476"/>
      <c r="M83" s="476"/>
      <c r="N83" s="476"/>
      <c r="O83" s="476"/>
      <c r="P83" s="476"/>
      <c r="Q83" s="476"/>
      <c r="R83" s="476"/>
      <c r="S83" s="477"/>
      <c r="T83" s="478"/>
      <c r="U83" s="478"/>
      <c r="V83" s="478"/>
      <c r="W83" s="478"/>
      <c r="X83" s="479"/>
      <c r="Y83" s="479"/>
      <c r="Z83" s="479"/>
      <c r="AA83" s="479"/>
      <c r="AB83" s="479"/>
      <c r="AC83" s="479"/>
      <c r="AD83" s="480"/>
      <c r="AF83" s="50"/>
    </row>
    <row r="84" spans="1:32" ht="36" thickBot="1">
      <c r="A84" s="472" t="s">
        <v>313</v>
      </c>
      <c r="B84" s="472"/>
      <c r="C84" s="472"/>
      <c r="D84" s="472"/>
      <c r="E84" s="472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3" t="s">
        <v>113</v>
      </c>
      <c r="B85" s="474"/>
      <c r="C85" s="464" t="s">
        <v>52</v>
      </c>
      <c r="D85" s="464"/>
      <c r="E85" s="464" t="s">
        <v>53</v>
      </c>
      <c r="F85" s="464"/>
      <c r="G85" s="464"/>
      <c r="H85" s="464"/>
      <c r="I85" s="464"/>
      <c r="J85" s="464"/>
      <c r="K85" s="464" t="s">
        <v>54</v>
      </c>
      <c r="L85" s="464"/>
      <c r="M85" s="464"/>
      <c r="N85" s="464"/>
      <c r="O85" s="464"/>
      <c r="P85" s="464"/>
      <c r="Q85" s="464"/>
      <c r="R85" s="464"/>
      <c r="S85" s="464"/>
      <c r="T85" s="464" t="s">
        <v>55</v>
      </c>
      <c r="U85" s="464"/>
      <c r="V85" s="464" t="s">
        <v>56</v>
      </c>
      <c r="W85" s="464"/>
      <c r="X85" s="464"/>
      <c r="Y85" s="464" t="s">
        <v>51</v>
      </c>
      <c r="Z85" s="464"/>
      <c r="AA85" s="464"/>
      <c r="AB85" s="464"/>
      <c r="AC85" s="464"/>
      <c r="AD85" s="465"/>
      <c r="AF85" s="50"/>
    </row>
    <row r="86" spans="1:32" ht="30.75" customHeight="1">
      <c r="A86" s="466">
        <v>1</v>
      </c>
      <c r="B86" s="467"/>
      <c r="C86" s="468"/>
      <c r="D86" s="468"/>
      <c r="E86" s="468"/>
      <c r="F86" s="468"/>
      <c r="G86" s="468"/>
      <c r="H86" s="468"/>
      <c r="I86" s="468"/>
      <c r="J86" s="468"/>
      <c r="K86" s="468"/>
      <c r="L86" s="468"/>
      <c r="M86" s="468"/>
      <c r="N86" s="468"/>
      <c r="O86" s="468"/>
      <c r="P86" s="468"/>
      <c r="Q86" s="468"/>
      <c r="R86" s="468"/>
      <c r="S86" s="468"/>
      <c r="T86" s="468"/>
      <c r="U86" s="468"/>
      <c r="V86" s="469"/>
      <c r="W86" s="469"/>
      <c r="X86" s="469"/>
      <c r="Y86" s="470"/>
      <c r="Z86" s="470"/>
      <c r="AA86" s="470"/>
      <c r="AB86" s="470"/>
      <c r="AC86" s="470"/>
      <c r="AD86" s="471"/>
      <c r="AF86" s="50"/>
    </row>
    <row r="87" spans="1:32" ht="30.75" customHeight="1">
      <c r="A87" s="459">
        <v>2</v>
      </c>
      <c r="B87" s="460"/>
      <c r="C87" s="461"/>
      <c r="D87" s="461"/>
      <c r="E87" s="461"/>
      <c r="F87" s="461"/>
      <c r="G87" s="461"/>
      <c r="H87" s="461"/>
      <c r="I87" s="461"/>
      <c r="J87" s="461"/>
      <c r="K87" s="461"/>
      <c r="L87" s="461"/>
      <c r="M87" s="461"/>
      <c r="N87" s="461"/>
      <c r="O87" s="461"/>
      <c r="P87" s="461"/>
      <c r="Q87" s="461"/>
      <c r="R87" s="461"/>
      <c r="S87" s="461"/>
      <c r="T87" s="462"/>
      <c r="U87" s="462"/>
      <c r="V87" s="463"/>
      <c r="W87" s="463"/>
      <c r="X87" s="463"/>
      <c r="Y87" s="452"/>
      <c r="Z87" s="452"/>
      <c r="AA87" s="452"/>
      <c r="AB87" s="452"/>
      <c r="AC87" s="452"/>
      <c r="AD87" s="453"/>
      <c r="AF87" s="50"/>
    </row>
    <row r="88" spans="1:32" ht="30.75" customHeight="1" thickBot="1">
      <c r="A88" s="454">
        <v>3</v>
      </c>
      <c r="B88" s="455"/>
      <c r="C88" s="456"/>
      <c r="D88" s="456"/>
      <c r="E88" s="456"/>
      <c r="F88" s="456"/>
      <c r="G88" s="456"/>
      <c r="H88" s="456"/>
      <c r="I88" s="456"/>
      <c r="J88" s="456"/>
      <c r="K88" s="456"/>
      <c r="L88" s="456"/>
      <c r="M88" s="456"/>
      <c r="N88" s="456"/>
      <c r="O88" s="456"/>
      <c r="P88" s="456"/>
      <c r="Q88" s="456"/>
      <c r="R88" s="456"/>
      <c r="S88" s="456"/>
      <c r="T88" s="456"/>
      <c r="U88" s="456"/>
      <c r="V88" s="456"/>
      <c r="W88" s="456"/>
      <c r="X88" s="456"/>
      <c r="Y88" s="457"/>
      <c r="Z88" s="457"/>
      <c r="AA88" s="457"/>
      <c r="AB88" s="457"/>
      <c r="AC88" s="457"/>
      <c r="AD88" s="458"/>
      <c r="AF88" s="50"/>
    </row>
  </sheetData>
  <mergeCells count="230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8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3F45-BDFE-4E06-8940-E9C7A703C694}"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12.12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314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218" t="s">
        <v>17</v>
      </c>
      <c r="L5" s="218" t="s">
        <v>18</v>
      </c>
      <c r="M5" s="218" t="s">
        <v>19</v>
      </c>
      <c r="N5" s="21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0.43812468158028811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0.43812468158028811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114</v>
      </c>
      <c r="D8" s="52" t="s">
        <v>222</v>
      </c>
      <c r="E8" s="53" t="s">
        <v>211</v>
      </c>
      <c r="F8" s="30" t="s">
        <v>123</v>
      </c>
      <c r="G8" s="33">
        <v>1</v>
      </c>
      <c r="H8" s="35">
        <v>24</v>
      </c>
      <c r="I8" s="7">
        <v>14000</v>
      </c>
      <c r="J8" s="14">
        <v>420</v>
      </c>
      <c r="K8" s="15">
        <f>L8+1392+945+2815+4038</f>
        <v>9610</v>
      </c>
      <c r="L8" s="15">
        <v>420</v>
      </c>
      <c r="M8" s="15">
        <f t="shared" si="1"/>
        <v>420</v>
      </c>
      <c r="N8" s="15">
        <v>0</v>
      </c>
      <c r="O8" s="58">
        <f t="shared" si="2"/>
        <v>0</v>
      </c>
      <c r="P8" s="39">
        <f t="shared" si="3"/>
        <v>4</v>
      </c>
      <c r="Q8" s="40">
        <f t="shared" si="4"/>
        <v>20</v>
      </c>
      <c r="R8" s="7"/>
      <c r="S8" s="6"/>
      <c r="T8" s="16"/>
      <c r="U8" s="16"/>
      <c r="V8" s="17">
        <v>20</v>
      </c>
      <c r="W8" s="5"/>
      <c r="X8" s="16"/>
      <c r="Y8" s="16"/>
      <c r="Z8" s="16"/>
      <c r="AA8" s="18"/>
      <c r="AB8" s="8">
        <f t="shared" si="5"/>
        <v>1</v>
      </c>
      <c r="AC8" s="9">
        <f t="shared" si="6"/>
        <v>0.16666666666666666</v>
      </c>
      <c r="AD8" s="10">
        <f t="shared" si="7"/>
        <v>0.16666666666666666</v>
      </c>
      <c r="AE8" s="36">
        <f t="shared" si="8"/>
        <v>0.43812468158028811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4299</v>
      </c>
      <c r="K9" s="15">
        <f>L9+1036+2500+4639+2951+2392+2902+2784+3566+4110</f>
        <v>31179</v>
      </c>
      <c r="L9" s="15">
        <f>2783+1516</f>
        <v>4299</v>
      </c>
      <c r="M9" s="15">
        <f t="shared" si="1"/>
        <v>4299</v>
      </c>
      <c r="N9" s="15">
        <v>0</v>
      </c>
      <c r="O9" s="58">
        <f t="shared" si="2"/>
        <v>0</v>
      </c>
      <c r="P9" s="39">
        <f t="shared" si="3"/>
        <v>22</v>
      </c>
      <c r="Q9" s="40">
        <f t="shared" si="4"/>
        <v>2</v>
      </c>
      <c r="R9" s="7"/>
      <c r="S9" s="6">
        <v>2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0.91666666666666663</v>
      </c>
      <c r="AD9" s="10">
        <f t="shared" si="7"/>
        <v>0.91666666666666663</v>
      </c>
      <c r="AE9" s="36">
        <f t="shared" si="8"/>
        <v>0.43812468158028811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285</v>
      </c>
      <c r="E10" s="53" t="s">
        <v>286</v>
      </c>
      <c r="F10" s="30" t="s">
        <v>123</v>
      </c>
      <c r="G10" s="33">
        <v>20</v>
      </c>
      <c r="H10" s="35">
        <v>24</v>
      </c>
      <c r="I10" s="7">
        <v>220000</v>
      </c>
      <c r="J10" s="5">
        <v>139600</v>
      </c>
      <c r="K10" s="15">
        <f>L10+164120</f>
        <v>303720</v>
      </c>
      <c r="L10" s="15">
        <f>2930*20+4050*20</f>
        <v>139600</v>
      </c>
      <c r="M10" s="15">
        <f t="shared" si="1"/>
        <v>139600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0.43812468158028811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300</v>
      </c>
      <c r="F11" s="30" t="s">
        <v>126</v>
      </c>
      <c r="G11" s="33">
        <v>1</v>
      </c>
      <c r="H11" s="35">
        <v>24</v>
      </c>
      <c r="I11" s="7">
        <v>62000</v>
      </c>
      <c r="J11" s="5">
        <v>2377</v>
      </c>
      <c r="K11" s="15">
        <f>L11</f>
        <v>2377</v>
      </c>
      <c r="L11" s="15">
        <v>2377</v>
      </c>
      <c r="M11" s="15">
        <f t="shared" si="1"/>
        <v>2377</v>
      </c>
      <c r="N11" s="15">
        <v>0</v>
      </c>
      <c r="O11" s="58">
        <f t="shared" si="2"/>
        <v>0</v>
      </c>
      <c r="P11" s="39">
        <f t="shared" si="3"/>
        <v>14</v>
      </c>
      <c r="Q11" s="40">
        <f t="shared" si="4"/>
        <v>10</v>
      </c>
      <c r="R11" s="7"/>
      <c r="S11" s="6">
        <v>10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0.58333333333333337</v>
      </c>
      <c r="AD11" s="10">
        <f>AC11*AB11*(1-O11)</f>
        <v>0.58333333333333337</v>
      </c>
      <c r="AE11" s="36">
        <f t="shared" si="8"/>
        <v>0.43812468158028811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144</v>
      </c>
      <c r="F12" s="30" t="s">
        <v>121</v>
      </c>
      <c r="G12" s="33">
        <v>1</v>
      </c>
      <c r="H12" s="35">
        <v>24</v>
      </c>
      <c r="I12" s="7">
        <v>70000</v>
      </c>
      <c r="J12" s="14">
        <v>2399</v>
      </c>
      <c r="K12" s="15">
        <f>L12+2036+3193+2673+3958+1875+401+3155+4199+2859</f>
        <v>26688</v>
      </c>
      <c r="L12" s="15">
        <f>988+1351</f>
        <v>2339</v>
      </c>
      <c r="M12" s="15">
        <f t="shared" si="1"/>
        <v>2339</v>
      </c>
      <c r="N12" s="15">
        <v>0</v>
      </c>
      <c r="O12" s="58">
        <f t="shared" si="2"/>
        <v>0</v>
      </c>
      <c r="P12" s="39">
        <f t="shared" si="3"/>
        <v>11</v>
      </c>
      <c r="Q12" s="40">
        <f t="shared" si="4"/>
        <v>13</v>
      </c>
      <c r="R12" s="7"/>
      <c r="S12" s="6">
        <v>13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0.97498957899124639</v>
      </c>
      <c r="AC12" s="9">
        <f t="shared" si="6"/>
        <v>0.45833333333333331</v>
      </c>
      <c r="AD12" s="10">
        <f t="shared" ref="AD12:AD13" si="10">AC12*AB12*(1-O12)</f>
        <v>0.44687022370432122</v>
      </c>
      <c r="AE12" s="36">
        <f t="shared" si="8"/>
        <v>0.43812468158028811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288</v>
      </c>
      <c r="D13" s="52" t="s">
        <v>135</v>
      </c>
      <c r="E13" s="53" t="s">
        <v>289</v>
      </c>
      <c r="F13" s="30" t="s">
        <v>248</v>
      </c>
      <c r="G13" s="33">
        <v>1</v>
      </c>
      <c r="H13" s="35">
        <v>24</v>
      </c>
      <c r="I13" s="7">
        <v>100</v>
      </c>
      <c r="J13" s="14">
        <v>150</v>
      </c>
      <c r="K13" s="15">
        <f>L13+150</f>
        <v>150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5"/>
        <v>0</v>
      </c>
      <c r="AC13" s="9">
        <f t="shared" si="6"/>
        <v>0</v>
      </c>
      <c r="AD13" s="10">
        <f t="shared" si="10"/>
        <v>0</v>
      </c>
      <c r="AE13" s="36">
        <f t="shared" si="8"/>
        <v>0.43812468158028811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258</v>
      </c>
      <c r="F14" s="30" t="s">
        <v>262</v>
      </c>
      <c r="G14" s="33">
        <v>1</v>
      </c>
      <c r="H14" s="35">
        <v>24</v>
      </c>
      <c r="I14" s="7">
        <v>500</v>
      </c>
      <c r="J14" s="5">
        <v>650</v>
      </c>
      <c r="K14" s="15">
        <f>L14</f>
        <v>650</v>
      </c>
      <c r="L14" s="15">
        <v>650</v>
      </c>
      <c r="M14" s="15">
        <f t="shared" si="1"/>
        <v>650</v>
      </c>
      <c r="N14" s="15">
        <v>0</v>
      </c>
      <c r="O14" s="58">
        <f t="shared" si="2"/>
        <v>0</v>
      </c>
      <c r="P14" s="39">
        <f t="shared" si="3"/>
        <v>10</v>
      </c>
      <c r="Q14" s="40">
        <f t="shared" si="4"/>
        <v>14</v>
      </c>
      <c r="R14" s="7"/>
      <c r="S14" s="6"/>
      <c r="T14" s="16"/>
      <c r="U14" s="16"/>
      <c r="V14" s="17"/>
      <c r="W14" s="5">
        <v>14</v>
      </c>
      <c r="X14" s="16"/>
      <c r="Y14" s="16"/>
      <c r="Z14" s="16"/>
      <c r="AA14" s="18"/>
      <c r="AB14" s="8">
        <f t="shared" si="5"/>
        <v>1</v>
      </c>
      <c r="AC14" s="9">
        <f t="shared" si="6"/>
        <v>0.41666666666666669</v>
      </c>
      <c r="AD14" s="10">
        <f t="shared" si="7"/>
        <v>0.41666666666666669</v>
      </c>
      <c r="AE14" s="36">
        <f t="shared" si="8"/>
        <v>0.43812468158028811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128</v>
      </c>
      <c r="D15" s="52"/>
      <c r="E15" s="53" t="s">
        <v>315</v>
      </c>
      <c r="F15" s="12">
        <v>8301</v>
      </c>
      <c r="G15" s="12">
        <v>1</v>
      </c>
      <c r="H15" s="13">
        <v>24</v>
      </c>
      <c r="I15" s="31">
        <v>1000</v>
      </c>
      <c r="J15" s="14">
        <v>1140</v>
      </c>
      <c r="K15" s="15">
        <f>L15</f>
        <v>1140</v>
      </c>
      <c r="L15" s="15">
        <v>1140</v>
      </c>
      <c r="M15" s="15">
        <f t="shared" si="1"/>
        <v>0</v>
      </c>
      <c r="N15" s="15">
        <v>1140</v>
      </c>
      <c r="O15" s="58">
        <f t="shared" si="2"/>
        <v>1</v>
      </c>
      <c r="P15" s="39">
        <f t="shared" si="3"/>
        <v>0</v>
      </c>
      <c r="Q15" s="40">
        <f t="shared" si="4"/>
        <v>24</v>
      </c>
      <c r="R15" s="7"/>
      <c r="S15" s="6"/>
      <c r="T15" s="16"/>
      <c r="U15" s="16"/>
      <c r="V15" s="17">
        <v>24</v>
      </c>
      <c r="W15" s="5"/>
      <c r="X15" s="16"/>
      <c r="Y15" s="16"/>
      <c r="Z15" s="16"/>
      <c r="AA15" s="18"/>
      <c r="AB15" s="8">
        <f t="shared" si="5"/>
        <v>1</v>
      </c>
      <c r="AC15" s="9" t="str">
        <f t="shared" si="6"/>
        <v>0</v>
      </c>
      <c r="AD15" s="10">
        <f t="shared" si="7"/>
        <v>0</v>
      </c>
      <c r="AE15" s="36">
        <f t="shared" si="8"/>
        <v>0.43812468158028811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125</v>
      </c>
      <c r="E16" s="53" t="s">
        <v>291</v>
      </c>
      <c r="F16" s="30" t="s">
        <v>126</v>
      </c>
      <c r="G16" s="12">
        <v>1</v>
      </c>
      <c r="H16" s="13">
        <v>28</v>
      </c>
      <c r="I16" s="7">
        <v>73000</v>
      </c>
      <c r="J16" s="14">
        <v>5390</v>
      </c>
      <c r="K16" s="15">
        <f>L16+2222</f>
        <v>7612</v>
      </c>
      <c r="L16" s="15">
        <f>3033+2357</f>
        <v>5390</v>
      </c>
      <c r="M16" s="15">
        <f t="shared" si="1"/>
        <v>5390</v>
      </c>
      <c r="N16" s="15">
        <v>0</v>
      </c>
      <c r="O16" s="58">
        <f t="shared" si="2"/>
        <v>0</v>
      </c>
      <c r="P16" s="39">
        <f t="shared" si="3"/>
        <v>23</v>
      </c>
      <c r="Q16" s="40">
        <f t="shared" si="4"/>
        <v>1</v>
      </c>
      <c r="R16" s="7"/>
      <c r="S16" s="6">
        <v>1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0.95833333333333337</v>
      </c>
      <c r="AD16" s="10">
        <f t="shared" si="7"/>
        <v>0.95833333333333337</v>
      </c>
      <c r="AE16" s="36">
        <f t="shared" si="8"/>
        <v>0.43812468158028811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135</v>
      </c>
      <c r="E17" s="53" t="s">
        <v>238</v>
      </c>
      <c r="F17" s="30" t="s">
        <v>249</v>
      </c>
      <c r="G17" s="33">
        <v>1</v>
      </c>
      <c r="H17" s="35">
        <v>24</v>
      </c>
      <c r="I17" s="7">
        <v>300</v>
      </c>
      <c r="J17" s="5">
        <v>713</v>
      </c>
      <c r="K17" s="15">
        <f>L17+713</f>
        <v>713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0.43812468158028811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124</v>
      </c>
      <c r="D18" s="52" t="s">
        <v>117</v>
      </c>
      <c r="E18" s="53" t="s">
        <v>165</v>
      </c>
      <c r="F18" s="30" t="s">
        <v>141</v>
      </c>
      <c r="G18" s="33">
        <v>1</v>
      </c>
      <c r="H18" s="35">
        <v>24</v>
      </c>
      <c r="I18" s="7">
        <v>8000</v>
      </c>
      <c r="J18" s="5">
        <v>2019</v>
      </c>
      <c r="K18" s="15">
        <f>L18+380+291+544+2968+3617</f>
        <v>9819</v>
      </c>
      <c r="L18" s="15">
        <v>2019</v>
      </c>
      <c r="M18" s="15">
        <f t="shared" si="1"/>
        <v>2019</v>
      </c>
      <c r="N18" s="15">
        <v>0</v>
      </c>
      <c r="O18" s="58">
        <f t="shared" si="2"/>
        <v>0</v>
      </c>
      <c r="P18" s="39">
        <f t="shared" si="3"/>
        <v>9</v>
      </c>
      <c r="Q18" s="40">
        <f t="shared" si="4"/>
        <v>15</v>
      </c>
      <c r="R18" s="7"/>
      <c r="S18" s="6"/>
      <c r="T18" s="16"/>
      <c r="U18" s="16"/>
      <c r="V18" s="17"/>
      <c r="W18" s="5">
        <v>15</v>
      </c>
      <c r="X18" s="16"/>
      <c r="Y18" s="16"/>
      <c r="Z18" s="16"/>
      <c r="AA18" s="18"/>
      <c r="AB18" s="8">
        <f t="shared" si="5"/>
        <v>1</v>
      </c>
      <c r="AC18" s="9">
        <f t="shared" si="6"/>
        <v>0.375</v>
      </c>
      <c r="AD18" s="10">
        <f>AC18*AB18*(1-O18)</f>
        <v>0.375</v>
      </c>
      <c r="AE18" s="36">
        <f t="shared" si="8"/>
        <v>0.43812468158028811</v>
      </c>
      <c r="AF18" s="87">
        <f t="shared" si="9"/>
        <v>13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122</v>
      </c>
      <c r="E19" s="53" t="s">
        <v>147</v>
      </c>
      <c r="F19" s="30" t="s">
        <v>123</v>
      </c>
      <c r="G19" s="33">
        <v>1</v>
      </c>
      <c r="H19" s="35">
        <v>24</v>
      </c>
      <c r="I19" s="7">
        <v>60000</v>
      </c>
      <c r="J19" s="5">
        <v>1915</v>
      </c>
      <c r="K19" s="15">
        <f>L19</f>
        <v>1915</v>
      </c>
      <c r="L19" s="15">
        <f>1915</f>
        <v>1915</v>
      </c>
      <c r="M19" s="15">
        <f t="shared" ref="M19" si="11">L19-N19</f>
        <v>1915</v>
      </c>
      <c r="N19" s="15">
        <v>0</v>
      </c>
      <c r="O19" s="58">
        <f t="shared" ref="O19" si="12">IF(L19=0,"0",N19/L19)</f>
        <v>0</v>
      </c>
      <c r="P19" s="39">
        <f t="shared" ref="P19" si="13">IF(L19=0,"0",(24-Q19))</f>
        <v>9</v>
      </c>
      <c r="Q19" s="40">
        <f t="shared" ref="Q19" si="14">SUM(R19:AA19)</f>
        <v>15</v>
      </c>
      <c r="R19" s="7"/>
      <c r="S19" s="6">
        <v>5</v>
      </c>
      <c r="T19" s="16"/>
      <c r="U19" s="16"/>
      <c r="V19" s="17">
        <v>10</v>
      </c>
      <c r="W19" s="5"/>
      <c r="X19" s="16"/>
      <c r="Y19" s="16"/>
      <c r="Z19" s="16"/>
      <c r="AA19" s="18"/>
      <c r="AB19" s="8">
        <f t="shared" ref="AB19" si="15">IF(J19=0,"0",(L19/J19))</f>
        <v>1</v>
      </c>
      <c r="AC19" s="9">
        <f t="shared" ref="AC19" si="16">IF(P19=0,"0",(P19/24))</f>
        <v>0.375</v>
      </c>
      <c r="AD19" s="10">
        <f>AC19*AB19*(1-O19)</f>
        <v>0.375</v>
      </c>
      <c r="AE19" s="36">
        <f t="shared" si="8"/>
        <v>0.43812468158028811</v>
      </c>
      <c r="AF19" s="87">
        <f t="shared" ref="AF19" si="17">A19</f>
        <v>13</v>
      </c>
    </row>
    <row r="20" spans="1:32" ht="27" customHeight="1">
      <c r="A20" s="103">
        <v>14</v>
      </c>
      <c r="B20" s="11" t="s">
        <v>57</v>
      </c>
      <c r="C20" s="11" t="s">
        <v>124</v>
      </c>
      <c r="D20" s="52" t="s">
        <v>117</v>
      </c>
      <c r="E20" s="53" t="s">
        <v>235</v>
      </c>
      <c r="F20" s="30" t="s">
        <v>121</v>
      </c>
      <c r="G20" s="33">
        <v>1</v>
      </c>
      <c r="H20" s="35">
        <v>24</v>
      </c>
      <c r="I20" s="7">
        <v>5000</v>
      </c>
      <c r="J20" s="14">
        <v>4513</v>
      </c>
      <c r="K20" s="15">
        <f>L20</f>
        <v>4513</v>
      </c>
      <c r="L20" s="15">
        <f>1931+2582</f>
        <v>4513</v>
      </c>
      <c r="M20" s="15">
        <f t="shared" si="1"/>
        <v>4513</v>
      </c>
      <c r="N20" s="15">
        <v>0</v>
      </c>
      <c r="O20" s="58">
        <f t="shared" si="2"/>
        <v>0</v>
      </c>
      <c r="P20" s="39">
        <f t="shared" si="3"/>
        <v>22</v>
      </c>
      <c r="Q20" s="40">
        <f t="shared" si="4"/>
        <v>2</v>
      </c>
      <c r="R20" s="7"/>
      <c r="S20" s="6"/>
      <c r="T20" s="16">
        <v>2</v>
      </c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0.91666666666666663</v>
      </c>
      <c r="AD20" s="10">
        <f t="shared" si="7"/>
        <v>0.91666666666666663</v>
      </c>
      <c r="AE20" s="36">
        <f t="shared" si="8"/>
        <v>0.43812468158028811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316</v>
      </c>
      <c r="F21" s="12" t="s">
        <v>116</v>
      </c>
      <c r="G21" s="12">
        <v>4</v>
      </c>
      <c r="H21" s="35">
        <v>20</v>
      </c>
      <c r="I21" s="7">
        <v>300000</v>
      </c>
      <c r="J21" s="14">
        <v>33136</v>
      </c>
      <c r="K21" s="15">
        <f>L21</f>
        <v>33136</v>
      </c>
      <c r="L21" s="15">
        <f>8284*4</f>
        <v>33136</v>
      </c>
      <c r="M21" s="15">
        <f t="shared" si="1"/>
        <v>33136</v>
      </c>
      <c r="N21" s="15">
        <v>0</v>
      </c>
      <c r="O21" s="58">
        <f t="shared" si="2"/>
        <v>0</v>
      </c>
      <c r="P21" s="39">
        <f t="shared" si="3"/>
        <v>10</v>
      </c>
      <c r="Q21" s="40">
        <f t="shared" si="4"/>
        <v>14</v>
      </c>
      <c r="R21" s="7"/>
      <c r="S21" s="6"/>
      <c r="T21" s="16"/>
      <c r="U21" s="16"/>
      <c r="V21" s="17">
        <v>14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0.41666666666666669</v>
      </c>
      <c r="AD21" s="10">
        <f t="shared" si="7"/>
        <v>0.41666666666666669</v>
      </c>
      <c r="AE21" s="36">
        <f t="shared" si="8"/>
        <v>0.43812468158028811</v>
      </c>
      <c r="AF21" s="87">
        <f t="shared" si="9"/>
        <v>15</v>
      </c>
    </row>
    <row r="22" spans="1:32" ht="31.5" customHeight="1" thickBot="1">
      <c r="A22" s="541" t="s">
        <v>34</v>
      </c>
      <c r="B22" s="542"/>
      <c r="C22" s="542"/>
      <c r="D22" s="542"/>
      <c r="E22" s="542"/>
      <c r="F22" s="542"/>
      <c r="G22" s="542"/>
      <c r="H22" s="543"/>
      <c r="I22" s="22">
        <f t="shared" ref="I22:N22" si="18">SUM(I6:I21)</f>
        <v>904900</v>
      </c>
      <c r="J22" s="19">
        <f t="shared" si="18"/>
        <v>200782</v>
      </c>
      <c r="K22" s="20">
        <f t="shared" si="18"/>
        <v>444770</v>
      </c>
      <c r="L22" s="21">
        <f t="shared" si="18"/>
        <v>197798</v>
      </c>
      <c r="M22" s="20">
        <f t="shared" si="18"/>
        <v>196658</v>
      </c>
      <c r="N22" s="21">
        <f t="shared" si="18"/>
        <v>1140</v>
      </c>
      <c r="O22" s="41">
        <f t="shared" si="2"/>
        <v>5.7634556466698347E-3</v>
      </c>
      <c r="P22" s="42">
        <f t="shared" ref="P22:AA22" si="19">SUM(P6:P21)</f>
        <v>158</v>
      </c>
      <c r="Q22" s="43">
        <f t="shared" si="19"/>
        <v>226</v>
      </c>
      <c r="R22" s="23">
        <f t="shared" si="19"/>
        <v>24</v>
      </c>
      <c r="S22" s="24">
        <f t="shared" si="19"/>
        <v>31</v>
      </c>
      <c r="T22" s="24">
        <f t="shared" si="19"/>
        <v>2</v>
      </c>
      <c r="U22" s="24">
        <f t="shared" si="19"/>
        <v>0</v>
      </c>
      <c r="V22" s="25">
        <f t="shared" si="19"/>
        <v>92</v>
      </c>
      <c r="W22" s="26">
        <f t="shared" si="19"/>
        <v>53</v>
      </c>
      <c r="X22" s="27">
        <f t="shared" si="19"/>
        <v>0</v>
      </c>
      <c r="Y22" s="27">
        <f t="shared" si="19"/>
        <v>0</v>
      </c>
      <c r="Z22" s="27">
        <f t="shared" si="19"/>
        <v>0</v>
      </c>
      <c r="AA22" s="27">
        <f t="shared" si="19"/>
        <v>24</v>
      </c>
      <c r="AB22" s="28">
        <f>SUM(AB6:AB21)/15</f>
        <v>0.7983326385994165</v>
      </c>
      <c r="AC22" s="4">
        <f>SUM(AC6:AC21)/15</f>
        <v>0.43888888888888894</v>
      </c>
      <c r="AD22" s="4">
        <f>SUM(AD6:AD21)/15</f>
        <v>0.43812468158028811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44" t="s">
        <v>45</v>
      </c>
      <c r="B49" s="544"/>
      <c r="C49" s="544"/>
      <c r="D49" s="544"/>
      <c r="E49" s="544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45" t="s">
        <v>317</v>
      </c>
      <c r="B50" s="546"/>
      <c r="C50" s="546"/>
      <c r="D50" s="546"/>
      <c r="E50" s="546"/>
      <c r="F50" s="546"/>
      <c r="G50" s="546"/>
      <c r="H50" s="546"/>
      <c r="I50" s="546"/>
      <c r="J50" s="546"/>
      <c r="K50" s="546"/>
      <c r="L50" s="546"/>
      <c r="M50" s="547"/>
      <c r="N50" s="548" t="s">
        <v>325</v>
      </c>
      <c r="O50" s="549"/>
      <c r="P50" s="549"/>
      <c r="Q50" s="549"/>
      <c r="R50" s="549"/>
      <c r="S50" s="549"/>
      <c r="T50" s="549"/>
      <c r="U50" s="549"/>
      <c r="V50" s="549"/>
      <c r="W50" s="549"/>
      <c r="X50" s="549"/>
      <c r="Y50" s="549"/>
      <c r="Z50" s="549"/>
      <c r="AA50" s="549"/>
      <c r="AB50" s="549"/>
      <c r="AC50" s="549"/>
      <c r="AD50" s="550"/>
    </row>
    <row r="51" spans="1:32" ht="27" customHeight="1">
      <c r="A51" s="551" t="s">
        <v>2</v>
      </c>
      <c r="B51" s="552"/>
      <c r="C51" s="217" t="s">
        <v>46</v>
      </c>
      <c r="D51" s="217" t="s">
        <v>47</v>
      </c>
      <c r="E51" s="217" t="s">
        <v>108</v>
      </c>
      <c r="F51" s="552" t="s">
        <v>107</v>
      </c>
      <c r="G51" s="552"/>
      <c r="H51" s="552"/>
      <c r="I51" s="552"/>
      <c r="J51" s="552"/>
      <c r="K51" s="552"/>
      <c r="L51" s="552"/>
      <c r="M51" s="553"/>
      <c r="N51" s="67" t="s">
        <v>112</v>
      </c>
      <c r="O51" s="217" t="s">
        <v>46</v>
      </c>
      <c r="P51" s="554" t="s">
        <v>47</v>
      </c>
      <c r="Q51" s="555"/>
      <c r="R51" s="554" t="s">
        <v>38</v>
      </c>
      <c r="S51" s="556"/>
      <c r="T51" s="556"/>
      <c r="U51" s="555"/>
      <c r="V51" s="554" t="s">
        <v>48</v>
      </c>
      <c r="W51" s="556"/>
      <c r="X51" s="556"/>
      <c r="Y51" s="556"/>
      <c r="Z51" s="556"/>
      <c r="AA51" s="556"/>
      <c r="AB51" s="556"/>
      <c r="AC51" s="556"/>
      <c r="AD51" s="557"/>
    </row>
    <row r="52" spans="1:32" ht="27" customHeight="1">
      <c r="A52" s="524" t="s">
        <v>114</v>
      </c>
      <c r="B52" s="525"/>
      <c r="C52" s="215" t="s">
        <v>170</v>
      </c>
      <c r="D52" s="215" t="s">
        <v>222</v>
      </c>
      <c r="E52" s="215" t="s">
        <v>211</v>
      </c>
      <c r="F52" s="517" t="s">
        <v>318</v>
      </c>
      <c r="G52" s="518"/>
      <c r="H52" s="518"/>
      <c r="I52" s="518"/>
      <c r="J52" s="518"/>
      <c r="K52" s="518"/>
      <c r="L52" s="518"/>
      <c r="M52" s="526"/>
      <c r="N52" s="214" t="s">
        <v>124</v>
      </c>
      <c r="O52" s="212" t="s">
        <v>155</v>
      </c>
      <c r="P52" s="536" t="s">
        <v>125</v>
      </c>
      <c r="Q52" s="537"/>
      <c r="R52" s="536" t="s">
        <v>323</v>
      </c>
      <c r="S52" s="538"/>
      <c r="T52" s="538"/>
      <c r="U52" s="537"/>
      <c r="V52" s="503" t="s">
        <v>157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124</v>
      </c>
      <c r="B53" s="525"/>
      <c r="C53" s="215" t="s">
        <v>234</v>
      </c>
      <c r="D53" s="215" t="s">
        <v>117</v>
      </c>
      <c r="E53" s="215" t="s">
        <v>165</v>
      </c>
      <c r="F53" s="517" t="s">
        <v>226</v>
      </c>
      <c r="G53" s="518"/>
      <c r="H53" s="518"/>
      <c r="I53" s="518"/>
      <c r="J53" s="518"/>
      <c r="K53" s="518"/>
      <c r="L53" s="518"/>
      <c r="M53" s="526"/>
      <c r="N53" s="214" t="s">
        <v>114</v>
      </c>
      <c r="O53" s="212" t="s">
        <v>150</v>
      </c>
      <c r="P53" s="536" t="s">
        <v>117</v>
      </c>
      <c r="Q53" s="537"/>
      <c r="R53" s="536" t="s">
        <v>144</v>
      </c>
      <c r="S53" s="538"/>
      <c r="T53" s="538"/>
      <c r="U53" s="537"/>
      <c r="V53" s="503" t="s">
        <v>157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114</v>
      </c>
      <c r="B54" s="525"/>
      <c r="C54" s="215" t="s">
        <v>131</v>
      </c>
      <c r="D54" s="215" t="s">
        <v>142</v>
      </c>
      <c r="E54" s="215" t="s">
        <v>145</v>
      </c>
      <c r="F54" s="517" t="s">
        <v>299</v>
      </c>
      <c r="G54" s="518"/>
      <c r="H54" s="518"/>
      <c r="I54" s="518"/>
      <c r="J54" s="518"/>
      <c r="K54" s="518"/>
      <c r="L54" s="518"/>
      <c r="M54" s="526"/>
      <c r="N54" s="214" t="s">
        <v>138</v>
      </c>
      <c r="O54" s="212" t="s">
        <v>179</v>
      </c>
      <c r="P54" s="536"/>
      <c r="Q54" s="537"/>
      <c r="R54" s="525" t="s">
        <v>326</v>
      </c>
      <c r="S54" s="525"/>
      <c r="T54" s="525"/>
      <c r="U54" s="525"/>
      <c r="V54" s="503" t="s">
        <v>120</v>
      </c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114</v>
      </c>
      <c r="B55" s="525"/>
      <c r="C55" s="215" t="s">
        <v>295</v>
      </c>
      <c r="D55" s="215" t="s">
        <v>125</v>
      </c>
      <c r="E55" s="215" t="s">
        <v>291</v>
      </c>
      <c r="F55" s="517" t="s">
        <v>319</v>
      </c>
      <c r="G55" s="518"/>
      <c r="H55" s="518"/>
      <c r="I55" s="518"/>
      <c r="J55" s="518"/>
      <c r="K55" s="518"/>
      <c r="L55" s="518"/>
      <c r="M55" s="526"/>
      <c r="N55" s="214" t="s">
        <v>138</v>
      </c>
      <c r="O55" s="212" t="s">
        <v>179</v>
      </c>
      <c r="P55" s="536"/>
      <c r="Q55" s="537"/>
      <c r="R55" s="525" t="s">
        <v>327</v>
      </c>
      <c r="S55" s="525"/>
      <c r="T55" s="525"/>
      <c r="U55" s="525"/>
      <c r="V55" s="503" t="s">
        <v>120</v>
      </c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 t="s">
        <v>124</v>
      </c>
      <c r="B56" s="525"/>
      <c r="C56" s="215" t="s">
        <v>132</v>
      </c>
      <c r="D56" s="215" t="s">
        <v>183</v>
      </c>
      <c r="E56" s="215" t="s">
        <v>300</v>
      </c>
      <c r="F56" s="517" t="s">
        <v>320</v>
      </c>
      <c r="G56" s="518"/>
      <c r="H56" s="518"/>
      <c r="I56" s="518"/>
      <c r="J56" s="518"/>
      <c r="K56" s="518"/>
      <c r="L56" s="518"/>
      <c r="M56" s="526"/>
      <c r="N56" s="214"/>
      <c r="O56" s="212"/>
      <c r="P56" s="536"/>
      <c r="Q56" s="537"/>
      <c r="R56" s="536"/>
      <c r="S56" s="538"/>
      <c r="T56" s="538"/>
      <c r="U56" s="537"/>
      <c r="V56" s="503"/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 t="s">
        <v>114</v>
      </c>
      <c r="B57" s="525"/>
      <c r="C57" s="215" t="s">
        <v>150</v>
      </c>
      <c r="D57" s="215" t="s">
        <v>117</v>
      </c>
      <c r="E57" s="215" t="s">
        <v>144</v>
      </c>
      <c r="F57" s="517" t="s">
        <v>321</v>
      </c>
      <c r="G57" s="518"/>
      <c r="H57" s="518"/>
      <c r="I57" s="518"/>
      <c r="J57" s="518"/>
      <c r="K57" s="518"/>
      <c r="L57" s="518"/>
      <c r="M57" s="526"/>
      <c r="N57" s="214"/>
      <c r="O57" s="212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 t="s">
        <v>114</v>
      </c>
      <c r="B58" s="525"/>
      <c r="C58" s="215" t="s">
        <v>137</v>
      </c>
      <c r="D58" s="215" t="s">
        <v>117</v>
      </c>
      <c r="E58" s="215" t="s">
        <v>258</v>
      </c>
      <c r="F58" s="517" t="s">
        <v>322</v>
      </c>
      <c r="G58" s="518"/>
      <c r="H58" s="518"/>
      <c r="I58" s="518"/>
      <c r="J58" s="518"/>
      <c r="K58" s="518"/>
      <c r="L58" s="518"/>
      <c r="M58" s="526"/>
      <c r="N58" s="214"/>
      <c r="O58" s="212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 t="s">
        <v>114</v>
      </c>
      <c r="B59" s="525"/>
      <c r="C59" s="215" t="s">
        <v>234</v>
      </c>
      <c r="D59" s="215" t="s">
        <v>122</v>
      </c>
      <c r="E59" s="215" t="s">
        <v>147</v>
      </c>
      <c r="F59" s="517" t="s">
        <v>320</v>
      </c>
      <c r="G59" s="518"/>
      <c r="H59" s="518"/>
      <c r="I59" s="518"/>
      <c r="J59" s="518"/>
      <c r="K59" s="518"/>
      <c r="L59" s="518"/>
      <c r="M59" s="526"/>
      <c r="N59" s="214"/>
      <c r="O59" s="212"/>
      <c r="P59" s="536"/>
      <c r="Q59" s="537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</row>
    <row r="60" spans="1:32" ht="27" customHeight="1">
      <c r="A60" s="524" t="s">
        <v>124</v>
      </c>
      <c r="B60" s="525"/>
      <c r="C60" s="215" t="s">
        <v>171</v>
      </c>
      <c r="D60" s="215" t="s">
        <v>117</v>
      </c>
      <c r="E60" s="215" t="s">
        <v>235</v>
      </c>
      <c r="F60" s="517" t="s">
        <v>120</v>
      </c>
      <c r="G60" s="518"/>
      <c r="H60" s="518"/>
      <c r="I60" s="518"/>
      <c r="J60" s="518"/>
      <c r="K60" s="518"/>
      <c r="L60" s="518"/>
      <c r="M60" s="526"/>
      <c r="N60" s="214"/>
      <c r="O60" s="212"/>
      <c r="P60" s="525"/>
      <c r="Q60" s="525"/>
      <c r="R60" s="525"/>
      <c r="S60" s="525"/>
      <c r="T60" s="525"/>
      <c r="U60" s="525"/>
      <c r="V60" s="503"/>
      <c r="W60" s="503"/>
      <c r="X60" s="503"/>
      <c r="Y60" s="503"/>
      <c r="Z60" s="503"/>
      <c r="AA60" s="503"/>
      <c r="AB60" s="503"/>
      <c r="AC60" s="503"/>
      <c r="AD60" s="527"/>
      <c r="AF60" s="87">
        <f>8*3000</f>
        <v>24000</v>
      </c>
    </row>
    <row r="61" spans="1:32" ht="27" customHeight="1" thickBot="1">
      <c r="A61" s="528" t="s">
        <v>124</v>
      </c>
      <c r="B61" s="529"/>
      <c r="C61" s="216" t="s">
        <v>170</v>
      </c>
      <c r="D61" s="216" t="s">
        <v>125</v>
      </c>
      <c r="E61" s="216" t="s">
        <v>323</v>
      </c>
      <c r="F61" s="530" t="s">
        <v>324</v>
      </c>
      <c r="G61" s="531"/>
      <c r="H61" s="531"/>
      <c r="I61" s="531"/>
      <c r="J61" s="531"/>
      <c r="K61" s="531"/>
      <c r="L61" s="531"/>
      <c r="M61" s="532"/>
      <c r="N61" s="124"/>
      <c r="O61" s="114"/>
      <c r="P61" s="533"/>
      <c r="Q61" s="533"/>
      <c r="R61" s="533"/>
      <c r="S61" s="533"/>
      <c r="T61" s="533"/>
      <c r="U61" s="533"/>
      <c r="V61" s="534"/>
      <c r="W61" s="534"/>
      <c r="X61" s="534"/>
      <c r="Y61" s="534"/>
      <c r="Z61" s="534"/>
      <c r="AA61" s="534"/>
      <c r="AB61" s="534"/>
      <c r="AC61" s="534"/>
      <c r="AD61" s="535"/>
      <c r="AF61" s="87">
        <f>16*3000</f>
        <v>48000</v>
      </c>
    </row>
    <row r="62" spans="1:32" ht="27.75" thickBot="1">
      <c r="A62" s="522" t="s">
        <v>328</v>
      </c>
      <c r="B62" s="522"/>
      <c r="C62" s="522"/>
      <c r="D62" s="522"/>
      <c r="E62" s="52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523" t="s">
        <v>113</v>
      </c>
      <c r="B63" s="515"/>
      <c r="C63" s="213" t="s">
        <v>2</v>
      </c>
      <c r="D63" s="213" t="s">
        <v>37</v>
      </c>
      <c r="E63" s="213" t="s">
        <v>3</v>
      </c>
      <c r="F63" s="515" t="s">
        <v>110</v>
      </c>
      <c r="G63" s="515"/>
      <c r="H63" s="515"/>
      <c r="I63" s="515"/>
      <c r="J63" s="515"/>
      <c r="K63" s="515" t="s">
        <v>39</v>
      </c>
      <c r="L63" s="515"/>
      <c r="M63" s="213" t="s">
        <v>40</v>
      </c>
      <c r="N63" s="515" t="s">
        <v>41</v>
      </c>
      <c r="O63" s="515"/>
      <c r="P63" s="512" t="s">
        <v>42</v>
      </c>
      <c r="Q63" s="514"/>
      <c r="R63" s="512" t="s">
        <v>43</v>
      </c>
      <c r="S63" s="513"/>
      <c r="T63" s="513"/>
      <c r="U63" s="513"/>
      <c r="V63" s="513"/>
      <c r="W63" s="513"/>
      <c r="X63" s="513"/>
      <c r="Y63" s="513"/>
      <c r="Z63" s="513"/>
      <c r="AA63" s="514"/>
      <c r="AB63" s="515" t="s">
        <v>44</v>
      </c>
      <c r="AC63" s="515"/>
      <c r="AD63" s="516"/>
      <c r="AF63" s="87">
        <f>SUM(AF60:AF62)</f>
        <v>96000</v>
      </c>
    </row>
    <row r="64" spans="1:32" ht="25.5" customHeight="1">
      <c r="A64" s="498">
        <v>1</v>
      </c>
      <c r="B64" s="499"/>
      <c r="C64" s="117" t="s">
        <v>124</v>
      </c>
      <c r="D64" s="208"/>
      <c r="E64" s="211" t="s">
        <v>183</v>
      </c>
      <c r="F64" s="500" t="s">
        <v>329</v>
      </c>
      <c r="G64" s="492"/>
      <c r="H64" s="492"/>
      <c r="I64" s="492"/>
      <c r="J64" s="492"/>
      <c r="K64" s="492" t="s">
        <v>126</v>
      </c>
      <c r="L64" s="492"/>
      <c r="M64" s="51" t="s">
        <v>162</v>
      </c>
      <c r="N64" s="501" t="s">
        <v>132</v>
      </c>
      <c r="O64" s="501"/>
      <c r="P64" s="502">
        <v>50</v>
      </c>
      <c r="Q64" s="502"/>
      <c r="R64" s="503"/>
      <c r="S64" s="503"/>
      <c r="T64" s="503"/>
      <c r="U64" s="503"/>
      <c r="V64" s="503"/>
      <c r="W64" s="503"/>
      <c r="X64" s="503"/>
      <c r="Y64" s="503"/>
      <c r="Z64" s="503"/>
      <c r="AA64" s="503"/>
      <c r="AB64" s="507"/>
      <c r="AC64" s="520"/>
      <c r="AD64" s="521"/>
      <c r="AF64" s="50"/>
    </row>
    <row r="65" spans="1:32" ht="25.5" customHeight="1">
      <c r="A65" s="498">
        <v>2</v>
      </c>
      <c r="B65" s="499"/>
      <c r="C65" s="117" t="s">
        <v>124</v>
      </c>
      <c r="D65" s="208"/>
      <c r="E65" s="211" t="s">
        <v>183</v>
      </c>
      <c r="F65" s="504" t="s">
        <v>330</v>
      </c>
      <c r="G65" s="505"/>
      <c r="H65" s="505"/>
      <c r="I65" s="505"/>
      <c r="J65" s="506"/>
      <c r="K65" s="507" t="s">
        <v>126</v>
      </c>
      <c r="L65" s="499"/>
      <c r="M65" s="51" t="s">
        <v>331</v>
      </c>
      <c r="N65" s="501" t="s">
        <v>132</v>
      </c>
      <c r="O65" s="501"/>
      <c r="P65" s="510">
        <v>50</v>
      </c>
      <c r="Q65" s="511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3</v>
      </c>
      <c r="B66" s="499"/>
      <c r="C66" s="117" t="s">
        <v>288</v>
      </c>
      <c r="D66" s="208"/>
      <c r="E66" s="211" t="s">
        <v>117</v>
      </c>
      <c r="F66" s="504" t="s">
        <v>332</v>
      </c>
      <c r="G66" s="505"/>
      <c r="H66" s="505"/>
      <c r="I66" s="505"/>
      <c r="J66" s="506"/>
      <c r="K66" s="507" t="s">
        <v>259</v>
      </c>
      <c r="L66" s="499"/>
      <c r="M66" s="51" t="s">
        <v>162</v>
      </c>
      <c r="N66" s="508" t="s">
        <v>179</v>
      </c>
      <c r="O66" s="509"/>
      <c r="P66" s="510">
        <v>40</v>
      </c>
      <c r="Q66" s="511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4</v>
      </c>
      <c r="B67" s="499"/>
      <c r="C67" s="117" t="s">
        <v>128</v>
      </c>
      <c r="D67" s="208"/>
      <c r="E67" s="211"/>
      <c r="F67" s="504" t="s">
        <v>333</v>
      </c>
      <c r="G67" s="505"/>
      <c r="H67" s="505"/>
      <c r="I67" s="505"/>
      <c r="J67" s="506"/>
      <c r="K67" s="507" t="s">
        <v>123</v>
      </c>
      <c r="L67" s="499"/>
      <c r="M67" s="51" t="s">
        <v>162</v>
      </c>
      <c r="N67" s="508" t="s">
        <v>179</v>
      </c>
      <c r="O67" s="509"/>
      <c r="P67" s="510" t="s">
        <v>334</v>
      </c>
      <c r="Q67" s="511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5</v>
      </c>
      <c r="B68" s="499"/>
      <c r="C68" s="117" t="s">
        <v>128</v>
      </c>
      <c r="D68" s="208"/>
      <c r="E68" s="211"/>
      <c r="F68" s="504" t="s">
        <v>335</v>
      </c>
      <c r="G68" s="505"/>
      <c r="H68" s="505"/>
      <c r="I68" s="505"/>
      <c r="J68" s="506"/>
      <c r="K68" s="507" t="s">
        <v>123</v>
      </c>
      <c r="L68" s="499"/>
      <c r="M68" s="51" t="s">
        <v>162</v>
      </c>
      <c r="N68" s="508" t="s">
        <v>179</v>
      </c>
      <c r="O68" s="509"/>
      <c r="P68" s="510" t="s">
        <v>336</v>
      </c>
      <c r="Q68" s="511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6</v>
      </c>
      <c r="B69" s="499"/>
      <c r="C69" s="117" t="s">
        <v>128</v>
      </c>
      <c r="D69" s="208"/>
      <c r="E69" s="211"/>
      <c r="F69" s="500" t="s">
        <v>337</v>
      </c>
      <c r="G69" s="492"/>
      <c r="H69" s="492"/>
      <c r="I69" s="492"/>
      <c r="J69" s="492"/>
      <c r="K69" s="492">
        <v>8301</v>
      </c>
      <c r="L69" s="492"/>
      <c r="M69" s="51" t="s">
        <v>162</v>
      </c>
      <c r="N69" s="508" t="s">
        <v>217</v>
      </c>
      <c r="O69" s="509"/>
      <c r="P69" s="510">
        <v>50</v>
      </c>
      <c r="Q69" s="511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7</v>
      </c>
      <c r="B70" s="499"/>
      <c r="C70" s="117" t="s">
        <v>138</v>
      </c>
      <c r="D70" s="208"/>
      <c r="E70" s="211"/>
      <c r="F70" s="500" t="s">
        <v>338</v>
      </c>
      <c r="G70" s="492"/>
      <c r="H70" s="492"/>
      <c r="I70" s="492"/>
      <c r="J70" s="492"/>
      <c r="K70" s="492" t="s">
        <v>339</v>
      </c>
      <c r="L70" s="492"/>
      <c r="M70" s="51" t="s">
        <v>162</v>
      </c>
      <c r="N70" s="508" t="s">
        <v>217</v>
      </c>
      <c r="O70" s="509"/>
      <c r="P70" s="510">
        <v>200</v>
      </c>
      <c r="Q70" s="511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5.5" customHeight="1">
      <c r="A71" s="498">
        <v>8</v>
      </c>
      <c r="B71" s="499"/>
      <c r="C71" s="117" t="s">
        <v>128</v>
      </c>
      <c r="D71" s="208"/>
      <c r="E71" s="211" t="s">
        <v>183</v>
      </c>
      <c r="F71" s="500" t="s">
        <v>340</v>
      </c>
      <c r="G71" s="492"/>
      <c r="H71" s="492"/>
      <c r="I71" s="492"/>
      <c r="J71" s="492"/>
      <c r="K71" s="492" t="s">
        <v>161</v>
      </c>
      <c r="L71" s="492"/>
      <c r="M71" s="51" t="s">
        <v>162</v>
      </c>
      <c r="N71" s="508" t="s">
        <v>163</v>
      </c>
      <c r="O71" s="509"/>
      <c r="P71" s="510">
        <v>50</v>
      </c>
      <c r="Q71" s="511"/>
      <c r="R71" s="503"/>
      <c r="S71" s="503"/>
      <c r="T71" s="503"/>
      <c r="U71" s="503"/>
      <c r="V71" s="503"/>
      <c r="W71" s="503"/>
      <c r="X71" s="503"/>
      <c r="Y71" s="503"/>
      <c r="Z71" s="503"/>
      <c r="AA71" s="503"/>
      <c r="AB71" s="492"/>
      <c r="AC71" s="492"/>
      <c r="AD71" s="493"/>
      <c r="AF71" s="50"/>
    </row>
    <row r="72" spans="1:32" ht="26.25" customHeight="1" thickBot="1">
      <c r="A72" s="472" t="s">
        <v>341</v>
      </c>
      <c r="B72" s="472"/>
      <c r="C72" s="472"/>
      <c r="D72" s="472"/>
      <c r="E72" s="472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73" t="s">
        <v>113</v>
      </c>
      <c r="B73" s="474"/>
      <c r="C73" s="210" t="s">
        <v>2</v>
      </c>
      <c r="D73" s="210" t="s">
        <v>37</v>
      </c>
      <c r="E73" s="210" t="s">
        <v>3</v>
      </c>
      <c r="F73" s="474" t="s">
        <v>38</v>
      </c>
      <c r="G73" s="474"/>
      <c r="H73" s="474"/>
      <c r="I73" s="474"/>
      <c r="J73" s="474"/>
      <c r="K73" s="494" t="s">
        <v>58</v>
      </c>
      <c r="L73" s="495"/>
      <c r="M73" s="495"/>
      <c r="N73" s="495"/>
      <c r="O73" s="495"/>
      <c r="P73" s="495"/>
      <c r="Q73" s="495"/>
      <c r="R73" s="495"/>
      <c r="S73" s="496"/>
      <c r="T73" s="474" t="s">
        <v>49</v>
      </c>
      <c r="U73" s="474"/>
      <c r="V73" s="494" t="s">
        <v>50</v>
      </c>
      <c r="W73" s="496"/>
      <c r="X73" s="495" t="s">
        <v>51</v>
      </c>
      <c r="Y73" s="495"/>
      <c r="Z73" s="495"/>
      <c r="AA73" s="495"/>
      <c r="AB73" s="495"/>
      <c r="AC73" s="495"/>
      <c r="AD73" s="497"/>
      <c r="AF73" s="50"/>
    </row>
    <row r="74" spans="1:32" ht="33.75" customHeight="1">
      <c r="A74" s="466">
        <v>1</v>
      </c>
      <c r="B74" s="467"/>
      <c r="C74" s="209" t="s">
        <v>114</v>
      </c>
      <c r="D74" s="209"/>
      <c r="E74" s="65" t="s">
        <v>119</v>
      </c>
      <c r="F74" s="481" t="s">
        <v>118</v>
      </c>
      <c r="G74" s="482"/>
      <c r="H74" s="482"/>
      <c r="I74" s="482"/>
      <c r="J74" s="483"/>
      <c r="K74" s="484" t="s">
        <v>130</v>
      </c>
      <c r="L74" s="485"/>
      <c r="M74" s="485"/>
      <c r="N74" s="485"/>
      <c r="O74" s="485"/>
      <c r="P74" s="485"/>
      <c r="Q74" s="485"/>
      <c r="R74" s="485"/>
      <c r="S74" s="486"/>
      <c r="T74" s="487">
        <v>43675</v>
      </c>
      <c r="U74" s="488"/>
      <c r="V74" s="489"/>
      <c r="W74" s="489"/>
      <c r="X74" s="490"/>
      <c r="Y74" s="490"/>
      <c r="Z74" s="490"/>
      <c r="AA74" s="490"/>
      <c r="AB74" s="490"/>
      <c r="AC74" s="490"/>
      <c r="AD74" s="491"/>
      <c r="AF74" s="50"/>
    </row>
    <row r="75" spans="1:32" ht="30" customHeight="1">
      <c r="A75" s="459">
        <f>A74+1</f>
        <v>2</v>
      </c>
      <c r="B75" s="460"/>
      <c r="C75" s="208"/>
      <c r="D75" s="208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ref="A76:A82" si="20">A75+1</f>
        <v>3</v>
      </c>
      <c r="B76" s="460"/>
      <c r="C76" s="208"/>
      <c r="D76" s="208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20"/>
        <v>4</v>
      </c>
      <c r="B77" s="460"/>
      <c r="C77" s="208"/>
      <c r="D77" s="208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20"/>
        <v>5</v>
      </c>
      <c r="B78" s="460"/>
      <c r="C78" s="208"/>
      <c r="D78" s="208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20"/>
        <v>6</v>
      </c>
      <c r="B79" s="460"/>
      <c r="C79" s="208"/>
      <c r="D79" s="208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20"/>
        <v>7</v>
      </c>
      <c r="B80" s="460"/>
      <c r="C80" s="208"/>
      <c r="D80" s="208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20"/>
        <v>8</v>
      </c>
      <c r="B81" s="460"/>
      <c r="C81" s="208"/>
      <c r="D81" s="208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0" customHeight="1">
      <c r="A82" s="459">
        <f t="shared" si="20"/>
        <v>9</v>
      </c>
      <c r="B82" s="460"/>
      <c r="C82" s="208"/>
      <c r="D82" s="208"/>
      <c r="E82" s="32"/>
      <c r="F82" s="460"/>
      <c r="G82" s="460"/>
      <c r="H82" s="460"/>
      <c r="I82" s="460"/>
      <c r="J82" s="460"/>
      <c r="K82" s="475"/>
      <c r="L82" s="476"/>
      <c r="M82" s="476"/>
      <c r="N82" s="476"/>
      <c r="O82" s="476"/>
      <c r="P82" s="476"/>
      <c r="Q82" s="476"/>
      <c r="R82" s="476"/>
      <c r="S82" s="477"/>
      <c r="T82" s="478"/>
      <c r="U82" s="478"/>
      <c r="V82" s="478"/>
      <c r="W82" s="478"/>
      <c r="X82" s="479"/>
      <c r="Y82" s="479"/>
      <c r="Z82" s="479"/>
      <c r="AA82" s="479"/>
      <c r="AB82" s="479"/>
      <c r="AC82" s="479"/>
      <c r="AD82" s="480"/>
      <c r="AF82" s="50"/>
    </row>
    <row r="83" spans="1:32" ht="36" thickBot="1">
      <c r="A83" s="472" t="s">
        <v>342</v>
      </c>
      <c r="B83" s="472"/>
      <c r="C83" s="472"/>
      <c r="D83" s="472"/>
      <c r="E83" s="472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3" t="s">
        <v>113</v>
      </c>
      <c r="B84" s="474"/>
      <c r="C84" s="464" t="s">
        <v>52</v>
      </c>
      <c r="D84" s="464"/>
      <c r="E84" s="464" t="s">
        <v>53</v>
      </c>
      <c r="F84" s="464"/>
      <c r="G84" s="464"/>
      <c r="H84" s="464"/>
      <c r="I84" s="464"/>
      <c r="J84" s="464"/>
      <c r="K84" s="464" t="s">
        <v>54</v>
      </c>
      <c r="L84" s="464"/>
      <c r="M84" s="464"/>
      <c r="N84" s="464"/>
      <c r="O84" s="464"/>
      <c r="P84" s="464"/>
      <c r="Q84" s="464"/>
      <c r="R84" s="464"/>
      <c r="S84" s="464"/>
      <c r="T84" s="464" t="s">
        <v>55</v>
      </c>
      <c r="U84" s="464"/>
      <c r="V84" s="464" t="s">
        <v>56</v>
      </c>
      <c r="W84" s="464"/>
      <c r="X84" s="464"/>
      <c r="Y84" s="464" t="s">
        <v>51</v>
      </c>
      <c r="Z84" s="464"/>
      <c r="AA84" s="464"/>
      <c r="AB84" s="464"/>
      <c r="AC84" s="464"/>
      <c r="AD84" s="465"/>
      <c r="AF84" s="50"/>
    </row>
    <row r="85" spans="1:32" ht="30.75" customHeight="1">
      <c r="A85" s="466">
        <v>1</v>
      </c>
      <c r="B85" s="467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8"/>
      <c r="U85" s="468"/>
      <c r="V85" s="469"/>
      <c r="W85" s="469"/>
      <c r="X85" s="469"/>
      <c r="Y85" s="470"/>
      <c r="Z85" s="470"/>
      <c r="AA85" s="470"/>
      <c r="AB85" s="470"/>
      <c r="AC85" s="470"/>
      <c r="AD85" s="471"/>
      <c r="AF85" s="50"/>
    </row>
    <row r="86" spans="1:32" ht="30.75" customHeight="1">
      <c r="A86" s="459">
        <v>2</v>
      </c>
      <c r="B86" s="460"/>
      <c r="C86" s="461"/>
      <c r="D86" s="461"/>
      <c r="E86" s="461"/>
      <c r="F86" s="461"/>
      <c r="G86" s="461"/>
      <c r="H86" s="461"/>
      <c r="I86" s="461"/>
      <c r="J86" s="461"/>
      <c r="K86" s="461"/>
      <c r="L86" s="461"/>
      <c r="M86" s="461"/>
      <c r="N86" s="461"/>
      <c r="O86" s="461"/>
      <c r="P86" s="461"/>
      <c r="Q86" s="461"/>
      <c r="R86" s="461"/>
      <c r="S86" s="461"/>
      <c r="T86" s="462"/>
      <c r="U86" s="462"/>
      <c r="V86" s="463"/>
      <c r="W86" s="463"/>
      <c r="X86" s="463"/>
      <c r="Y86" s="452"/>
      <c r="Z86" s="452"/>
      <c r="AA86" s="452"/>
      <c r="AB86" s="452"/>
      <c r="AC86" s="452"/>
      <c r="AD86" s="453"/>
      <c r="AF86" s="50"/>
    </row>
    <row r="87" spans="1:32" ht="30.75" customHeight="1" thickBot="1">
      <c r="A87" s="454">
        <v>3</v>
      </c>
      <c r="B87" s="455"/>
      <c r="C87" s="456"/>
      <c r="D87" s="456"/>
      <c r="E87" s="456"/>
      <c r="F87" s="456"/>
      <c r="G87" s="456"/>
      <c r="H87" s="456"/>
      <c r="I87" s="456"/>
      <c r="J87" s="456"/>
      <c r="K87" s="456"/>
      <c r="L87" s="456"/>
      <c r="M87" s="456"/>
      <c r="N87" s="456"/>
      <c r="O87" s="456"/>
      <c r="P87" s="456"/>
      <c r="Q87" s="456"/>
      <c r="R87" s="456"/>
      <c r="S87" s="456"/>
      <c r="T87" s="456"/>
      <c r="U87" s="456"/>
      <c r="V87" s="456"/>
      <c r="W87" s="456"/>
      <c r="X87" s="456"/>
      <c r="Y87" s="457"/>
      <c r="Z87" s="457"/>
      <c r="AA87" s="457"/>
      <c r="AB87" s="457"/>
      <c r="AC87" s="457"/>
      <c r="AD87" s="458"/>
      <c r="AF87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81F6-453B-4831-B7C2-CE228B0535E6}">
  <dimension ref="A1:AF87"/>
  <sheetViews>
    <sheetView zoomScale="72" zoomScaleNormal="72" zoomScaleSheetLayoutView="70" workbookViewId="0">
      <selection activeCell="L15" sqref="L1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12.12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343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219" t="s">
        <v>17</v>
      </c>
      <c r="L5" s="219" t="s">
        <v>18</v>
      </c>
      <c r="M5" s="219" t="s">
        <v>19</v>
      </c>
      <c r="N5" s="21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0.42500000000000004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0.42500000000000004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114</v>
      </c>
      <c r="D8" s="52" t="s">
        <v>222</v>
      </c>
      <c r="E8" s="53" t="s">
        <v>211</v>
      </c>
      <c r="F8" s="30" t="s">
        <v>123</v>
      </c>
      <c r="G8" s="33">
        <v>1</v>
      </c>
      <c r="H8" s="35">
        <v>24</v>
      </c>
      <c r="I8" s="7">
        <v>14000</v>
      </c>
      <c r="J8" s="14">
        <v>420</v>
      </c>
      <c r="K8" s="15">
        <f>L8+1392+945+2815+4038+420</f>
        <v>9610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0.42500000000000004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4289</v>
      </c>
      <c r="K9" s="15">
        <f>L9+1036+2500+4639+2951+2392+2902+2784+3566+4110+4299</f>
        <v>35468</v>
      </c>
      <c r="L9" s="15">
        <f>2705+1584</f>
        <v>4289</v>
      </c>
      <c r="M9" s="15">
        <f t="shared" si="1"/>
        <v>4289</v>
      </c>
      <c r="N9" s="15">
        <v>0</v>
      </c>
      <c r="O9" s="58">
        <f t="shared" si="2"/>
        <v>0</v>
      </c>
      <c r="P9" s="39">
        <f t="shared" si="3"/>
        <v>21</v>
      </c>
      <c r="Q9" s="40">
        <f t="shared" si="4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0.875</v>
      </c>
      <c r="AD9" s="10">
        <f t="shared" si="7"/>
        <v>0.875</v>
      </c>
      <c r="AE9" s="36">
        <f t="shared" si="8"/>
        <v>0.42500000000000004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128</v>
      </c>
      <c r="D10" s="52" t="s">
        <v>344</v>
      </c>
      <c r="E10" s="53" t="s">
        <v>345</v>
      </c>
      <c r="F10" s="30" t="s">
        <v>190</v>
      </c>
      <c r="G10" s="33" t="s">
        <v>136</v>
      </c>
      <c r="H10" s="35">
        <v>24</v>
      </c>
      <c r="I10" s="7">
        <v>2000</v>
      </c>
      <c r="J10" s="5">
        <v>2152</v>
      </c>
      <c r="K10" s="15">
        <f>L10</f>
        <v>2152</v>
      </c>
      <c r="L10" s="15">
        <f>1443+709</f>
        <v>2152</v>
      </c>
      <c r="M10" s="15">
        <f t="shared" si="1"/>
        <v>2152</v>
      </c>
      <c r="N10" s="15">
        <v>0</v>
      </c>
      <c r="O10" s="58">
        <f t="shared" si="2"/>
        <v>0</v>
      </c>
      <c r="P10" s="39">
        <f t="shared" si="3"/>
        <v>10</v>
      </c>
      <c r="Q10" s="40">
        <f t="shared" si="4"/>
        <v>14</v>
      </c>
      <c r="R10" s="7"/>
      <c r="S10" s="6"/>
      <c r="T10" s="16">
        <v>14</v>
      </c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0.41666666666666669</v>
      </c>
      <c r="AD10" s="10">
        <f>AC10*AB10*(1-O10)</f>
        <v>0.41666666666666669</v>
      </c>
      <c r="AE10" s="36">
        <f t="shared" si="8"/>
        <v>0.42500000000000004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300</v>
      </c>
      <c r="F11" s="30" t="s">
        <v>126</v>
      </c>
      <c r="G11" s="33">
        <v>1</v>
      </c>
      <c r="H11" s="35">
        <v>24</v>
      </c>
      <c r="I11" s="7">
        <v>62000</v>
      </c>
      <c r="J11" s="5">
        <v>5493</v>
      </c>
      <c r="K11" s="15">
        <f>L11+2377</f>
        <v>7870</v>
      </c>
      <c r="L11" s="15">
        <f>2608+2885</f>
        <v>5493</v>
      </c>
      <c r="M11" s="15">
        <f t="shared" si="1"/>
        <v>5493</v>
      </c>
      <c r="N11" s="15">
        <v>0</v>
      </c>
      <c r="O11" s="58">
        <f t="shared" si="2"/>
        <v>0</v>
      </c>
      <c r="P11" s="39">
        <f t="shared" si="3"/>
        <v>24</v>
      </c>
      <c r="Q11" s="40">
        <f t="shared" si="4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1</v>
      </c>
      <c r="AD11" s="10">
        <f>AC11*AB11*(1-O11)</f>
        <v>1</v>
      </c>
      <c r="AE11" s="36">
        <f t="shared" si="8"/>
        <v>0.42500000000000004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144</v>
      </c>
      <c r="F12" s="30" t="s">
        <v>121</v>
      </c>
      <c r="G12" s="33">
        <v>1</v>
      </c>
      <c r="H12" s="35">
        <v>24</v>
      </c>
      <c r="I12" s="7">
        <v>70000</v>
      </c>
      <c r="J12" s="14">
        <v>1952</v>
      </c>
      <c r="K12" s="15">
        <f>L12+2036+3193+2673+3958+1875+401+3155+4199+2859+2339</f>
        <v>28640</v>
      </c>
      <c r="L12" s="15">
        <f>937+1015</f>
        <v>1952</v>
      </c>
      <c r="M12" s="15">
        <f t="shared" si="1"/>
        <v>1952</v>
      </c>
      <c r="N12" s="15">
        <v>0</v>
      </c>
      <c r="O12" s="58">
        <f t="shared" si="2"/>
        <v>0</v>
      </c>
      <c r="P12" s="39">
        <f t="shared" si="3"/>
        <v>10</v>
      </c>
      <c r="Q12" s="40">
        <f t="shared" si="4"/>
        <v>14</v>
      </c>
      <c r="R12" s="7"/>
      <c r="S12" s="6">
        <v>14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0.41666666666666669</v>
      </c>
      <c r="AD12" s="10">
        <f t="shared" ref="AD12:AD13" si="10">AC12*AB12*(1-O12)</f>
        <v>0.41666666666666669</v>
      </c>
      <c r="AE12" s="36">
        <f t="shared" si="8"/>
        <v>0.42500000000000004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138</v>
      </c>
      <c r="D13" s="52"/>
      <c r="E13" s="53" t="s">
        <v>326</v>
      </c>
      <c r="F13" s="30" t="s">
        <v>121</v>
      </c>
      <c r="G13" s="33">
        <v>1</v>
      </c>
      <c r="H13" s="35">
        <v>24</v>
      </c>
      <c r="I13" s="7">
        <v>2100</v>
      </c>
      <c r="J13" s="14">
        <v>3639</v>
      </c>
      <c r="K13" s="15">
        <f>L13</f>
        <v>3639</v>
      </c>
      <c r="L13" s="15">
        <f>1789+1850</f>
        <v>3639</v>
      </c>
      <c r="M13" s="15">
        <f t="shared" si="1"/>
        <v>3639</v>
      </c>
      <c r="N13" s="15">
        <v>0</v>
      </c>
      <c r="O13" s="58">
        <f t="shared" si="2"/>
        <v>0</v>
      </c>
      <c r="P13" s="39">
        <f t="shared" si="3"/>
        <v>18</v>
      </c>
      <c r="Q13" s="40">
        <f t="shared" si="4"/>
        <v>6</v>
      </c>
      <c r="R13" s="7"/>
      <c r="S13" s="6"/>
      <c r="T13" s="16"/>
      <c r="U13" s="16"/>
      <c r="V13" s="17"/>
      <c r="W13" s="5">
        <v>6</v>
      </c>
      <c r="X13" s="16"/>
      <c r="Y13" s="16"/>
      <c r="Z13" s="16"/>
      <c r="AA13" s="18"/>
      <c r="AB13" s="8">
        <f t="shared" si="5"/>
        <v>1</v>
      </c>
      <c r="AC13" s="9">
        <f t="shared" si="6"/>
        <v>0.75</v>
      </c>
      <c r="AD13" s="10">
        <f t="shared" si="10"/>
        <v>0.75</v>
      </c>
      <c r="AE13" s="36">
        <f t="shared" si="8"/>
        <v>0.42500000000000004</v>
      </c>
      <c r="AF13" s="87">
        <f t="shared" si="9"/>
        <v>8</v>
      </c>
    </row>
    <row r="14" spans="1:32" ht="27" customHeight="1">
      <c r="A14" s="103">
        <v>8</v>
      </c>
      <c r="B14" s="11" t="s">
        <v>57</v>
      </c>
      <c r="C14" s="11" t="s">
        <v>138</v>
      </c>
      <c r="D14" s="52"/>
      <c r="E14" s="53" t="s">
        <v>327</v>
      </c>
      <c r="F14" s="30" t="s">
        <v>243</v>
      </c>
      <c r="G14" s="33">
        <v>1</v>
      </c>
      <c r="H14" s="35">
        <v>24</v>
      </c>
      <c r="I14" s="7">
        <v>2100</v>
      </c>
      <c r="J14" s="14">
        <v>500</v>
      </c>
      <c r="K14" s="15">
        <f>L14</f>
        <v>0</v>
      </c>
      <c r="L14" s="15"/>
      <c r="M14" s="15">
        <f t="shared" ref="M14" si="11">L14-N14</f>
        <v>0</v>
      </c>
      <c r="N14" s="15">
        <v>0</v>
      </c>
      <c r="O14" s="58" t="str">
        <f t="shared" ref="O14" si="12">IF(L14=0,"0",N14/L14)</f>
        <v>0</v>
      </c>
      <c r="P14" s="39" t="str">
        <f t="shared" ref="P14" si="13">IF(L14=0,"0",(24-Q14))</f>
        <v>0</v>
      </c>
      <c r="Q14" s="40">
        <f t="shared" ref="Q14" si="14">SUM(R14:AA14)</f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ref="AB14" si="15">IF(J14=0,"0",(L14/J14))</f>
        <v>0</v>
      </c>
      <c r="AC14" s="9">
        <f t="shared" ref="AC14" si="16">IF(P14=0,"0",(P14/24))</f>
        <v>0</v>
      </c>
      <c r="AD14" s="10">
        <f t="shared" ref="AD14" si="17">AC14*AB14*(1-O14)</f>
        <v>0</v>
      </c>
      <c r="AE14" s="36">
        <f t="shared" si="8"/>
        <v>0.42500000000000004</v>
      </c>
      <c r="AF14" s="87">
        <f t="shared" ref="AF14" si="18">A14</f>
        <v>8</v>
      </c>
    </row>
    <row r="15" spans="1:32" ht="27" customHeight="1">
      <c r="A15" s="118">
        <v>9</v>
      </c>
      <c r="B15" s="11" t="s">
        <v>57</v>
      </c>
      <c r="C15" s="34" t="s">
        <v>114</v>
      </c>
      <c r="D15" s="52" t="s">
        <v>117</v>
      </c>
      <c r="E15" s="53" t="s">
        <v>258</v>
      </c>
      <c r="F15" s="30" t="s">
        <v>262</v>
      </c>
      <c r="G15" s="33">
        <v>1</v>
      </c>
      <c r="H15" s="35">
        <v>24</v>
      </c>
      <c r="I15" s="7">
        <v>500</v>
      </c>
      <c r="J15" s="5">
        <v>650</v>
      </c>
      <c r="K15" s="15">
        <f>L15+650</f>
        <v>650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0.42500000000000004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128</v>
      </c>
      <c r="D16" s="52"/>
      <c r="E16" s="53" t="s">
        <v>315</v>
      </c>
      <c r="F16" s="12">
        <v>8301</v>
      </c>
      <c r="G16" s="12">
        <v>1</v>
      </c>
      <c r="H16" s="13">
        <v>24</v>
      </c>
      <c r="I16" s="31">
        <v>1000</v>
      </c>
      <c r="J16" s="14">
        <v>1140</v>
      </c>
      <c r="K16" s="15">
        <f>L16+1140</f>
        <v>1140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>
        <v>24</v>
      </c>
      <c r="W16" s="5"/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0.42500000000000004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114</v>
      </c>
      <c r="D17" s="52" t="s">
        <v>125</v>
      </c>
      <c r="E17" s="53" t="s">
        <v>291</v>
      </c>
      <c r="F17" s="30" t="s">
        <v>126</v>
      </c>
      <c r="G17" s="12">
        <v>1</v>
      </c>
      <c r="H17" s="13">
        <v>28</v>
      </c>
      <c r="I17" s="7">
        <v>73000</v>
      </c>
      <c r="J17" s="14">
        <v>5624</v>
      </c>
      <c r="K17" s="15">
        <f>L17+2222+5390</f>
        <v>13236</v>
      </c>
      <c r="L17" s="15">
        <f>2954+2670</f>
        <v>5624</v>
      </c>
      <c r="M17" s="15">
        <f t="shared" si="1"/>
        <v>5624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8"/>
        <v>0.42500000000000004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34" t="s">
        <v>114</v>
      </c>
      <c r="D18" s="52" t="s">
        <v>135</v>
      </c>
      <c r="E18" s="53" t="s">
        <v>238</v>
      </c>
      <c r="F18" s="30" t="s">
        <v>249</v>
      </c>
      <c r="G18" s="33">
        <v>1</v>
      </c>
      <c r="H18" s="35">
        <v>24</v>
      </c>
      <c r="I18" s="7">
        <v>300</v>
      </c>
      <c r="J18" s="5">
        <v>713</v>
      </c>
      <c r="K18" s="15">
        <f>L18+713</f>
        <v>713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0.42500000000000004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122</v>
      </c>
      <c r="E19" s="53" t="s">
        <v>147</v>
      </c>
      <c r="F19" s="30" t="s">
        <v>123</v>
      </c>
      <c r="G19" s="33">
        <v>1</v>
      </c>
      <c r="H19" s="35">
        <v>24</v>
      </c>
      <c r="I19" s="7">
        <v>60000</v>
      </c>
      <c r="J19" s="5">
        <v>5043</v>
      </c>
      <c r="K19" s="15">
        <f>L19+1915</f>
        <v>6958</v>
      </c>
      <c r="L19" s="15">
        <f>2572+2471</f>
        <v>5043</v>
      </c>
      <c r="M19" s="15">
        <f t="shared" si="1"/>
        <v>5043</v>
      </c>
      <c r="N19" s="15">
        <v>0</v>
      </c>
      <c r="O19" s="58">
        <f t="shared" si="2"/>
        <v>0</v>
      </c>
      <c r="P19" s="39">
        <f t="shared" si="3"/>
        <v>22</v>
      </c>
      <c r="Q19" s="40">
        <f t="shared" si="4"/>
        <v>2</v>
      </c>
      <c r="R19" s="7"/>
      <c r="S19" s="6">
        <v>2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0.91666666666666663</v>
      </c>
      <c r="AD19" s="10">
        <f>AC19*AB19*(1-O19)</f>
        <v>0.91666666666666663</v>
      </c>
      <c r="AE19" s="36">
        <f t="shared" si="8"/>
        <v>0.42500000000000004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124</v>
      </c>
      <c r="D20" s="52" t="s">
        <v>117</v>
      </c>
      <c r="E20" s="53" t="s">
        <v>235</v>
      </c>
      <c r="F20" s="30" t="s">
        <v>121</v>
      </c>
      <c r="G20" s="33">
        <v>1</v>
      </c>
      <c r="H20" s="35">
        <v>24</v>
      </c>
      <c r="I20" s="7">
        <v>5000</v>
      </c>
      <c r="J20" s="14">
        <v>4735</v>
      </c>
      <c r="K20" s="15">
        <f>L20+4513</f>
        <v>9248</v>
      </c>
      <c r="L20" s="15">
        <f>2471+2264</f>
        <v>4735</v>
      </c>
      <c r="M20" s="15">
        <f t="shared" si="1"/>
        <v>4735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 t="shared" si="7"/>
        <v>1</v>
      </c>
      <c r="AE20" s="36">
        <f t="shared" si="8"/>
        <v>0.42500000000000004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316</v>
      </c>
      <c r="F21" s="12" t="s">
        <v>116</v>
      </c>
      <c r="G21" s="12">
        <v>4</v>
      </c>
      <c r="H21" s="35">
        <v>20</v>
      </c>
      <c r="I21" s="7">
        <v>300000</v>
      </c>
      <c r="J21" s="14">
        <v>33136</v>
      </c>
      <c r="K21" s="15">
        <f>L21+33136</f>
        <v>33136</v>
      </c>
      <c r="L21" s="15"/>
      <c r="M21" s="15">
        <f t="shared" si="1"/>
        <v>0</v>
      </c>
      <c r="N21" s="15">
        <v>0</v>
      </c>
      <c r="O21" s="58" t="str">
        <f t="shared" si="2"/>
        <v>0</v>
      </c>
      <c r="P21" s="39" t="str">
        <f t="shared" si="3"/>
        <v>0</v>
      </c>
      <c r="Q21" s="40">
        <f t="shared" si="4"/>
        <v>14</v>
      </c>
      <c r="R21" s="7"/>
      <c r="S21" s="6"/>
      <c r="T21" s="16"/>
      <c r="U21" s="16"/>
      <c r="V21" s="17">
        <v>14</v>
      </c>
      <c r="W21" s="5"/>
      <c r="X21" s="16"/>
      <c r="Y21" s="16"/>
      <c r="Z21" s="16"/>
      <c r="AA21" s="18"/>
      <c r="AB21" s="8">
        <f t="shared" si="5"/>
        <v>0</v>
      </c>
      <c r="AC21" s="9">
        <f t="shared" si="6"/>
        <v>0</v>
      </c>
      <c r="AD21" s="10">
        <f t="shared" si="7"/>
        <v>0</v>
      </c>
      <c r="AE21" s="36">
        <f t="shared" si="8"/>
        <v>0.42500000000000004</v>
      </c>
      <c r="AF21" s="87">
        <f t="shared" si="9"/>
        <v>15</v>
      </c>
    </row>
    <row r="22" spans="1:32" ht="31.5" customHeight="1" thickBot="1">
      <c r="A22" s="541" t="s">
        <v>34</v>
      </c>
      <c r="B22" s="542"/>
      <c r="C22" s="542"/>
      <c r="D22" s="542"/>
      <c r="E22" s="542"/>
      <c r="F22" s="542"/>
      <c r="G22" s="542"/>
      <c r="H22" s="543"/>
      <c r="I22" s="22">
        <f t="shared" ref="I22:N22" si="19">SUM(I6:I21)</f>
        <v>683000</v>
      </c>
      <c r="J22" s="19">
        <f t="shared" si="19"/>
        <v>71547</v>
      </c>
      <c r="K22" s="20">
        <f t="shared" si="19"/>
        <v>164008</v>
      </c>
      <c r="L22" s="21">
        <f t="shared" si="19"/>
        <v>32927</v>
      </c>
      <c r="M22" s="20">
        <f t="shared" si="19"/>
        <v>32927</v>
      </c>
      <c r="N22" s="21">
        <f t="shared" si="19"/>
        <v>0</v>
      </c>
      <c r="O22" s="41">
        <f t="shared" si="2"/>
        <v>0</v>
      </c>
      <c r="P22" s="42">
        <f t="shared" ref="P22:AA22" si="20">SUM(P6:P21)</f>
        <v>153</v>
      </c>
      <c r="Q22" s="43">
        <f t="shared" si="20"/>
        <v>197</v>
      </c>
      <c r="R22" s="23">
        <f t="shared" si="20"/>
        <v>24</v>
      </c>
      <c r="S22" s="24">
        <f t="shared" si="20"/>
        <v>19</v>
      </c>
      <c r="T22" s="24">
        <f t="shared" si="20"/>
        <v>14</v>
      </c>
      <c r="U22" s="24">
        <f t="shared" si="20"/>
        <v>0</v>
      </c>
      <c r="V22" s="25">
        <f t="shared" si="20"/>
        <v>62</v>
      </c>
      <c r="W22" s="26">
        <f t="shared" si="20"/>
        <v>78</v>
      </c>
      <c r="X22" s="27">
        <f t="shared" si="20"/>
        <v>0</v>
      </c>
      <c r="Y22" s="27">
        <f t="shared" si="20"/>
        <v>0</v>
      </c>
      <c r="Z22" s="27">
        <f t="shared" si="20"/>
        <v>0</v>
      </c>
      <c r="AA22" s="27">
        <f t="shared" si="20"/>
        <v>0</v>
      </c>
      <c r="AB22" s="28">
        <f>SUM(AB6:AB21)/15</f>
        <v>0.53333333333333333</v>
      </c>
      <c r="AC22" s="4">
        <f>SUM(AC6:AC21)/15</f>
        <v>0.42500000000000004</v>
      </c>
      <c r="AD22" s="4">
        <f>SUM(AD6:AD21)/15</f>
        <v>0.42500000000000004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44" t="s">
        <v>45</v>
      </c>
      <c r="B49" s="544"/>
      <c r="C49" s="544"/>
      <c r="D49" s="544"/>
      <c r="E49" s="544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45" t="s">
        <v>346</v>
      </c>
      <c r="B50" s="546"/>
      <c r="C50" s="546"/>
      <c r="D50" s="546"/>
      <c r="E50" s="546"/>
      <c r="F50" s="546"/>
      <c r="G50" s="546"/>
      <c r="H50" s="546"/>
      <c r="I50" s="546"/>
      <c r="J50" s="546"/>
      <c r="K50" s="546"/>
      <c r="L50" s="546"/>
      <c r="M50" s="547"/>
      <c r="N50" s="548" t="s">
        <v>350</v>
      </c>
      <c r="O50" s="549"/>
      <c r="P50" s="549"/>
      <c r="Q50" s="549"/>
      <c r="R50" s="549"/>
      <c r="S50" s="549"/>
      <c r="T50" s="549"/>
      <c r="U50" s="549"/>
      <c r="V50" s="549"/>
      <c r="W50" s="549"/>
      <c r="X50" s="549"/>
      <c r="Y50" s="549"/>
      <c r="Z50" s="549"/>
      <c r="AA50" s="549"/>
      <c r="AB50" s="549"/>
      <c r="AC50" s="549"/>
      <c r="AD50" s="550"/>
    </row>
    <row r="51" spans="1:32" ht="27" customHeight="1">
      <c r="A51" s="551" t="s">
        <v>2</v>
      </c>
      <c r="B51" s="552"/>
      <c r="C51" s="220" t="s">
        <v>46</v>
      </c>
      <c r="D51" s="220" t="s">
        <v>47</v>
      </c>
      <c r="E51" s="220" t="s">
        <v>108</v>
      </c>
      <c r="F51" s="552" t="s">
        <v>107</v>
      </c>
      <c r="G51" s="552"/>
      <c r="H51" s="552"/>
      <c r="I51" s="552"/>
      <c r="J51" s="552"/>
      <c r="K51" s="552"/>
      <c r="L51" s="552"/>
      <c r="M51" s="553"/>
      <c r="N51" s="67" t="s">
        <v>112</v>
      </c>
      <c r="O51" s="220" t="s">
        <v>46</v>
      </c>
      <c r="P51" s="554" t="s">
        <v>47</v>
      </c>
      <c r="Q51" s="555"/>
      <c r="R51" s="554" t="s">
        <v>38</v>
      </c>
      <c r="S51" s="556"/>
      <c r="T51" s="556"/>
      <c r="U51" s="555"/>
      <c r="V51" s="554" t="s">
        <v>48</v>
      </c>
      <c r="W51" s="556"/>
      <c r="X51" s="556"/>
      <c r="Y51" s="556"/>
      <c r="Z51" s="556"/>
      <c r="AA51" s="556"/>
      <c r="AB51" s="556"/>
      <c r="AC51" s="556"/>
      <c r="AD51" s="557"/>
    </row>
    <row r="52" spans="1:32" ht="27" customHeight="1">
      <c r="A52" s="524" t="s">
        <v>114</v>
      </c>
      <c r="B52" s="525"/>
      <c r="C52" s="222" t="s">
        <v>131</v>
      </c>
      <c r="D52" s="222" t="s">
        <v>142</v>
      </c>
      <c r="E52" s="222" t="s">
        <v>145</v>
      </c>
      <c r="F52" s="517" t="s">
        <v>347</v>
      </c>
      <c r="G52" s="518"/>
      <c r="H52" s="518"/>
      <c r="I52" s="518"/>
      <c r="J52" s="518"/>
      <c r="K52" s="518"/>
      <c r="L52" s="518"/>
      <c r="M52" s="526"/>
      <c r="N52" s="221" t="s">
        <v>124</v>
      </c>
      <c r="O52" s="226" t="s">
        <v>155</v>
      </c>
      <c r="P52" s="536" t="s">
        <v>125</v>
      </c>
      <c r="Q52" s="537"/>
      <c r="R52" s="536" t="s">
        <v>323</v>
      </c>
      <c r="S52" s="538"/>
      <c r="T52" s="538"/>
      <c r="U52" s="537"/>
      <c r="V52" s="503" t="s">
        <v>157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124</v>
      </c>
      <c r="B53" s="525"/>
      <c r="C53" s="222" t="s">
        <v>155</v>
      </c>
      <c r="D53" s="222" t="s">
        <v>125</v>
      </c>
      <c r="E53" s="222" t="s">
        <v>323</v>
      </c>
      <c r="F53" s="517" t="s">
        <v>348</v>
      </c>
      <c r="G53" s="518"/>
      <c r="H53" s="518"/>
      <c r="I53" s="518"/>
      <c r="J53" s="518"/>
      <c r="K53" s="518"/>
      <c r="L53" s="518"/>
      <c r="M53" s="526"/>
      <c r="N53" s="221" t="s">
        <v>114</v>
      </c>
      <c r="O53" s="226" t="s">
        <v>150</v>
      </c>
      <c r="P53" s="536" t="s">
        <v>117</v>
      </c>
      <c r="Q53" s="537"/>
      <c r="R53" s="536" t="s">
        <v>144</v>
      </c>
      <c r="S53" s="538"/>
      <c r="T53" s="538"/>
      <c r="U53" s="537"/>
      <c r="V53" s="503" t="s">
        <v>157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128</v>
      </c>
      <c r="B54" s="525"/>
      <c r="C54" s="222" t="s">
        <v>155</v>
      </c>
      <c r="D54" s="222" t="s">
        <v>344</v>
      </c>
      <c r="E54" s="241" t="s">
        <v>345</v>
      </c>
      <c r="F54" s="517" t="s">
        <v>120</v>
      </c>
      <c r="G54" s="518"/>
      <c r="H54" s="518"/>
      <c r="I54" s="518"/>
      <c r="J54" s="518"/>
      <c r="K54" s="518"/>
      <c r="L54" s="518"/>
      <c r="M54" s="526"/>
      <c r="N54" s="221" t="s">
        <v>138</v>
      </c>
      <c r="O54" s="226" t="s">
        <v>179</v>
      </c>
      <c r="P54" s="536"/>
      <c r="Q54" s="537"/>
      <c r="R54" s="525" t="s">
        <v>327</v>
      </c>
      <c r="S54" s="525"/>
      <c r="T54" s="525"/>
      <c r="U54" s="525"/>
      <c r="V54" s="503" t="s">
        <v>157</v>
      </c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114</v>
      </c>
      <c r="B55" s="525"/>
      <c r="C55" s="222" t="s">
        <v>150</v>
      </c>
      <c r="D55" s="222" t="s">
        <v>117</v>
      </c>
      <c r="E55" s="222" t="s">
        <v>144</v>
      </c>
      <c r="F55" s="517" t="s">
        <v>349</v>
      </c>
      <c r="G55" s="518"/>
      <c r="H55" s="518"/>
      <c r="I55" s="518"/>
      <c r="J55" s="518"/>
      <c r="K55" s="518"/>
      <c r="L55" s="518"/>
      <c r="M55" s="526"/>
      <c r="N55" s="221" t="s">
        <v>128</v>
      </c>
      <c r="O55" s="226" t="s">
        <v>170</v>
      </c>
      <c r="P55" s="536" t="s">
        <v>352</v>
      </c>
      <c r="Q55" s="537"/>
      <c r="R55" s="525" t="s">
        <v>353</v>
      </c>
      <c r="S55" s="525"/>
      <c r="T55" s="525"/>
      <c r="U55" s="525"/>
      <c r="V55" s="503" t="s">
        <v>120</v>
      </c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 t="s">
        <v>114</v>
      </c>
      <c r="B56" s="525"/>
      <c r="C56" s="222" t="s">
        <v>234</v>
      </c>
      <c r="D56" s="222" t="s">
        <v>122</v>
      </c>
      <c r="E56" s="222" t="s">
        <v>147</v>
      </c>
      <c r="F56" s="517" t="s">
        <v>209</v>
      </c>
      <c r="G56" s="518"/>
      <c r="H56" s="518"/>
      <c r="I56" s="518"/>
      <c r="J56" s="518"/>
      <c r="K56" s="518"/>
      <c r="L56" s="518"/>
      <c r="M56" s="526"/>
      <c r="N56" s="221"/>
      <c r="O56" s="226"/>
      <c r="P56" s="536"/>
      <c r="Q56" s="537"/>
      <c r="R56" s="536"/>
      <c r="S56" s="538"/>
      <c r="T56" s="538"/>
      <c r="U56" s="537"/>
      <c r="V56" s="503"/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 t="s">
        <v>138</v>
      </c>
      <c r="B57" s="525"/>
      <c r="C57" s="222" t="s">
        <v>179</v>
      </c>
      <c r="D57" s="222"/>
      <c r="E57" s="222" t="s">
        <v>327</v>
      </c>
      <c r="F57" s="517" t="s">
        <v>252</v>
      </c>
      <c r="G57" s="518"/>
      <c r="H57" s="518"/>
      <c r="I57" s="518"/>
      <c r="J57" s="518"/>
      <c r="K57" s="518"/>
      <c r="L57" s="518"/>
      <c r="M57" s="526"/>
      <c r="N57" s="221"/>
      <c r="O57" s="226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 t="s">
        <v>138</v>
      </c>
      <c r="B58" s="525"/>
      <c r="C58" s="222" t="s">
        <v>179</v>
      </c>
      <c r="D58" s="222"/>
      <c r="E58" s="222" t="s">
        <v>326</v>
      </c>
      <c r="F58" s="517" t="s">
        <v>351</v>
      </c>
      <c r="G58" s="518"/>
      <c r="H58" s="518"/>
      <c r="I58" s="518"/>
      <c r="J58" s="518"/>
      <c r="K58" s="518"/>
      <c r="L58" s="518"/>
      <c r="M58" s="526"/>
      <c r="N58" s="221"/>
      <c r="O58" s="226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/>
      <c r="B59" s="525"/>
      <c r="C59" s="222"/>
      <c r="D59" s="222"/>
      <c r="E59" s="222"/>
      <c r="F59" s="517"/>
      <c r="G59" s="518"/>
      <c r="H59" s="518"/>
      <c r="I59" s="518"/>
      <c r="J59" s="518"/>
      <c r="K59" s="518"/>
      <c r="L59" s="518"/>
      <c r="M59" s="526"/>
      <c r="N59" s="221"/>
      <c r="O59" s="226"/>
      <c r="P59" s="536"/>
      <c r="Q59" s="537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</row>
    <row r="60" spans="1:32" ht="27" customHeight="1">
      <c r="A60" s="524"/>
      <c r="B60" s="525"/>
      <c r="C60" s="222"/>
      <c r="D60" s="222"/>
      <c r="E60" s="222"/>
      <c r="F60" s="517"/>
      <c r="G60" s="518"/>
      <c r="H60" s="518"/>
      <c r="I60" s="518"/>
      <c r="J60" s="518"/>
      <c r="K60" s="518"/>
      <c r="L60" s="518"/>
      <c r="M60" s="526"/>
      <c r="N60" s="221"/>
      <c r="O60" s="226"/>
      <c r="P60" s="525"/>
      <c r="Q60" s="525"/>
      <c r="R60" s="525"/>
      <c r="S60" s="525"/>
      <c r="T60" s="525"/>
      <c r="U60" s="525"/>
      <c r="V60" s="503"/>
      <c r="W60" s="503"/>
      <c r="X60" s="503"/>
      <c r="Y60" s="503"/>
      <c r="Z60" s="503"/>
      <c r="AA60" s="503"/>
      <c r="AB60" s="503"/>
      <c r="AC60" s="503"/>
      <c r="AD60" s="527"/>
      <c r="AF60" s="87">
        <f>8*3000</f>
        <v>24000</v>
      </c>
    </row>
    <row r="61" spans="1:32" ht="27" customHeight="1" thickBot="1">
      <c r="A61" s="528"/>
      <c r="B61" s="529"/>
      <c r="C61" s="223"/>
      <c r="D61" s="223"/>
      <c r="E61" s="223"/>
      <c r="F61" s="530"/>
      <c r="G61" s="531"/>
      <c r="H61" s="531"/>
      <c r="I61" s="531"/>
      <c r="J61" s="531"/>
      <c r="K61" s="531"/>
      <c r="L61" s="531"/>
      <c r="M61" s="532"/>
      <c r="N61" s="124"/>
      <c r="O61" s="114"/>
      <c r="P61" s="533"/>
      <c r="Q61" s="533"/>
      <c r="R61" s="533"/>
      <c r="S61" s="533"/>
      <c r="T61" s="533"/>
      <c r="U61" s="533"/>
      <c r="V61" s="534"/>
      <c r="W61" s="534"/>
      <c r="X61" s="534"/>
      <c r="Y61" s="534"/>
      <c r="Z61" s="534"/>
      <c r="AA61" s="534"/>
      <c r="AB61" s="534"/>
      <c r="AC61" s="534"/>
      <c r="AD61" s="535"/>
      <c r="AF61" s="87">
        <f>16*3000</f>
        <v>48000</v>
      </c>
    </row>
    <row r="62" spans="1:32" ht="27.75" thickBot="1">
      <c r="A62" s="522" t="s">
        <v>354</v>
      </c>
      <c r="B62" s="522"/>
      <c r="C62" s="522"/>
      <c r="D62" s="522"/>
      <c r="E62" s="52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523" t="s">
        <v>113</v>
      </c>
      <c r="B63" s="515"/>
      <c r="C63" s="224" t="s">
        <v>2</v>
      </c>
      <c r="D63" s="224" t="s">
        <v>37</v>
      </c>
      <c r="E63" s="224" t="s">
        <v>3</v>
      </c>
      <c r="F63" s="515" t="s">
        <v>110</v>
      </c>
      <c r="G63" s="515"/>
      <c r="H63" s="515"/>
      <c r="I63" s="515"/>
      <c r="J63" s="515"/>
      <c r="K63" s="515" t="s">
        <v>39</v>
      </c>
      <c r="L63" s="515"/>
      <c r="M63" s="224" t="s">
        <v>40</v>
      </c>
      <c r="N63" s="515" t="s">
        <v>41</v>
      </c>
      <c r="O63" s="515"/>
      <c r="P63" s="512" t="s">
        <v>42</v>
      </c>
      <c r="Q63" s="514"/>
      <c r="R63" s="512" t="s">
        <v>43</v>
      </c>
      <c r="S63" s="513"/>
      <c r="T63" s="513"/>
      <c r="U63" s="513"/>
      <c r="V63" s="513"/>
      <c r="W63" s="513"/>
      <c r="X63" s="513"/>
      <c r="Y63" s="513"/>
      <c r="Z63" s="513"/>
      <c r="AA63" s="514"/>
      <c r="AB63" s="515" t="s">
        <v>44</v>
      </c>
      <c r="AC63" s="515"/>
      <c r="AD63" s="516"/>
      <c r="AF63" s="87">
        <f>SUM(AF60:AF62)</f>
        <v>96000</v>
      </c>
    </row>
    <row r="64" spans="1:32" ht="25.5" customHeight="1">
      <c r="A64" s="498">
        <v>1</v>
      </c>
      <c r="B64" s="499"/>
      <c r="C64" s="117"/>
      <c r="D64" s="228"/>
      <c r="E64" s="225"/>
      <c r="F64" s="500"/>
      <c r="G64" s="492"/>
      <c r="H64" s="492"/>
      <c r="I64" s="492"/>
      <c r="J64" s="492"/>
      <c r="K64" s="492"/>
      <c r="L64" s="492"/>
      <c r="M64" s="51"/>
      <c r="N64" s="501"/>
      <c r="O64" s="501"/>
      <c r="P64" s="502"/>
      <c r="Q64" s="502"/>
      <c r="R64" s="503"/>
      <c r="S64" s="503"/>
      <c r="T64" s="503"/>
      <c r="U64" s="503"/>
      <c r="V64" s="503"/>
      <c r="W64" s="503"/>
      <c r="X64" s="503"/>
      <c r="Y64" s="503"/>
      <c r="Z64" s="503"/>
      <c r="AA64" s="503"/>
      <c r="AB64" s="507"/>
      <c r="AC64" s="520"/>
      <c r="AD64" s="521"/>
      <c r="AF64" s="50"/>
    </row>
    <row r="65" spans="1:32" ht="25.5" customHeight="1">
      <c r="A65" s="498">
        <v>2</v>
      </c>
      <c r="B65" s="499"/>
      <c r="C65" s="117"/>
      <c r="D65" s="228"/>
      <c r="E65" s="225"/>
      <c r="F65" s="504"/>
      <c r="G65" s="505"/>
      <c r="H65" s="505"/>
      <c r="I65" s="505"/>
      <c r="J65" s="506"/>
      <c r="K65" s="507"/>
      <c r="L65" s="499"/>
      <c r="M65" s="51"/>
      <c r="N65" s="501"/>
      <c r="O65" s="501"/>
      <c r="P65" s="510"/>
      <c r="Q65" s="511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3</v>
      </c>
      <c r="B66" s="499"/>
      <c r="C66" s="117"/>
      <c r="D66" s="228"/>
      <c r="E66" s="225"/>
      <c r="F66" s="504"/>
      <c r="G66" s="505"/>
      <c r="H66" s="505"/>
      <c r="I66" s="505"/>
      <c r="J66" s="506"/>
      <c r="K66" s="507"/>
      <c r="L66" s="499"/>
      <c r="M66" s="51"/>
      <c r="N66" s="508"/>
      <c r="O66" s="509"/>
      <c r="P66" s="510"/>
      <c r="Q66" s="511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4</v>
      </c>
      <c r="B67" s="499"/>
      <c r="C67" s="117"/>
      <c r="D67" s="228"/>
      <c r="E67" s="225"/>
      <c r="F67" s="504"/>
      <c r="G67" s="505"/>
      <c r="H67" s="505"/>
      <c r="I67" s="505"/>
      <c r="J67" s="506"/>
      <c r="K67" s="507"/>
      <c r="L67" s="499"/>
      <c r="M67" s="51"/>
      <c r="N67" s="508"/>
      <c r="O67" s="509"/>
      <c r="P67" s="510"/>
      <c r="Q67" s="511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5</v>
      </c>
      <c r="B68" s="499"/>
      <c r="C68" s="117"/>
      <c r="D68" s="228"/>
      <c r="E68" s="225"/>
      <c r="F68" s="504"/>
      <c r="G68" s="505"/>
      <c r="H68" s="505"/>
      <c r="I68" s="505"/>
      <c r="J68" s="506"/>
      <c r="K68" s="507"/>
      <c r="L68" s="499"/>
      <c r="M68" s="51"/>
      <c r="N68" s="508"/>
      <c r="O68" s="509"/>
      <c r="P68" s="510"/>
      <c r="Q68" s="511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6</v>
      </c>
      <c r="B69" s="499"/>
      <c r="C69" s="117"/>
      <c r="D69" s="228"/>
      <c r="E69" s="225"/>
      <c r="F69" s="500"/>
      <c r="G69" s="492"/>
      <c r="H69" s="492"/>
      <c r="I69" s="492"/>
      <c r="J69" s="492"/>
      <c r="K69" s="492"/>
      <c r="L69" s="492"/>
      <c r="M69" s="51"/>
      <c r="N69" s="508"/>
      <c r="O69" s="509"/>
      <c r="P69" s="510"/>
      <c r="Q69" s="511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7</v>
      </c>
      <c r="B70" s="499"/>
      <c r="C70" s="117"/>
      <c r="D70" s="228"/>
      <c r="E70" s="225"/>
      <c r="F70" s="500"/>
      <c r="G70" s="492"/>
      <c r="H70" s="492"/>
      <c r="I70" s="492"/>
      <c r="J70" s="492"/>
      <c r="K70" s="492"/>
      <c r="L70" s="492"/>
      <c r="M70" s="51"/>
      <c r="N70" s="508"/>
      <c r="O70" s="509"/>
      <c r="P70" s="510"/>
      <c r="Q70" s="511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5.5" customHeight="1">
      <c r="A71" s="498">
        <v>8</v>
      </c>
      <c r="B71" s="499"/>
      <c r="C71" s="117"/>
      <c r="D71" s="228"/>
      <c r="E71" s="225"/>
      <c r="F71" s="500"/>
      <c r="G71" s="492"/>
      <c r="H71" s="492"/>
      <c r="I71" s="492"/>
      <c r="J71" s="492"/>
      <c r="K71" s="492"/>
      <c r="L71" s="492"/>
      <c r="M71" s="51"/>
      <c r="N71" s="508"/>
      <c r="O71" s="509"/>
      <c r="P71" s="510"/>
      <c r="Q71" s="511"/>
      <c r="R71" s="503"/>
      <c r="S71" s="503"/>
      <c r="T71" s="503"/>
      <c r="U71" s="503"/>
      <c r="V71" s="503"/>
      <c r="W71" s="503"/>
      <c r="X71" s="503"/>
      <c r="Y71" s="503"/>
      <c r="Z71" s="503"/>
      <c r="AA71" s="503"/>
      <c r="AB71" s="492"/>
      <c r="AC71" s="492"/>
      <c r="AD71" s="493"/>
      <c r="AF71" s="50"/>
    </row>
    <row r="72" spans="1:32" ht="26.25" customHeight="1" thickBot="1">
      <c r="A72" s="472" t="s">
        <v>355</v>
      </c>
      <c r="B72" s="472"/>
      <c r="C72" s="472"/>
      <c r="D72" s="472"/>
      <c r="E72" s="472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73" t="s">
        <v>113</v>
      </c>
      <c r="B73" s="474"/>
      <c r="C73" s="227" t="s">
        <v>2</v>
      </c>
      <c r="D73" s="227" t="s">
        <v>37</v>
      </c>
      <c r="E73" s="227" t="s">
        <v>3</v>
      </c>
      <c r="F73" s="474" t="s">
        <v>38</v>
      </c>
      <c r="G73" s="474"/>
      <c r="H73" s="474"/>
      <c r="I73" s="474"/>
      <c r="J73" s="474"/>
      <c r="K73" s="494" t="s">
        <v>58</v>
      </c>
      <c r="L73" s="495"/>
      <c r="M73" s="495"/>
      <c r="N73" s="495"/>
      <c r="O73" s="495"/>
      <c r="P73" s="495"/>
      <c r="Q73" s="495"/>
      <c r="R73" s="495"/>
      <c r="S73" s="496"/>
      <c r="T73" s="474" t="s">
        <v>49</v>
      </c>
      <c r="U73" s="474"/>
      <c r="V73" s="494" t="s">
        <v>50</v>
      </c>
      <c r="W73" s="496"/>
      <c r="X73" s="495" t="s">
        <v>51</v>
      </c>
      <c r="Y73" s="495"/>
      <c r="Z73" s="495"/>
      <c r="AA73" s="495"/>
      <c r="AB73" s="495"/>
      <c r="AC73" s="495"/>
      <c r="AD73" s="497"/>
      <c r="AF73" s="50"/>
    </row>
    <row r="74" spans="1:32" ht="33.75" customHeight="1">
      <c r="A74" s="466">
        <v>1</v>
      </c>
      <c r="B74" s="467"/>
      <c r="C74" s="229" t="s">
        <v>114</v>
      </c>
      <c r="D74" s="229"/>
      <c r="E74" s="65" t="s">
        <v>119</v>
      </c>
      <c r="F74" s="481" t="s">
        <v>118</v>
      </c>
      <c r="G74" s="482"/>
      <c r="H74" s="482"/>
      <c r="I74" s="482"/>
      <c r="J74" s="483"/>
      <c r="K74" s="484" t="s">
        <v>130</v>
      </c>
      <c r="L74" s="485"/>
      <c r="M74" s="485"/>
      <c r="N74" s="485"/>
      <c r="O74" s="485"/>
      <c r="P74" s="485"/>
      <c r="Q74" s="485"/>
      <c r="R74" s="485"/>
      <c r="S74" s="486"/>
      <c r="T74" s="487">
        <v>43675</v>
      </c>
      <c r="U74" s="488"/>
      <c r="V74" s="489"/>
      <c r="W74" s="489"/>
      <c r="X74" s="490"/>
      <c r="Y74" s="490"/>
      <c r="Z74" s="490"/>
      <c r="AA74" s="490"/>
      <c r="AB74" s="490"/>
      <c r="AC74" s="490"/>
      <c r="AD74" s="491"/>
      <c r="AF74" s="50"/>
    </row>
    <row r="75" spans="1:32" ht="30" customHeight="1">
      <c r="A75" s="459">
        <f>A74+1</f>
        <v>2</v>
      </c>
      <c r="B75" s="460"/>
      <c r="C75" s="228"/>
      <c r="D75" s="228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ref="A76:A82" si="21">A75+1</f>
        <v>3</v>
      </c>
      <c r="B76" s="460"/>
      <c r="C76" s="228"/>
      <c r="D76" s="228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21"/>
        <v>4</v>
      </c>
      <c r="B77" s="460"/>
      <c r="C77" s="228"/>
      <c r="D77" s="228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21"/>
        <v>5</v>
      </c>
      <c r="B78" s="460"/>
      <c r="C78" s="228"/>
      <c r="D78" s="228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21"/>
        <v>6</v>
      </c>
      <c r="B79" s="460"/>
      <c r="C79" s="228"/>
      <c r="D79" s="228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21"/>
        <v>7</v>
      </c>
      <c r="B80" s="460"/>
      <c r="C80" s="228"/>
      <c r="D80" s="228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21"/>
        <v>8</v>
      </c>
      <c r="B81" s="460"/>
      <c r="C81" s="228"/>
      <c r="D81" s="228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0" customHeight="1">
      <c r="A82" s="459">
        <f t="shared" si="21"/>
        <v>9</v>
      </c>
      <c r="B82" s="460"/>
      <c r="C82" s="228"/>
      <c r="D82" s="228"/>
      <c r="E82" s="32"/>
      <c r="F82" s="460"/>
      <c r="G82" s="460"/>
      <c r="H82" s="460"/>
      <c r="I82" s="460"/>
      <c r="J82" s="460"/>
      <c r="K82" s="475"/>
      <c r="L82" s="476"/>
      <c r="M82" s="476"/>
      <c r="N82" s="476"/>
      <c r="O82" s="476"/>
      <c r="P82" s="476"/>
      <c r="Q82" s="476"/>
      <c r="R82" s="476"/>
      <c r="S82" s="477"/>
      <c r="T82" s="478"/>
      <c r="U82" s="478"/>
      <c r="V82" s="478"/>
      <c r="W82" s="478"/>
      <c r="X82" s="479"/>
      <c r="Y82" s="479"/>
      <c r="Z82" s="479"/>
      <c r="AA82" s="479"/>
      <c r="AB82" s="479"/>
      <c r="AC82" s="479"/>
      <c r="AD82" s="480"/>
      <c r="AF82" s="50"/>
    </row>
    <row r="83" spans="1:32" ht="36" thickBot="1">
      <c r="A83" s="472" t="s">
        <v>356</v>
      </c>
      <c r="B83" s="472"/>
      <c r="C83" s="472"/>
      <c r="D83" s="472"/>
      <c r="E83" s="472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3" t="s">
        <v>113</v>
      </c>
      <c r="B84" s="474"/>
      <c r="C84" s="464" t="s">
        <v>52</v>
      </c>
      <c r="D84" s="464"/>
      <c r="E84" s="464" t="s">
        <v>53</v>
      </c>
      <c r="F84" s="464"/>
      <c r="G84" s="464"/>
      <c r="H84" s="464"/>
      <c r="I84" s="464"/>
      <c r="J84" s="464"/>
      <c r="K84" s="464" t="s">
        <v>54</v>
      </c>
      <c r="L84" s="464"/>
      <c r="M84" s="464"/>
      <c r="N84" s="464"/>
      <c r="O84" s="464"/>
      <c r="P84" s="464"/>
      <c r="Q84" s="464"/>
      <c r="R84" s="464"/>
      <c r="S84" s="464"/>
      <c r="T84" s="464" t="s">
        <v>55</v>
      </c>
      <c r="U84" s="464"/>
      <c r="V84" s="464" t="s">
        <v>56</v>
      </c>
      <c r="W84" s="464"/>
      <c r="X84" s="464"/>
      <c r="Y84" s="464" t="s">
        <v>51</v>
      </c>
      <c r="Z84" s="464"/>
      <c r="AA84" s="464"/>
      <c r="AB84" s="464"/>
      <c r="AC84" s="464"/>
      <c r="AD84" s="465"/>
      <c r="AF84" s="50"/>
    </row>
    <row r="85" spans="1:32" ht="30.75" customHeight="1">
      <c r="A85" s="466">
        <v>1</v>
      </c>
      <c r="B85" s="467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8"/>
      <c r="U85" s="468"/>
      <c r="V85" s="469"/>
      <c r="W85" s="469"/>
      <c r="X85" s="469"/>
      <c r="Y85" s="470"/>
      <c r="Z85" s="470"/>
      <c r="AA85" s="470"/>
      <c r="AB85" s="470"/>
      <c r="AC85" s="470"/>
      <c r="AD85" s="471"/>
      <c r="AF85" s="50"/>
    </row>
    <row r="86" spans="1:32" ht="30.75" customHeight="1">
      <c r="A86" s="459">
        <v>2</v>
      </c>
      <c r="B86" s="460"/>
      <c r="C86" s="461"/>
      <c r="D86" s="461"/>
      <c r="E86" s="461"/>
      <c r="F86" s="461"/>
      <c r="G86" s="461"/>
      <c r="H86" s="461"/>
      <c r="I86" s="461"/>
      <c r="J86" s="461"/>
      <c r="K86" s="461"/>
      <c r="L86" s="461"/>
      <c r="M86" s="461"/>
      <c r="N86" s="461"/>
      <c r="O86" s="461"/>
      <c r="P86" s="461"/>
      <c r="Q86" s="461"/>
      <c r="R86" s="461"/>
      <c r="S86" s="461"/>
      <c r="T86" s="462"/>
      <c r="U86" s="462"/>
      <c r="V86" s="463"/>
      <c r="W86" s="463"/>
      <c r="X86" s="463"/>
      <c r="Y86" s="452"/>
      <c r="Z86" s="452"/>
      <c r="AA86" s="452"/>
      <c r="AB86" s="452"/>
      <c r="AC86" s="452"/>
      <c r="AD86" s="453"/>
      <c r="AF86" s="50"/>
    </row>
    <row r="87" spans="1:32" ht="30.75" customHeight="1" thickBot="1">
      <c r="A87" s="454">
        <v>3</v>
      </c>
      <c r="B87" s="455"/>
      <c r="C87" s="456"/>
      <c r="D87" s="456"/>
      <c r="E87" s="456"/>
      <c r="F87" s="456"/>
      <c r="G87" s="456"/>
      <c r="H87" s="456"/>
      <c r="I87" s="456"/>
      <c r="J87" s="456"/>
      <c r="K87" s="456"/>
      <c r="L87" s="456"/>
      <c r="M87" s="456"/>
      <c r="N87" s="456"/>
      <c r="O87" s="456"/>
      <c r="P87" s="456"/>
      <c r="Q87" s="456"/>
      <c r="R87" s="456"/>
      <c r="S87" s="456"/>
      <c r="T87" s="456"/>
      <c r="U87" s="456"/>
      <c r="V87" s="456"/>
      <c r="W87" s="456"/>
      <c r="X87" s="456"/>
      <c r="Y87" s="457"/>
      <c r="Z87" s="457"/>
      <c r="AA87" s="457"/>
      <c r="AB87" s="457"/>
      <c r="AC87" s="457"/>
      <c r="AD87" s="458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B057-66A2-4FBB-B9EF-6A40EA6CD5E2}">
  <dimension ref="A1:AF86"/>
  <sheetViews>
    <sheetView topLeftCell="A34"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12.12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357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240" t="s">
        <v>17</v>
      </c>
      <c r="L5" s="240" t="s">
        <v>18</v>
      </c>
      <c r="M5" s="240" t="s">
        <v>19</v>
      </c>
      <c r="N5" s="24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0.17222222222222219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0.17222222222222219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114</v>
      </c>
      <c r="D8" s="52" t="s">
        <v>222</v>
      </c>
      <c r="E8" s="53" t="s">
        <v>211</v>
      </c>
      <c r="F8" s="30" t="s">
        <v>123</v>
      </c>
      <c r="G8" s="33">
        <v>1</v>
      </c>
      <c r="H8" s="35">
        <v>24</v>
      </c>
      <c r="I8" s="7">
        <v>14000</v>
      </c>
      <c r="J8" s="14">
        <v>420</v>
      </c>
      <c r="K8" s="15">
        <f>L8+1392+945+2815+4038+420</f>
        <v>9610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0.17222222222222219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1910</v>
      </c>
      <c r="K9" s="15">
        <f>L9+1036+2500+4639+2951+2392+2902+2784+3566+4110+4299+4289</f>
        <v>37378</v>
      </c>
      <c r="L9" s="15">
        <v>1910</v>
      </c>
      <c r="M9" s="15">
        <f t="shared" si="1"/>
        <v>1910</v>
      </c>
      <c r="N9" s="15">
        <v>0</v>
      </c>
      <c r="O9" s="58">
        <f t="shared" si="2"/>
        <v>0</v>
      </c>
      <c r="P9" s="39">
        <f t="shared" si="3"/>
        <v>8</v>
      </c>
      <c r="Q9" s="40">
        <f t="shared" si="4"/>
        <v>16</v>
      </c>
      <c r="R9" s="7"/>
      <c r="S9" s="6">
        <v>2</v>
      </c>
      <c r="T9" s="16"/>
      <c r="U9" s="16"/>
      <c r="V9" s="17">
        <v>14</v>
      </c>
      <c r="W9" s="5"/>
      <c r="X9" s="16"/>
      <c r="Y9" s="16"/>
      <c r="Z9" s="16"/>
      <c r="AA9" s="18"/>
      <c r="AB9" s="8">
        <f t="shared" si="5"/>
        <v>1</v>
      </c>
      <c r="AC9" s="9">
        <f t="shared" si="6"/>
        <v>0.33333333333333331</v>
      </c>
      <c r="AD9" s="10">
        <f t="shared" si="7"/>
        <v>0.33333333333333331</v>
      </c>
      <c r="AE9" s="36">
        <f t="shared" si="8"/>
        <v>0.17222222222222219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128</v>
      </c>
      <c r="D10" s="52" t="s">
        <v>344</v>
      </c>
      <c r="E10" s="53" t="s">
        <v>345</v>
      </c>
      <c r="F10" s="30" t="s">
        <v>190</v>
      </c>
      <c r="G10" s="33" t="s">
        <v>136</v>
      </c>
      <c r="H10" s="35">
        <v>24</v>
      </c>
      <c r="I10" s="7">
        <v>2000</v>
      </c>
      <c r="J10" s="5">
        <v>1613</v>
      </c>
      <c r="K10" s="15">
        <f>L10+2152</f>
        <v>3765</v>
      </c>
      <c r="L10" s="15">
        <v>1613</v>
      </c>
      <c r="M10" s="15">
        <f t="shared" si="1"/>
        <v>1613</v>
      </c>
      <c r="N10" s="15">
        <v>0</v>
      </c>
      <c r="O10" s="58">
        <f t="shared" si="2"/>
        <v>0</v>
      </c>
      <c r="P10" s="39">
        <f t="shared" si="3"/>
        <v>10</v>
      </c>
      <c r="Q10" s="40">
        <f t="shared" si="4"/>
        <v>14</v>
      </c>
      <c r="R10" s="7"/>
      <c r="S10" s="6"/>
      <c r="T10" s="16"/>
      <c r="U10" s="16"/>
      <c r="V10" s="17">
        <v>14</v>
      </c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0.41666666666666669</v>
      </c>
      <c r="AD10" s="10">
        <f>AC10*AB10*(1-O10)</f>
        <v>0.41666666666666669</v>
      </c>
      <c r="AE10" s="36">
        <f t="shared" si="8"/>
        <v>0.17222222222222219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300</v>
      </c>
      <c r="F11" s="30" t="s">
        <v>126</v>
      </c>
      <c r="G11" s="33">
        <v>1</v>
      </c>
      <c r="H11" s="35">
        <v>24</v>
      </c>
      <c r="I11" s="7">
        <v>62000</v>
      </c>
      <c r="J11" s="5">
        <v>2477</v>
      </c>
      <c r="K11" s="15">
        <f>L11+2377+5493</f>
        <v>10347</v>
      </c>
      <c r="L11" s="15">
        <v>2477</v>
      </c>
      <c r="M11" s="15">
        <f t="shared" si="1"/>
        <v>2477</v>
      </c>
      <c r="N11" s="15">
        <v>0</v>
      </c>
      <c r="O11" s="58">
        <f t="shared" si="2"/>
        <v>0</v>
      </c>
      <c r="P11" s="39">
        <f t="shared" si="3"/>
        <v>10</v>
      </c>
      <c r="Q11" s="40">
        <f t="shared" si="4"/>
        <v>14</v>
      </c>
      <c r="R11" s="7"/>
      <c r="S11" s="6"/>
      <c r="T11" s="16"/>
      <c r="U11" s="16"/>
      <c r="V11" s="17">
        <v>14</v>
      </c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0.41666666666666669</v>
      </c>
      <c r="AD11" s="10">
        <f>AC11*AB11*(1-O11)</f>
        <v>0.41666666666666669</v>
      </c>
      <c r="AE11" s="36">
        <f t="shared" si="8"/>
        <v>0.17222222222222219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144</v>
      </c>
      <c r="F12" s="30" t="s">
        <v>121</v>
      </c>
      <c r="G12" s="33">
        <v>1</v>
      </c>
      <c r="H12" s="35">
        <v>24</v>
      </c>
      <c r="I12" s="7">
        <v>70000</v>
      </c>
      <c r="J12" s="14">
        <v>1208</v>
      </c>
      <c r="K12" s="15">
        <f>L12+2036+3193+2673+3958+1875+401+3155+4199+2859+2339+1952</f>
        <v>29848</v>
      </c>
      <c r="L12" s="15">
        <v>1208</v>
      </c>
      <c r="M12" s="15">
        <f t="shared" si="1"/>
        <v>1208</v>
      </c>
      <c r="N12" s="15">
        <v>0</v>
      </c>
      <c r="O12" s="58">
        <f t="shared" si="2"/>
        <v>0</v>
      </c>
      <c r="P12" s="39">
        <f t="shared" si="3"/>
        <v>8</v>
      </c>
      <c r="Q12" s="40">
        <f t="shared" si="4"/>
        <v>16</v>
      </c>
      <c r="R12" s="7"/>
      <c r="S12" s="6">
        <v>2</v>
      </c>
      <c r="T12" s="16"/>
      <c r="U12" s="16"/>
      <c r="V12" s="17">
        <v>14</v>
      </c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0.33333333333333331</v>
      </c>
      <c r="AD12" s="10">
        <f t="shared" ref="AD12:AD13" si="10">AC12*AB12*(1-O12)</f>
        <v>0.33333333333333331</v>
      </c>
      <c r="AE12" s="36">
        <f t="shared" si="8"/>
        <v>0.17222222222222219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138</v>
      </c>
      <c r="D13" s="52"/>
      <c r="E13" s="53" t="s">
        <v>327</v>
      </c>
      <c r="F13" s="30" t="s">
        <v>243</v>
      </c>
      <c r="G13" s="33">
        <v>1</v>
      </c>
      <c r="H13" s="35">
        <v>24</v>
      </c>
      <c r="I13" s="7">
        <v>2100</v>
      </c>
      <c r="J13" s="14">
        <v>774</v>
      </c>
      <c r="K13" s="15">
        <f>L13</f>
        <v>774</v>
      </c>
      <c r="L13" s="15">
        <v>774</v>
      </c>
      <c r="M13" s="15">
        <f t="shared" si="1"/>
        <v>774</v>
      </c>
      <c r="N13" s="15">
        <v>0</v>
      </c>
      <c r="O13" s="58">
        <f t="shared" si="2"/>
        <v>0</v>
      </c>
      <c r="P13" s="39">
        <f t="shared" si="3"/>
        <v>6</v>
      </c>
      <c r="Q13" s="40">
        <f t="shared" si="4"/>
        <v>18</v>
      </c>
      <c r="R13" s="7"/>
      <c r="S13" s="6">
        <v>4</v>
      </c>
      <c r="T13" s="16"/>
      <c r="U13" s="16"/>
      <c r="V13" s="17">
        <v>14</v>
      </c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0.25</v>
      </c>
      <c r="AD13" s="10">
        <f t="shared" si="10"/>
        <v>0.25</v>
      </c>
      <c r="AE13" s="36">
        <f t="shared" si="8"/>
        <v>0.17222222222222219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258</v>
      </c>
      <c r="F14" s="30" t="s">
        <v>262</v>
      </c>
      <c r="G14" s="33">
        <v>1</v>
      </c>
      <c r="H14" s="35">
        <v>24</v>
      </c>
      <c r="I14" s="7">
        <v>500</v>
      </c>
      <c r="J14" s="5">
        <v>650</v>
      </c>
      <c r="K14" s="15">
        <f>L14+650</f>
        <v>650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0.17222222222222219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128</v>
      </c>
      <c r="D15" s="52"/>
      <c r="E15" s="53" t="s">
        <v>315</v>
      </c>
      <c r="F15" s="12">
        <v>8301</v>
      </c>
      <c r="G15" s="12">
        <v>1</v>
      </c>
      <c r="H15" s="13">
        <v>24</v>
      </c>
      <c r="I15" s="31">
        <v>1000</v>
      </c>
      <c r="J15" s="14">
        <v>1140</v>
      </c>
      <c r="K15" s="15">
        <f>L15+1140</f>
        <v>1140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>
        <v>24</v>
      </c>
      <c r="W15" s="5"/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0.17222222222222219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125</v>
      </c>
      <c r="E16" s="53" t="s">
        <v>291</v>
      </c>
      <c r="F16" s="30" t="s">
        <v>126</v>
      </c>
      <c r="G16" s="12">
        <v>1</v>
      </c>
      <c r="H16" s="13">
        <v>28</v>
      </c>
      <c r="I16" s="7">
        <v>73000</v>
      </c>
      <c r="J16" s="14">
        <v>2557</v>
      </c>
      <c r="K16" s="15">
        <f>L16+2222+5390+5624</f>
        <v>15793</v>
      </c>
      <c r="L16" s="15">
        <v>2557</v>
      </c>
      <c r="M16" s="15">
        <f t="shared" si="1"/>
        <v>2557</v>
      </c>
      <c r="N16" s="15">
        <v>0</v>
      </c>
      <c r="O16" s="58">
        <f t="shared" si="2"/>
        <v>0</v>
      </c>
      <c r="P16" s="39">
        <f t="shared" si="3"/>
        <v>10</v>
      </c>
      <c r="Q16" s="40">
        <f t="shared" si="4"/>
        <v>14</v>
      </c>
      <c r="R16" s="7"/>
      <c r="S16" s="6"/>
      <c r="T16" s="16"/>
      <c r="U16" s="16"/>
      <c r="V16" s="17">
        <v>14</v>
      </c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0.41666666666666669</v>
      </c>
      <c r="AD16" s="10">
        <f t="shared" si="7"/>
        <v>0.41666666666666669</v>
      </c>
      <c r="AE16" s="36">
        <f t="shared" si="8"/>
        <v>0.17222222222222219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135</v>
      </c>
      <c r="E17" s="53" t="s">
        <v>238</v>
      </c>
      <c r="F17" s="30" t="s">
        <v>249</v>
      </c>
      <c r="G17" s="33">
        <v>1</v>
      </c>
      <c r="H17" s="35">
        <v>24</v>
      </c>
      <c r="I17" s="7">
        <v>300</v>
      </c>
      <c r="J17" s="5">
        <v>713</v>
      </c>
      <c r="K17" s="15">
        <f>L17+713</f>
        <v>713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0.17222222222222219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122</v>
      </c>
      <c r="E18" s="53" t="s">
        <v>147</v>
      </c>
      <c r="F18" s="30" t="s">
        <v>123</v>
      </c>
      <c r="G18" s="33">
        <v>1</v>
      </c>
      <c r="H18" s="35">
        <v>24</v>
      </c>
      <c r="I18" s="7">
        <v>60000</v>
      </c>
      <c r="J18" s="5">
        <v>1754</v>
      </c>
      <c r="K18" s="15">
        <f>L18+1915+5043</f>
        <v>8712</v>
      </c>
      <c r="L18" s="15">
        <v>1754</v>
      </c>
      <c r="M18" s="15">
        <f t="shared" si="1"/>
        <v>1754</v>
      </c>
      <c r="N18" s="15">
        <v>0</v>
      </c>
      <c r="O18" s="58">
        <f t="shared" si="2"/>
        <v>0</v>
      </c>
      <c r="P18" s="39">
        <f t="shared" si="3"/>
        <v>10</v>
      </c>
      <c r="Q18" s="40">
        <f t="shared" si="4"/>
        <v>14</v>
      </c>
      <c r="R18" s="7"/>
      <c r="S18" s="6"/>
      <c r="T18" s="16"/>
      <c r="U18" s="16"/>
      <c r="V18" s="17">
        <v>14</v>
      </c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0.41666666666666669</v>
      </c>
      <c r="AD18" s="10">
        <f>AC18*AB18*(1-O18)</f>
        <v>0.41666666666666669</v>
      </c>
      <c r="AE18" s="36">
        <f t="shared" si="8"/>
        <v>0.17222222222222219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235</v>
      </c>
      <c r="F19" s="30" t="s">
        <v>121</v>
      </c>
      <c r="G19" s="33">
        <v>1</v>
      </c>
      <c r="H19" s="35">
        <v>24</v>
      </c>
      <c r="I19" s="7">
        <v>5000</v>
      </c>
      <c r="J19" s="14">
        <v>4735</v>
      </c>
      <c r="K19" s="15">
        <f>L19+4513+4735</f>
        <v>9248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 t="shared" si="7"/>
        <v>0</v>
      </c>
      <c r="AE19" s="36">
        <f t="shared" si="8"/>
        <v>0.17222222222222219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316</v>
      </c>
      <c r="F20" s="12" t="s">
        <v>116</v>
      </c>
      <c r="G20" s="12">
        <v>4</v>
      </c>
      <c r="H20" s="35">
        <v>20</v>
      </c>
      <c r="I20" s="7">
        <v>300000</v>
      </c>
      <c r="J20" s="14">
        <v>33136</v>
      </c>
      <c r="K20" s="15">
        <f>L20+33136</f>
        <v>33136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14</v>
      </c>
      <c r="R20" s="7"/>
      <c r="S20" s="6"/>
      <c r="T20" s="16"/>
      <c r="U20" s="16"/>
      <c r="V20" s="17">
        <v>14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0.17222222222222219</v>
      </c>
      <c r="AF20" s="87">
        <f t="shared" si="9"/>
        <v>15</v>
      </c>
    </row>
    <row r="21" spans="1:32" ht="31.5" customHeight="1" thickBot="1">
      <c r="A21" s="541" t="s">
        <v>34</v>
      </c>
      <c r="B21" s="542"/>
      <c r="C21" s="542"/>
      <c r="D21" s="542"/>
      <c r="E21" s="542"/>
      <c r="F21" s="542"/>
      <c r="G21" s="542"/>
      <c r="H21" s="543"/>
      <c r="I21" s="22">
        <f t="shared" ref="I21:N21" si="11">SUM(I6:I20)</f>
        <v>680900</v>
      </c>
      <c r="J21" s="19">
        <f t="shared" si="11"/>
        <v>55148</v>
      </c>
      <c r="K21" s="20">
        <f t="shared" si="11"/>
        <v>172662</v>
      </c>
      <c r="L21" s="21">
        <f t="shared" si="11"/>
        <v>12293</v>
      </c>
      <c r="M21" s="20">
        <f t="shared" si="11"/>
        <v>12293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62</v>
      </c>
      <c r="Q21" s="43">
        <f t="shared" si="12"/>
        <v>288</v>
      </c>
      <c r="R21" s="23">
        <f t="shared" si="12"/>
        <v>24</v>
      </c>
      <c r="S21" s="24">
        <f t="shared" si="12"/>
        <v>32</v>
      </c>
      <c r="T21" s="24">
        <f t="shared" si="12"/>
        <v>0</v>
      </c>
      <c r="U21" s="24">
        <f t="shared" si="12"/>
        <v>0</v>
      </c>
      <c r="V21" s="25">
        <f t="shared" si="12"/>
        <v>160</v>
      </c>
      <c r="W21" s="26">
        <f t="shared" si="12"/>
        <v>72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0.46666666666666667</v>
      </c>
      <c r="AC21" s="4">
        <f>SUM(AC6:AC20)/15</f>
        <v>0.17222222222222219</v>
      </c>
      <c r="AD21" s="4">
        <f>SUM(AD6:AD20)/15</f>
        <v>0.17222222222222219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44" t="s">
        <v>45</v>
      </c>
      <c r="B48" s="544"/>
      <c r="C48" s="544"/>
      <c r="D48" s="544"/>
      <c r="E48" s="54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45" t="s">
        <v>358</v>
      </c>
      <c r="B49" s="546"/>
      <c r="C49" s="546"/>
      <c r="D49" s="546"/>
      <c r="E49" s="546"/>
      <c r="F49" s="546"/>
      <c r="G49" s="546"/>
      <c r="H49" s="546"/>
      <c r="I49" s="546"/>
      <c r="J49" s="546"/>
      <c r="K49" s="546"/>
      <c r="L49" s="546"/>
      <c r="M49" s="547"/>
      <c r="N49" s="548" t="s">
        <v>359</v>
      </c>
      <c r="O49" s="549"/>
      <c r="P49" s="549"/>
      <c r="Q49" s="549"/>
      <c r="R49" s="549"/>
      <c r="S49" s="549"/>
      <c r="T49" s="549"/>
      <c r="U49" s="549"/>
      <c r="V49" s="549"/>
      <c r="W49" s="549"/>
      <c r="X49" s="549"/>
      <c r="Y49" s="549"/>
      <c r="Z49" s="549"/>
      <c r="AA49" s="549"/>
      <c r="AB49" s="549"/>
      <c r="AC49" s="549"/>
      <c r="AD49" s="550"/>
    </row>
    <row r="50" spans="1:32" ht="27" customHeight="1">
      <c r="A50" s="551" t="s">
        <v>2</v>
      </c>
      <c r="B50" s="552"/>
      <c r="C50" s="239" t="s">
        <v>46</v>
      </c>
      <c r="D50" s="239" t="s">
        <v>47</v>
      </c>
      <c r="E50" s="239" t="s">
        <v>108</v>
      </c>
      <c r="F50" s="552" t="s">
        <v>107</v>
      </c>
      <c r="G50" s="552"/>
      <c r="H50" s="552"/>
      <c r="I50" s="552"/>
      <c r="J50" s="552"/>
      <c r="K50" s="552"/>
      <c r="L50" s="552"/>
      <c r="M50" s="553"/>
      <c r="N50" s="67" t="s">
        <v>112</v>
      </c>
      <c r="O50" s="239" t="s">
        <v>46</v>
      </c>
      <c r="P50" s="554" t="s">
        <v>47</v>
      </c>
      <c r="Q50" s="555"/>
      <c r="R50" s="554" t="s">
        <v>38</v>
      </c>
      <c r="S50" s="556"/>
      <c r="T50" s="556"/>
      <c r="U50" s="555"/>
      <c r="V50" s="554" t="s">
        <v>48</v>
      </c>
      <c r="W50" s="556"/>
      <c r="X50" s="556"/>
      <c r="Y50" s="556"/>
      <c r="Z50" s="556"/>
      <c r="AA50" s="556"/>
      <c r="AB50" s="556"/>
      <c r="AC50" s="556"/>
      <c r="AD50" s="557"/>
    </row>
    <row r="51" spans="1:32" ht="27" customHeight="1">
      <c r="A51" s="524" t="s">
        <v>114</v>
      </c>
      <c r="B51" s="525"/>
      <c r="C51" s="237" t="s">
        <v>131</v>
      </c>
      <c r="D51" s="237" t="s">
        <v>142</v>
      </c>
      <c r="E51" s="237" t="s">
        <v>145</v>
      </c>
      <c r="F51" s="517" t="s">
        <v>209</v>
      </c>
      <c r="G51" s="518"/>
      <c r="H51" s="518"/>
      <c r="I51" s="518"/>
      <c r="J51" s="518"/>
      <c r="K51" s="518"/>
      <c r="L51" s="518"/>
      <c r="M51" s="526"/>
      <c r="N51" s="236" t="s">
        <v>124</v>
      </c>
      <c r="O51" s="234" t="s">
        <v>155</v>
      </c>
      <c r="P51" s="536" t="s">
        <v>125</v>
      </c>
      <c r="Q51" s="537"/>
      <c r="R51" s="536" t="s">
        <v>323</v>
      </c>
      <c r="S51" s="538"/>
      <c r="T51" s="538"/>
      <c r="U51" s="537"/>
      <c r="V51" s="503" t="s">
        <v>157</v>
      </c>
      <c r="W51" s="503"/>
      <c r="X51" s="503"/>
      <c r="Y51" s="503"/>
      <c r="Z51" s="503"/>
      <c r="AA51" s="503"/>
      <c r="AB51" s="503"/>
      <c r="AC51" s="503"/>
      <c r="AD51" s="527"/>
    </row>
    <row r="52" spans="1:32" ht="27" customHeight="1">
      <c r="A52" s="524" t="s">
        <v>114</v>
      </c>
      <c r="B52" s="525"/>
      <c r="C52" s="237" t="s">
        <v>150</v>
      </c>
      <c r="D52" s="237" t="s">
        <v>117</v>
      </c>
      <c r="E52" s="237" t="s">
        <v>144</v>
      </c>
      <c r="F52" s="517" t="s">
        <v>157</v>
      </c>
      <c r="G52" s="518"/>
      <c r="H52" s="518"/>
      <c r="I52" s="518"/>
      <c r="J52" s="518"/>
      <c r="K52" s="518"/>
      <c r="L52" s="518"/>
      <c r="M52" s="526"/>
      <c r="N52" s="236" t="s">
        <v>114</v>
      </c>
      <c r="O52" s="234" t="s">
        <v>295</v>
      </c>
      <c r="P52" s="536" t="s">
        <v>125</v>
      </c>
      <c r="Q52" s="537"/>
      <c r="R52" s="536" t="s">
        <v>291</v>
      </c>
      <c r="S52" s="538"/>
      <c r="T52" s="538"/>
      <c r="U52" s="537"/>
      <c r="V52" s="503" t="s">
        <v>157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138</v>
      </c>
      <c r="B53" s="525"/>
      <c r="C53" s="237" t="s">
        <v>179</v>
      </c>
      <c r="D53" s="237"/>
      <c r="E53" s="237" t="s">
        <v>327</v>
      </c>
      <c r="F53" s="517" t="s">
        <v>157</v>
      </c>
      <c r="G53" s="518"/>
      <c r="H53" s="518"/>
      <c r="I53" s="518"/>
      <c r="J53" s="518"/>
      <c r="K53" s="518"/>
      <c r="L53" s="518"/>
      <c r="M53" s="526"/>
      <c r="N53" s="236" t="s">
        <v>128</v>
      </c>
      <c r="O53" s="234" t="s">
        <v>170</v>
      </c>
      <c r="P53" s="536" t="s">
        <v>352</v>
      </c>
      <c r="Q53" s="537"/>
      <c r="R53" s="525" t="s">
        <v>353</v>
      </c>
      <c r="S53" s="525"/>
      <c r="T53" s="525"/>
      <c r="U53" s="525"/>
      <c r="V53" s="503" t="s">
        <v>120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/>
      <c r="B54" s="525"/>
      <c r="C54" s="237"/>
      <c r="D54" s="237"/>
      <c r="E54" s="237"/>
      <c r="F54" s="517"/>
      <c r="G54" s="518"/>
      <c r="H54" s="518"/>
      <c r="I54" s="518"/>
      <c r="J54" s="518"/>
      <c r="K54" s="518"/>
      <c r="L54" s="518"/>
      <c r="M54" s="526"/>
      <c r="N54" s="236" t="s">
        <v>124</v>
      </c>
      <c r="O54" s="234" t="s">
        <v>171</v>
      </c>
      <c r="P54" s="536" t="s">
        <v>117</v>
      </c>
      <c r="Q54" s="537"/>
      <c r="R54" s="525" t="s">
        <v>360</v>
      </c>
      <c r="S54" s="525"/>
      <c r="T54" s="525"/>
      <c r="U54" s="525"/>
      <c r="V54" s="503" t="s">
        <v>120</v>
      </c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/>
      <c r="B55" s="525"/>
      <c r="C55" s="237"/>
      <c r="D55" s="237"/>
      <c r="E55" s="237"/>
      <c r="F55" s="517"/>
      <c r="G55" s="518"/>
      <c r="H55" s="518"/>
      <c r="I55" s="518"/>
      <c r="J55" s="518"/>
      <c r="K55" s="518"/>
      <c r="L55" s="518"/>
      <c r="M55" s="526"/>
      <c r="N55" s="236"/>
      <c r="O55" s="234"/>
      <c r="P55" s="536"/>
      <c r="Q55" s="537"/>
      <c r="R55" s="536"/>
      <c r="S55" s="538"/>
      <c r="T55" s="538"/>
      <c r="U55" s="537"/>
      <c r="V55" s="503"/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/>
      <c r="B56" s="525"/>
      <c r="C56" s="237"/>
      <c r="D56" s="237"/>
      <c r="E56" s="237"/>
      <c r="F56" s="517"/>
      <c r="G56" s="518"/>
      <c r="H56" s="518"/>
      <c r="I56" s="518"/>
      <c r="J56" s="518"/>
      <c r="K56" s="518"/>
      <c r="L56" s="518"/>
      <c r="M56" s="526"/>
      <c r="N56" s="236"/>
      <c r="O56" s="234"/>
      <c r="P56" s="536"/>
      <c r="Q56" s="537"/>
      <c r="R56" s="525"/>
      <c r="S56" s="525"/>
      <c r="T56" s="525"/>
      <c r="U56" s="525"/>
      <c r="V56" s="503"/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/>
      <c r="B57" s="525"/>
      <c r="C57" s="237"/>
      <c r="D57" s="237"/>
      <c r="E57" s="237"/>
      <c r="F57" s="517"/>
      <c r="G57" s="518"/>
      <c r="H57" s="518"/>
      <c r="I57" s="518"/>
      <c r="J57" s="518"/>
      <c r="K57" s="518"/>
      <c r="L57" s="518"/>
      <c r="M57" s="526"/>
      <c r="N57" s="236"/>
      <c r="O57" s="234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/>
      <c r="B58" s="525"/>
      <c r="C58" s="237"/>
      <c r="D58" s="237"/>
      <c r="E58" s="237"/>
      <c r="F58" s="517"/>
      <c r="G58" s="518"/>
      <c r="H58" s="518"/>
      <c r="I58" s="518"/>
      <c r="J58" s="518"/>
      <c r="K58" s="518"/>
      <c r="L58" s="518"/>
      <c r="M58" s="526"/>
      <c r="N58" s="236"/>
      <c r="O58" s="234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/>
      <c r="B59" s="525"/>
      <c r="C59" s="237"/>
      <c r="D59" s="237"/>
      <c r="E59" s="237"/>
      <c r="F59" s="517"/>
      <c r="G59" s="518"/>
      <c r="H59" s="518"/>
      <c r="I59" s="518"/>
      <c r="J59" s="518"/>
      <c r="K59" s="518"/>
      <c r="L59" s="518"/>
      <c r="M59" s="526"/>
      <c r="N59" s="236"/>
      <c r="O59" s="234"/>
      <c r="P59" s="525"/>
      <c r="Q59" s="525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  <c r="AF59" s="87">
        <f>8*3000</f>
        <v>24000</v>
      </c>
    </row>
    <row r="60" spans="1:32" ht="27" customHeight="1" thickBot="1">
      <c r="A60" s="528"/>
      <c r="B60" s="529"/>
      <c r="C60" s="238"/>
      <c r="D60" s="238"/>
      <c r="E60" s="238"/>
      <c r="F60" s="530"/>
      <c r="G60" s="531"/>
      <c r="H60" s="531"/>
      <c r="I60" s="531"/>
      <c r="J60" s="531"/>
      <c r="K60" s="531"/>
      <c r="L60" s="531"/>
      <c r="M60" s="532"/>
      <c r="N60" s="124"/>
      <c r="O60" s="114"/>
      <c r="P60" s="533"/>
      <c r="Q60" s="533"/>
      <c r="R60" s="533"/>
      <c r="S60" s="533"/>
      <c r="T60" s="533"/>
      <c r="U60" s="533"/>
      <c r="V60" s="534"/>
      <c r="W60" s="534"/>
      <c r="X60" s="534"/>
      <c r="Y60" s="534"/>
      <c r="Z60" s="534"/>
      <c r="AA60" s="534"/>
      <c r="AB60" s="534"/>
      <c r="AC60" s="534"/>
      <c r="AD60" s="535"/>
      <c r="AF60" s="87">
        <f>16*3000</f>
        <v>48000</v>
      </c>
    </row>
    <row r="61" spans="1:32" ht="27.75" thickBot="1">
      <c r="A61" s="522" t="s">
        <v>361</v>
      </c>
      <c r="B61" s="522"/>
      <c r="C61" s="522"/>
      <c r="D61" s="522"/>
      <c r="E61" s="522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523" t="s">
        <v>113</v>
      </c>
      <c r="B62" s="515"/>
      <c r="C62" s="235" t="s">
        <v>2</v>
      </c>
      <c r="D62" s="235" t="s">
        <v>37</v>
      </c>
      <c r="E62" s="235" t="s">
        <v>3</v>
      </c>
      <c r="F62" s="515" t="s">
        <v>110</v>
      </c>
      <c r="G62" s="515"/>
      <c r="H62" s="515"/>
      <c r="I62" s="515"/>
      <c r="J62" s="515"/>
      <c r="K62" s="515" t="s">
        <v>39</v>
      </c>
      <c r="L62" s="515"/>
      <c r="M62" s="235" t="s">
        <v>40</v>
      </c>
      <c r="N62" s="515" t="s">
        <v>41</v>
      </c>
      <c r="O62" s="515"/>
      <c r="P62" s="512" t="s">
        <v>42</v>
      </c>
      <c r="Q62" s="514"/>
      <c r="R62" s="512" t="s">
        <v>43</v>
      </c>
      <c r="S62" s="513"/>
      <c r="T62" s="513"/>
      <c r="U62" s="513"/>
      <c r="V62" s="513"/>
      <c r="W62" s="513"/>
      <c r="X62" s="513"/>
      <c r="Y62" s="513"/>
      <c r="Z62" s="513"/>
      <c r="AA62" s="514"/>
      <c r="AB62" s="515" t="s">
        <v>44</v>
      </c>
      <c r="AC62" s="515"/>
      <c r="AD62" s="516"/>
      <c r="AF62" s="87">
        <f>SUM(AF59:AF61)</f>
        <v>96000</v>
      </c>
    </row>
    <row r="63" spans="1:32" ht="25.5" customHeight="1">
      <c r="A63" s="498">
        <v>1</v>
      </c>
      <c r="B63" s="499"/>
      <c r="C63" s="117"/>
      <c r="D63" s="230"/>
      <c r="E63" s="233"/>
      <c r="F63" s="500"/>
      <c r="G63" s="492"/>
      <c r="H63" s="492"/>
      <c r="I63" s="492"/>
      <c r="J63" s="492"/>
      <c r="K63" s="492"/>
      <c r="L63" s="492"/>
      <c r="M63" s="51"/>
      <c r="N63" s="501"/>
      <c r="O63" s="501"/>
      <c r="P63" s="502"/>
      <c r="Q63" s="502"/>
      <c r="R63" s="503"/>
      <c r="S63" s="503"/>
      <c r="T63" s="503"/>
      <c r="U63" s="503"/>
      <c r="V63" s="503"/>
      <c r="W63" s="503"/>
      <c r="X63" s="503"/>
      <c r="Y63" s="503"/>
      <c r="Z63" s="503"/>
      <c r="AA63" s="503"/>
      <c r="AB63" s="507"/>
      <c r="AC63" s="520"/>
      <c r="AD63" s="521"/>
      <c r="AF63" s="50"/>
    </row>
    <row r="64" spans="1:32" ht="25.5" customHeight="1">
      <c r="A64" s="498">
        <v>2</v>
      </c>
      <c r="B64" s="499"/>
      <c r="C64" s="117"/>
      <c r="D64" s="230"/>
      <c r="E64" s="233"/>
      <c r="F64" s="504"/>
      <c r="G64" s="505"/>
      <c r="H64" s="505"/>
      <c r="I64" s="505"/>
      <c r="J64" s="506"/>
      <c r="K64" s="507"/>
      <c r="L64" s="499"/>
      <c r="M64" s="51"/>
      <c r="N64" s="501"/>
      <c r="O64" s="501"/>
      <c r="P64" s="510"/>
      <c r="Q64" s="511"/>
      <c r="R64" s="503"/>
      <c r="S64" s="503"/>
      <c r="T64" s="503"/>
      <c r="U64" s="503"/>
      <c r="V64" s="503"/>
      <c r="W64" s="503"/>
      <c r="X64" s="503"/>
      <c r="Y64" s="503"/>
      <c r="Z64" s="503"/>
      <c r="AA64" s="503"/>
      <c r="AB64" s="492"/>
      <c r="AC64" s="492"/>
      <c r="AD64" s="493"/>
      <c r="AF64" s="50"/>
    </row>
    <row r="65" spans="1:32" ht="25.5" customHeight="1">
      <c r="A65" s="498">
        <v>3</v>
      </c>
      <c r="B65" s="499"/>
      <c r="C65" s="117"/>
      <c r="D65" s="230"/>
      <c r="E65" s="233"/>
      <c r="F65" s="504"/>
      <c r="G65" s="505"/>
      <c r="H65" s="505"/>
      <c r="I65" s="505"/>
      <c r="J65" s="506"/>
      <c r="K65" s="507"/>
      <c r="L65" s="499"/>
      <c r="M65" s="51"/>
      <c r="N65" s="508"/>
      <c r="O65" s="509"/>
      <c r="P65" s="510"/>
      <c r="Q65" s="511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4</v>
      </c>
      <c r="B66" s="499"/>
      <c r="C66" s="117"/>
      <c r="D66" s="230"/>
      <c r="E66" s="233"/>
      <c r="F66" s="504"/>
      <c r="G66" s="505"/>
      <c r="H66" s="505"/>
      <c r="I66" s="505"/>
      <c r="J66" s="506"/>
      <c r="K66" s="507"/>
      <c r="L66" s="499"/>
      <c r="M66" s="51"/>
      <c r="N66" s="508"/>
      <c r="O66" s="509"/>
      <c r="P66" s="510"/>
      <c r="Q66" s="511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5</v>
      </c>
      <c r="B67" s="499"/>
      <c r="C67" s="117"/>
      <c r="D67" s="230"/>
      <c r="E67" s="233"/>
      <c r="F67" s="504"/>
      <c r="G67" s="505"/>
      <c r="H67" s="505"/>
      <c r="I67" s="505"/>
      <c r="J67" s="506"/>
      <c r="K67" s="507"/>
      <c r="L67" s="499"/>
      <c r="M67" s="51"/>
      <c r="N67" s="508"/>
      <c r="O67" s="509"/>
      <c r="P67" s="510"/>
      <c r="Q67" s="511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6</v>
      </c>
      <c r="B68" s="499"/>
      <c r="C68" s="117"/>
      <c r="D68" s="230"/>
      <c r="E68" s="233"/>
      <c r="F68" s="500"/>
      <c r="G68" s="492"/>
      <c r="H68" s="492"/>
      <c r="I68" s="492"/>
      <c r="J68" s="492"/>
      <c r="K68" s="492"/>
      <c r="L68" s="492"/>
      <c r="M68" s="51"/>
      <c r="N68" s="508"/>
      <c r="O68" s="509"/>
      <c r="P68" s="510"/>
      <c r="Q68" s="511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7</v>
      </c>
      <c r="B69" s="499"/>
      <c r="C69" s="117"/>
      <c r="D69" s="230"/>
      <c r="E69" s="233"/>
      <c r="F69" s="500"/>
      <c r="G69" s="492"/>
      <c r="H69" s="492"/>
      <c r="I69" s="492"/>
      <c r="J69" s="492"/>
      <c r="K69" s="492"/>
      <c r="L69" s="492"/>
      <c r="M69" s="51"/>
      <c r="N69" s="508"/>
      <c r="O69" s="509"/>
      <c r="P69" s="510"/>
      <c r="Q69" s="511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8</v>
      </c>
      <c r="B70" s="499"/>
      <c r="C70" s="117"/>
      <c r="D70" s="230"/>
      <c r="E70" s="233"/>
      <c r="F70" s="500"/>
      <c r="G70" s="492"/>
      <c r="H70" s="492"/>
      <c r="I70" s="492"/>
      <c r="J70" s="492"/>
      <c r="K70" s="492"/>
      <c r="L70" s="492"/>
      <c r="M70" s="51"/>
      <c r="N70" s="508"/>
      <c r="O70" s="509"/>
      <c r="P70" s="510"/>
      <c r="Q70" s="511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6.25" customHeight="1" thickBot="1">
      <c r="A71" s="472" t="s">
        <v>362</v>
      </c>
      <c r="B71" s="472"/>
      <c r="C71" s="472"/>
      <c r="D71" s="472"/>
      <c r="E71" s="47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73" t="s">
        <v>113</v>
      </c>
      <c r="B72" s="474"/>
      <c r="C72" s="232" t="s">
        <v>2</v>
      </c>
      <c r="D72" s="232" t="s">
        <v>37</v>
      </c>
      <c r="E72" s="232" t="s">
        <v>3</v>
      </c>
      <c r="F72" s="474" t="s">
        <v>38</v>
      </c>
      <c r="G72" s="474"/>
      <c r="H72" s="474"/>
      <c r="I72" s="474"/>
      <c r="J72" s="474"/>
      <c r="K72" s="494" t="s">
        <v>58</v>
      </c>
      <c r="L72" s="495"/>
      <c r="M72" s="495"/>
      <c r="N72" s="495"/>
      <c r="O72" s="495"/>
      <c r="P72" s="495"/>
      <c r="Q72" s="495"/>
      <c r="R72" s="495"/>
      <c r="S72" s="496"/>
      <c r="T72" s="474" t="s">
        <v>49</v>
      </c>
      <c r="U72" s="474"/>
      <c r="V72" s="494" t="s">
        <v>50</v>
      </c>
      <c r="W72" s="496"/>
      <c r="X72" s="495" t="s">
        <v>51</v>
      </c>
      <c r="Y72" s="495"/>
      <c r="Z72" s="495"/>
      <c r="AA72" s="495"/>
      <c r="AB72" s="495"/>
      <c r="AC72" s="495"/>
      <c r="AD72" s="497"/>
      <c r="AF72" s="50"/>
    </row>
    <row r="73" spans="1:32" ht="33.75" customHeight="1">
      <c r="A73" s="466">
        <v>1</v>
      </c>
      <c r="B73" s="467"/>
      <c r="C73" s="231" t="s">
        <v>114</v>
      </c>
      <c r="D73" s="231"/>
      <c r="E73" s="65" t="s">
        <v>119</v>
      </c>
      <c r="F73" s="481" t="s">
        <v>118</v>
      </c>
      <c r="G73" s="482"/>
      <c r="H73" s="482"/>
      <c r="I73" s="482"/>
      <c r="J73" s="483"/>
      <c r="K73" s="484" t="s">
        <v>130</v>
      </c>
      <c r="L73" s="485"/>
      <c r="M73" s="485"/>
      <c r="N73" s="485"/>
      <c r="O73" s="485"/>
      <c r="P73" s="485"/>
      <c r="Q73" s="485"/>
      <c r="R73" s="485"/>
      <c r="S73" s="486"/>
      <c r="T73" s="487">
        <v>43675</v>
      </c>
      <c r="U73" s="488"/>
      <c r="V73" s="489"/>
      <c r="W73" s="489"/>
      <c r="X73" s="490"/>
      <c r="Y73" s="490"/>
      <c r="Z73" s="490"/>
      <c r="AA73" s="490"/>
      <c r="AB73" s="490"/>
      <c r="AC73" s="490"/>
      <c r="AD73" s="491"/>
      <c r="AF73" s="50"/>
    </row>
    <row r="74" spans="1:32" ht="30" customHeight="1">
      <c r="A74" s="459">
        <f>A73+1</f>
        <v>2</v>
      </c>
      <c r="B74" s="460"/>
      <c r="C74" s="230"/>
      <c r="D74" s="230"/>
      <c r="E74" s="32"/>
      <c r="F74" s="460"/>
      <c r="G74" s="460"/>
      <c r="H74" s="460"/>
      <c r="I74" s="460"/>
      <c r="J74" s="460"/>
      <c r="K74" s="475"/>
      <c r="L74" s="476"/>
      <c r="M74" s="476"/>
      <c r="N74" s="476"/>
      <c r="O74" s="476"/>
      <c r="P74" s="476"/>
      <c r="Q74" s="476"/>
      <c r="R74" s="476"/>
      <c r="S74" s="477"/>
      <c r="T74" s="478"/>
      <c r="U74" s="478"/>
      <c r="V74" s="478"/>
      <c r="W74" s="478"/>
      <c r="X74" s="479"/>
      <c r="Y74" s="479"/>
      <c r="Z74" s="479"/>
      <c r="AA74" s="479"/>
      <c r="AB74" s="479"/>
      <c r="AC74" s="479"/>
      <c r="AD74" s="480"/>
      <c r="AF74" s="50"/>
    </row>
    <row r="75" spans="1:32" ht="30" customHeight="1">
      <c r="A75" s="459">
        <f t="shared" ref="A75:A81" si="13">A74+1</f>
        <v>3</v>
      </c>
      <c r="B75" s="460"/>
      <c r="C75" s="230"/>
      <c r="D75" s="230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si="13"/>
        <v>4</v>
      </c>
      <c r="B76" s="460"/>
      <c r="C76" s="230"/>
      <c r="D76" s="230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13"/>
        <v>5</v>
      </c>
      <c r="B77" s="460"/>
      <c r="C77" s="230"/>
      <c r="D77" s="230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13"/>
        <v>6</v>
      </c>
      <c r="B78" s="460"/>
      <c r="C78" s="230"/>
      <c r="D78" s="230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13"/>
        <v>7</v>
      </c>
      <c r="B79" s="460"/>
      <c r="C79" s="230"/>
      <c r="D79" s="230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13"/>
        <v>8</v>
      </c>
      <c r="B80" s="460"/>
      <c r="C80" s="230"/>
      <c r="D80" s="230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13"/>
        <v>9</v>
      </c>
      <c r="B81" s="460"/>
      <c r="C81" s="230"/>
      <c r="D81" s="230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6" thickBot="1">
      <c r="A82" s="472" t="s">
        <v>363</v>
      </c>
      <c r="B82" s="472"/>
      <c r="C82" s="472"/>
      <c r="D82" s="472"/>
      <c r="E82" s="47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73" t="s">
        <v>113</v>
      </c>
      <c r="B83" s="474"/>
      <c r="C83" s="464" t="s">
        <v>52</v>
      </c>
      <c r="D83" s="464"/>
      <c r="E83" s="464" t="s">
        <v>53</v>
      </c>
      <c r="F83" s="464"/>
      <c r="G83" s="464"/>
      <c r="H83" s="464"/>
      <c r="I83" s="464"/>
      <c r="J83" s="464"/>
      <c r="K83" s="464" t="s">
        <v>54</v>
      </c>
      <c r="L83" s="464"/>
      <c r="M83" s="464"/>
      <c r="N83" s="464"/>
      <c r="O83" s="464"/>
      <c r="P83" s="464"/>
      <c r="Q83" s="464"/>
      <c r="R83" s="464"/>
      <c r="S83" s="464"/>
      <c r="T83" s="464" t="s">
        <v>55</v>
      </c>
      <c r="U83" s="464"/>
      <c r="V83" s="464" t="s">
        <v>56</v>
      </c>
      <c r="W83" s="464"/>
      <c r="X83" s="464"/>
      <c r="Y83" s="464" t="s">
        <v>51</v>
      </c>
      <c r="Z83" s="464"/>
      <c r="AA83" s="464"/>
      <c r="AB83" s="464"/>
      <c r="AC83" s="464"/>
      <c r="AD83" s="465"/>
      <c r="AF83" s="50"/>
    </row>
    <row r="84" spans="1:32" ht="30.75" customHeight="1">
      <c r="A84" s="466">
        <v>1</v>
      </c>
      <c r="B84" s="467"/>
      <c r="C84" s="468"/>
      <c r="D84" s="468"/>
      <c r="E84" s="468"/>
      <c r="F84" s="468"/>
      <c r="G84" s="468"/>
      <c r="H84" s="468"/>
      <c r="I84" s="468"/>
      <c r="J84" s="468"/>
      <c r="K84" s="468"/>
      <c r="L84" s="468"/>
      <c r="M84" s="468"/>
      <c r="N84" s="468"/>
      <c r="O84" s="468"/>
      <c r="P84" s="468"/>
      <c r="Q84" s="468"/>
      <c r="R84" s="468"/>
      <c r="S84" s="468"/>
      <c r="T84" s="468"/>
      <c r="U84" s="468"/>
      <c r="V84" s="469"/>
      <c r="W84" s="469"/>
      <c r="X84" s="469"/>
      <c r="Y84" s="470"/>
      <c r="Z84" s="470"/>
      <c r="AA84" s="470"/>
      <c r="AB84" s="470"/>
      <c r="AC84" s="470"/>
      <c r="AD84" s="471"/>
      <c r="AF84" s="50"/>
    </row>
    <row r="85" spans="1:32" ht="30.75" customHeight="1">
      <c r="A85" s="459">
        <v>2</v>
      </c>
      <c r="B85" s="460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2"/>
      <c r="Z85" s="452"/>
      <c r="AA85" s="452"/>
      <c r="AB85" s="452"/>
      <c r="AC85" s="452"/>
      <c r="AD85" s="453"/>
      <c r="AF85" s="50"/>
    </row>
    <row r="86" spans="1:32" ht="30.75" customHeight="1" thickBot="1">
      <c r="A86" s="454">
        <v>3</v>
      </c>
      <c r="B86" s="455"/>
      <c r="C86" s="456"/>
      <c r="D86" s="456"/>
      <c r="E86" s="456"/>
      <c r="F86" s="456"/>
      <c r="G86" s="456"/>
      <c r="H86" s="456"/>
      <c r="I86" s="456"/>
      <c r="J86" s="456"/>
      <c r="K86" s="456"/>
      <c r="L86" s="456"/>
      <c r="M86" s="456"/>
      <c r="N86" s="456"/>
      <c r="O86" s="456"/>
      <c r="P86" s="456"/>
      <c r="Q86" s="456"/>
      <c r="R86" s="456"/>
      <c r="S86" s="456"/>
      <c r="T86" s="456"/>
      <c r="U86" s="456"/>
      <c r="V86" s="456"/>
      <c r="W86" s="456"/>
      <c r="X86" s="456"/>
      <c r="Y86" s="457"/>
      <c r="Z86" s="457"/>
      <c r="AA86" s="457"/>
      <c r="AB86" s="457"/>
      <c r="AC86" s="457"/>
      <c r="AD86" s="458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B4C7-5C1B-4D1D-AC6D-9B625A096091}"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12.12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364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242" t="s">
        <v>17</v>
      </c>
      <c r="L5" s="242" t="s">
        <v>18</v>
      </c>
      <c r="M5" s="242" t="s">
        <v>19</v>
      </c>
      <c r="N5" s="24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0.43611111111111112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0.43611111111111112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128</v>
      </c>
      <c r="D8" s="52" t="s">
        <v>365</v>
      </c>
      <c r="E8" s="53" t="s">
        <v>353</v>
      </c>
      <c r="F8" s="30" t="s">
        <v>190</v>
      </c>
      <c r="G8" s="33">
        <v>1</v>
      </c>
      <c r="H8" s="35">
        <v>24</v>
      </c>
      <c r="I8" s="7">
        <v>1000</v>
      </c>
      <c r="J8" s="14">
        <v>2483</v>
      </c>
      <c r="K8" s="15">
        <f>L8</f>
        <v>2483</v>
      </c>
      <c r="L8" s="15">
        <f>1654+325+504</f>
        <v>2483</v>
      </c>
      <c r="M8" s="15">
        <f t="shared" si="1"/>
        <v>2483</v>
      </c>
      <c r="N8" s="15">
        <v>0</v>
      </c>
      <c r="O8" s="58">
        <f t="shared" si="2"/>
        <v>0</v>
      </c>
      <c r="P8" s="39">
        <f t="shared" si="3"/>
        <v>13</v>
      </c>
      <c r="Q8" s="40">
        <f t="shared" si="4"/>
        <v>11</v>
      </c>
      <c r="R8" s="7">
        <v>3</v>
      </c>
      <c r="S8" s="6">
        <v>8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0.54166666666666663</v>
      </c>
      <c r="AD8" s="10">
        <f t="shared" si="7"/>
        <v>0.54166666666666663</v>
      </c>
      <c r="AE8" s="36">
        <f t="shared" si="8"/>
        <v>0.43611111111111112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4734</v>
      </c>
      <c r="K9" s="15">
        <f>L9+1036+2500+4639+2951+2392+2902+2784+3566+4110+4299+4289+1910</f>
        <v>42112</v>
      </c>
      <c r="L9" s="15">
        <f>2619+2115</f>
        <v>4734</v>
      </c>
      <c r="M9" s="15">
        <f t="shared" si="1"/>
        <v>4734</v>
      </c>
      <c r="N9" s="15">
        <v>0</v>
      </c>
      <c r="O9" s="58">
        <f t="shared" si="2"/>
        <v>0</v>
      </c>
      <c r="P9" s="39">
        <f t="shared" si="3"/>
        <v>21</v>
      </c>
      <c r="Q9" s="40">
        <f t="shared" si="4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0.875</v>
      </c>
      <c r="AD9" s="10">
        <f t="shared" si="7"/>
        <v>0.875</v>
      </c>
      <c r="AE9" s="36">
        <f t="shared" si="8"/>
        <v>0.43611111111111112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128</v>
      </c>
      <c r="D10" s="52" t="s">
        <v>344</v>
      </c>
      <c r="E10" s="53" t="s">
        <v>345</v>
      </c>
      <c r="F10" s="30" t="s">
        <v>190</v>
      </c>
      <c r="G10" s="33" t="s">
        <v>136</v>
      </c>
      <c r="H10" s="35">
        <v>24</v>
      </c>
      <c r="I10" s="7">
        <v>2000</v>
      </c>
      <c r="J10" s="5">
        <v>516</v>
      </c>
      <c r="K10" s="15">
        <f>L10+2152+1613</f>
        <v>4281</v>
      </c>
      <c r="L10" s="15">
        <v>516</v>
      </c>
      <c r="M10" s="15">
        <f t="shared" si="1"/>
        <v>516</v>
      </c>
      <c r="N10" s="15">
        <v>0</v>
      </c>
      <c r="O10" s="58">
        <f t="shared" si="2"/>
        <v>0</v>
      </c>
      <c r="P10" s="39">
        <f t="shared" si="3"/>
        <v>3</v>
      </c>
      <c r="Q10" s="40">
        <f t="shared" si="4"/>
        <v>21</v>
      </c>
      <c r="R10" s="7"/>
      <c r="S10" s="6"/>
      <c r="T10" s="16"/>
      <c r="U10" s="16"/>
      <c r="V10" s="17"/>
      <c r="W10" s="5">
        <v>21</v>
      </c>
      <c r="X10" s="16"/>
      <c r="Y10" s="16"/>
      <c r="Z10" s="16"/>
      <c r="AA10" s="18"/>
      <c r="AB10" s="8">
        <f t="shared" si="5"/>
        <v>1</v>
      </c>
      <c r="AC10" s="9">
        <f t="shared" si="6"/>
        <v>0.125</v>
      </c>
      <c r="AD10" s="10">
        <f>AC10*AB10*(1-O10)</f>
        <v>0.125</v>
      </c>
      <c r="AE10" s="36">
        <f t="shared" si="8"/>
        <v>0.43611111111111112</v>
      </c>
      <c r="AF10" s="87">
        <f t="shared" si="9"/>
        <v>5</v>
      </c>
    </row>
    <row r="11" spans="1:32" ht="27" customHeight="1">
      <c r="A11" s="103">
        <v>5</v>
      </c>
      <c r="B11" s="11" t="s">
        <v>57</v>
      </c>
      <c r="C11" s="34" t="s">
        <v>124</v>
      </c>
      <c r="D11" s="52" t="s">
        <v>125</v>
      </c>
      <c r="E11" s="53" t="s">
        <v>323</v>
      </c>
      <c r="F11" s="30" t="s">
        <v>141</v>
      </c>
      <c r="G11" s="33">
        <v>1</v>
      </c>
      <c r="H11" s="35">
        <v>24</v>
      </c>
      <c r="I11" s="7">
        <v>8500</v>
      </c>
      <c r="J11" s="5">
        <v>1002</v>
      </c>
      <c r="K11" s="15">
        <f>L11</f>
        <v>1002</v>
      </c>
      <c r="L11" s="15">
        <f>1002</f>
        <v>1002</v>
      </c>
      <c r="M11" s="15">
        <f t="shared" ref="M11" si="10">L11-N11</f>
        <v>1002</v>
      </c>
      <c r="N11" s="15">
        <v>0</v>
      </c>
      <c r="O11" s="58">
        <f t="shared" ref="O11" si="11">IF(L11=0,"0",N11/L11)</f>
        <v>0</v>
      </c>
      <c r="P11" s="39">
        <f t="shared" ref="P11" si="12">IF(L11=0,"0",(24-Q11))</f>
        <v>6</v>
      </c>
      <c r="Q11" s="40">
        <f t="shared" ref="Q11" si="13">SUM(R11:AA11)</f>
        <v>18</v>
      </c>
      <c r="R11" s="7"/>
      <c r="S11" s="6">
        <v>18</v>
      </c>
      <c r="T11" s="16"/>
      <c r="U11" s="16"/>
      <c r="V11" s="17"/>
      <c r="W11" s="5"/>
      <c r="X11" s="16"/>
      <c r="Y11" s="16"/>
      <c r="Z11" s="16"/>
      <c r="AA11" s="18"/>
      <c r="AB11" s="8">
        <f t="shared" ref="AB11" si="14">IF(J11=0,"0",(L11/J11))</f>
        <v>1</v>
      </c>
      <c r="AC11" s="9">
        <f t="shared" ref="AC11" si="15">IF(P11=0,"0",(P11/24))</f>
        <v>0.25</v>
      </c>
      <c r="AD11" s="10">
        <f>AC11*AB11*(1-O11)</f>
        <v>0.25</v>
      </c>
      <c r="AE11" s="36">
        <f t="shared" si="8"/>
        <v>0.43611111111111112</v>
      </c>
      <c r="AF11" s="87">
        <f t="shared" ref="AF11" si="16">A11</f>
        <v>5</v>
      </c>
    </row>
    <row r="12" spans="1:32" ht="27" customHeight="1">
      <c r="A12" s="103">
        <v>6</v>
      </c>
      <c r="B12" s="11" t="s">
        <v>57</v>
      </c>
      <c r="C12" s="34" t="s">
        <v>124</v>
      </c>
      <c r="D12" s="52" t="s">
        <v>183</v>
      </c>
      <c r="E12" s="53" t="s">
        <v>300</v>
      </c>
      <c r="F12" s="30" t="s">
        <v>126</v>
      </c>
      <c r="G12" s="33">
        <v>1</v>
      </c>
      <c r="H12" s="35">
        <v>24</v>
      </c>
      <c r="I12" s="7">
        <v>62000</v>
      </c>
      <c r="J12" s="5">
        <v>3963</v>
      </c>
      <c r="K12" s="15">
        <f>L12+2377+5493+2477</f>
        <v>14310</v>
      </c>
      <c r="L12" s="15">
        <f>1710+2253</f>
        <v>3963</v>
      </c>
      <c r="M12" s="15">
        <f t="shared" si="1"/>
        <v>3963</v>
      </c>
      <c r="N12" s="15">
        <v>0</v>
      </c>
      <c r="O12" s="58">
        <f t="shared" si="2"/>
        <v>0</v>
      </c>
      <c r="P12" s="39">
        <f t="shared" si="3"/>
        <v>19</v>
      </c>
      <c r="Q12" s="40">
        <f t="shared" si="4"/>
        <v>5</v>
      </c>
      <c r="R12" s="7"/>
      <c r="S12" s="6">
        <v>5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0.79166666666666663</v>
      </c>
      <c r="AD12" s="10">
        <f>AC12*AB12*(1-O12)</f>
        <v>0.79166666666666663</v>
      </c>
      <c r="AE12" s="36">
        <f t="shared" si="8"/>
        <v>0.43611111111111112</v>
      </c>
      <c r="AF12" s="87">
        <f t="shared" si="9"/>
        <v>6</v>
      </c>
    </row>
    <row r="13" spans="1:32" ht="27" customHeight="1">
      <c r="A13" s="103">
        <v>7</v>
      </c>
      <c r="B13" s="11" t="s">
        <v>57</v>
      </c>
      <c r="C13" s="11" t="s">
        <v>114</v>
      </c>
      <c r="D13" s="52" t="s">
        <v>117</v>
      </c>
      <c r="E13" s="53" t="s">
        <v>144</v>
      </c>
      <c r="F13" s="30" t="s">
        <v>121</v>
      </c>
      <c r="G13" s="33">
        <v>1</v>
      </c>
      <c r="H13" s="35">
        <v>24</v>
      </c>
      <c r="I13" s="7">
        <v>70000</v>
      </c>
      <c r="J13" s="14">
        <v>2933</v>
      </c>
      <c r="K13" s="15">
        <f>L13+2036+3193+2673+3958+1875+401+3155+4199+2859+2339+1952+1208</f>
        <v>32781</v>
      </c>
      <c r="L13" s="15">
        <f>1153+1780</f>
        <v>2933</v>
      </c>
      <c r="M13" s="15">
        <f t="shared" si="1"/>
        <v>2933</v>
      </c>
      <c r="N13" s="15">
        <v>0</v>
      </c>
      <c r="O13" s="58">
        <f t="shared" si="2"/>
        <v>0</v>
      </c>
      <c r="P13" s="39">
        <f t="shared" si="3"/>
        <v>17</v>
      </c>
      <c r="Q13" s="40">
        <f t="shared" si="4"/>
        <v>7</v>
      </c>
      <c r="R13" s="7"/>
      <c r="S13" s="6">
        <v>7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0.70833333333333337</v>
      </c>
      <c r="AD13" s="10">
        <f t="shared" ref="AD13:AD14" si="17">AC13*AB13*(1-O13)</f>
        <v>0.70833333333333337</v>
      </c>
      <c r="AE13" s="36">
        <f t="shared" si="8"/>
        <v>0.43611111111111112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138</v>
      </c>
      <c r="D14" s="52"/>
      <c r="E14" s="53" t="s">
        <v>327</v>
      </c>
      <c r="F14" s="30" t="s">
        <v>243</v>
      </c>
      <c r="G14" s="33">
        <v>1</v>
      </c>
      <c r="H14" s="35">
        <v>24</v>
      </c>
      <c r="I14" s="7">
        <v>2100</v>
      </c>
      <c r="J14" s="14">
        <v>3208</v>
      </c>
      <c r="K14" s="15">
        <f>L14+774</f>
        <v>3982</v>
      </c>
      <c r="L14" s="15">
        <f>843+2365</f>
        <v>3208</v>
      </c>
      <c r="M14" s="15">
        <f t="shared" si="1"/>
        <v>3208</v>
      </c>
      <c r="N14" s="15">
        <v>0</v>
      </c>
      <c r="O14" s="58">
        <f t="shared" si="2"/>
        <v>0</v>
      </c>
      <c r="P14" s="39">
        <f t="shared" si="3"/>
        <v>16</v>
      </c>
      <c r="Q14" s="40">
        <f t="shared" si="4"/>
        <v>8</v>
      </c>
      <c r="R14" s="7"/>
      <c r="S14" s="6"/>
      <c r="T14" s="16"/>
      <c r="U14" s="16"/>
      <c r="V14" s="17"/>
      <c r="W14" s="5">
        <v>8</v>
      </c>
      <c r="X14" s="16"/>
      <c r="Y14" s="16"/>
      <c r="Z14" s="16"/>
      <c r="AA14" s="18"/>
      <c r="AB14" s="8">
        <f t="shared" si="5"/>
        <v>1</v>
      </c>
      <c r="AC14" s="9">
        <f t="shared" si="6"/>
        <v>0.66666666666666663</v>
      </c>
      <c r="AD14" s="10">
        <f t="shared" si="17"/>
        <v>0.66666666666666663</v>
      </c>
      <c r="AE14" s="36">
        <f t="shared" si="8"/>
        <v>0.43611111111111112</v>
      </c>
      <c r="AF14" s="87">
        <f t="shared" si="9"/>
        <v>8</v>
      </c>
    </row>
    <row r="15" spans="1:32" ht="27" customHeight="1">
      <c r="A15" s="118">
        <v>9</v>
      </c>
      <c r="B15" s="11" t="s">
        <v>57</v>
      </c>
      <c r="C15" s="34" t="s">
        <v>114</v>
      </c>
      <c r="D15" s="52" t="s">
        <v>117</v>
      </c>
      <c r="E15" s="53" t="s">
        <v>258</v>
      </c>
      <c r="F15" s="30" t="s">
        <v>262</v>
      </c>
      <c r="G15" s="33">
        <v>1</v>
      </c>
      <c r="H15" s="35">
        <v>24</v>
      </c>
      <c r="I15" s="7">
        <v>500</v>
      </c>
      <c r="J15" s="5">
        <v>650</v>
      </c>
      <c r="K15" s="15">
        <f>L15+650</f>
        <v>650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0.43611111111111112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128</v>
      </c>
      <c r="D16" s="52"/>
      <c r="E16" s="53" t="s">
        <v>315</v>
      </c>
      <c r="F16" s="12">
        <v>8301</v>
      </c>
      <c r="G16" s="12">
        <v>1</v>
      </c>
      <c r="H16" s="13">
        <v>24</v>
      </c>
      <c r="I16" s="31">
        <v>1000</v>
      </c>
      <c r="J16" s="14">
        <v>1140</v>
      </c>
      <c r="K16" s="15">
        <f>L16+1140</f>
        <v>1140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0.43611111111111112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114</v>
      </c>
      <c r="D17" s="52" t="s">
        <v>125</v>
      </c>
      <c r="E17" s="53" t="s">
        <v>291</v>
      </c>
      <c r="F17" s="30" t="s">
        <v>126</v>
      </c>
      <c r="G17" s="12">
        <v>1</v>
      </c>
      <c r="H17" s="13">
        <v>28</v>
      </c>
      <c r="I17" s="7">
        <v>73000</v>
      </c>
      <c r="J17" s="14">
        <v>2557</v>
      </c>
      <c r="K17" s="15">
        <f>L17+2222+5390+5624+2557</f>
        <v>15793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>
        <v>24</v>
      </c>
      <c r="T17" s="16"/>
      <c r="U17" s="16"/>
      <c r="V17" s="17"/>
      <c r="W17" s="5"/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0.43611111111111112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34" t="s">
        <v>114</v>
      </c>
      <c r="D18" s="52" t="s">
        <v>135</v>
      </c>
      <c r="E18" s="53" t="s">
        <v>238</v>
      </c>
      <c r="F18" s="30" t="s">
        <v>249</v>
      </c>
      <c r="G18" s="33">
        <v>1</v>
      </c>
      <c r="H18" s="35">
        <v>24</v>
      </c>
      <c r="I18" s="7">
        <v>300</v>
      </c>
      <c r="J18" s="5">
        <v>713</v>
      </c>
      <c r="K18" s="15">
        <f>L18+713</f>
        <v>713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0.43611111111111112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122</v>
      </c>
      <c r="E19" s="53" t="s">
        <v>147</v>
      </c>
      <c r="F19" s="30" t="s">
        <v>123</v>
      </c>
      <c r="G19" s="33">
        <v>1</v>
      </c>
      <c r="H19" s="35">
        <v>24</v>
      </c>
      <c r="I19" s="7">
        <v>60000</v>
      </c>
      <c r="J19" s="5">
        <v>4429</v>
      </c>
      <c r="K19" s="15">
        <f>L19+1915+5043+1754</f>
        <v>13141</v>
      </c>
      <c r="L19" s="15">
        <f>2050+2379</f>
        <v>4429</v>
      </c>
      <c r="M19" s="15">
        <f t="shared" si="1"/>
        <v>4429</v>
      </c>
      <c r="N19" s="15">
        <v>0</v>
      </c>
      <c r="O19" s="58">
        <f t="shared" si="2"/>
        <v>0</v>
      </c>
      <c r="P19" s="39">
        <f t="shared" si="3"/>
        <v>21</v>
      </c>
      <c r="Q19" s="40">
        <f t="shared" si="4"/>
        <v>3</v>
      </c>
      <c r="R19" s="7"/>
      <c r="S19" s="6">
        <v>3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0.875</v>
      </c>
      <c r="AD19" s="10">
        <f>AC19*AB19*(1-O19)</f>
        <v>0.875</v>
      </c>
      <c r="AE19" s="36">
        <f t="shared" si="8"/>
        <v>0.43611111111111112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124</v>
      </c>
      <c r="D20" s="52" t="s">
        <v>117</v>
      </c>
      <c r="E20" s="53" t="s">
        <v>360</v>
      </c>
      <c r="F20" s="30" t="s">
        <v>267</v>
      </c>
      <c r="G20" s="33">
        <v>1</v>
      </c>
      <c r="H20" s="35">
        <v>24</v>
      </c>
      <c r="I20" s="7">
        <v>8500</v>
      </c>
      <c r="J20" s="14">
        <v>3961</v>
      </c>
      <c r="K20" s="15">
        <f>L20</f>
        <v>3961</v>
      </c>
      <c r="L20" s="15">
        <f>1796+2165</f>
        <v>3961</v>
      </c>
      <c r="M20" s="15">
        <f t="shared" si="1"/>
        <v>3961</v>
      </c>
      <c r="N20" s="15">
        <v>0</v>
      </c>
      <c r="O20" s="58">
        <f t="shared" si="2"/>
        <v>0</v>
      </c>
      <c r="P20" s="39">
        <f t="shared" si="3"/>
        <v>22</v>
      </c>
      <c r="Q20" s="40">
        <f t="shared" si="4"/>
        <v>2</v>
      </c>
      <c r="R20" s="7"/>
      <c r="S20" s="6"/>
      <c r="T20" s="16">
        <v>2</v>
      </c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0.91666666666666663</v>
      </c>
      <c r="AD20" s="10">
        <f t="shared" si="7"/>
        <v>0.91666666666666663</v>
      </c>
      <c r="AE20" s="36">
        <f t="shared" si="8"/>
        <v>0.43611111111111112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316</v>
      </c>
      <c r="F21" s="12" t="s">
        <v>116</v>
      </c>
      <c r="G21" s="12">
        <v>4</v>
      </c>
      <c r="H21" s="35">
        <v>20</v>
      </c>
      <c r="I21" s="7">
        <v>300000</v>
      </c>
      <c r="J21" s="14">
        <v>21774</v>
      </c>
      <c r="K21" s="15">
        <f>L21+33136</f>
        <v>54910</v>
      </c>
      <c r="L21" s="15">
        <f>8891*2+1996*2</f>
        <v>21774</v>
      </c>
      <c r="M21" s="15">
        <f t="shared" si="1"/>
        <v>21774</v>
      </c>
      <c r="N21" s="15">
        <v>0</v>
      </c>
      <c r="O21" s="58">
        <f t="shared" si="2"/>
        <v>0</v>
      </c>
      <c r="P21" s="39">
        <f t="shared" si="3"/>
        <v>19</v>
      </c>
      <c r="Q21" s="40">
        <f t="shared" si="4"/>
        <v>5</v>
      </c>
      <c r="R21" s="7"/>
      <c r="S21" s="6">
        <v>5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0.79166666666666663</v>
      </c>
      <c r="AD21" s="10">
        <f t="shared" si="7"/>
        <v>0.79166666666666663</v>
      </c>
      <c r="AE21" s="36">
        <f t="shared" si="8"/>
        <v>0.43611111111111112</v>
      </c>
      <c r="AF21" s="87">
        <f t="shared" si="9"/>
        <v>15</v>
      </c>
    </row>
    <row r="22" spans="1:32" ht="31.5" customHeight="1" thickBot="1">
      <c r="A22" s="541" t="s">
        <v>34</v>
      </c>
      <c r="B22" s="542"/>
      <c r="C22" s="542"/>
      <c r="D22" s="542"/>
      <c r="E22" s="542"/>
      <c r="F22" s="542"/>
      <c r="G22" s="542"/>
      <c r="H22" s="543"/>
      <c r="I22" s="22">
        <f t="shared" ref="I22:N22" si="18">SUM(I6:I21)</f>
        <v>679900</v>
      </c>
      <c r="J22" s="19">
        <f t="shared" si="18"/>
        <v>56124</v>
      </c>
      <c r="K22" s="20">
        <f t="shared" si="18"/>
        <v>202807</v>
      </c>
      <c r="L22" s="21">
        <f t="shared" si="18"/>
        <v>49003</v>
      </c>
      <c r="M22" s="20">
        <f t="shared" si="18"/>
        <v>49003</v>
      </c>
      <c r="N22" s="21">
        <f t="shared" si="18"/>
        <v>0</v>
      </c>
      <c r="O22" s="41">
        <f t="shared" si="2"/>
        <v>0</v>
      </c>
      <c r="P22" s="42">
        <f t="shared" ref="P22:AA22" si="19">SUM(P6:P21)</f>
        <v>157</v>
      </c>
      <c r="Q22" s="43">
        <f t="shared" si="19"/>
        <v>227</v>
      </c>
      <c r="R22" s="23">
        <f t="shared" si="19"/>
        <v>27</v>
      </c>
      <c r="S22" s="24">
        <f t="shared" si="19"/>
        <v>73</v>
      </c>
      <c r="T22" s="24">
        <f t="shared" si="19"/>
        <v>2</v>
      </c>
      <c r="U22" s="24">
        <f t="shared" si="19"/>
        <v>0</v>
      </c>
      <c r="V22" s="25">
        <f t="shared" si="19"/>
        <v>24</v>
      </c>
      <c r="W22" s="26">
        <f t="shared" si="19"/>
        <v>101</v>
      </c>
      <c r="X22" s="27">
        <f t="shared" si="19"/>
        <v>0</v>
      </c>
      <c r="Y22" s="27">
        <f t="shared" si="19"/>
        <v>0</v>
      </c>
      <c r="Z22" s="27">
        <f t="shared" si="19"/>
        <v>0</v>
      </c>
      <c r="AA22" s="27">
        <f t="shared" si="19"/>
        <v>0</v>
      </c>
      <c r="AB22" s="28">
        <f>SUM(AB6:AB21)/15</f>
        <v>0.66666666666666663</v>
      </c>
      <c r="AC22" s="4">
        <f>SUM(AC6:AC21)/15</f>
        <v>0.43611111111111112</v>
      </c>
      <c r="AD22" s="4">
        <f>SUM(AD6:AD21)/15</f>
        <v>0.43611111111111112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44" t="s">
        <v>45</v>
      </c>
      <c r="B49" s="544"/>
      <c r="C49" s="544"/>
      <c r="D49" s="544"/>
      <c r="E49" s="544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45" t="s">
        <v>366</v>
      </c>
      <c r="B50" s="546"/>
      <c r="C50" s="546"/>
      <c r="D50" s="546"/>
      <c r="E50" s="546"/>
      <c r="F50" s="546"/>
      <c r="G50" s="546"/>
      <c r="H50" s="546"/>
      <c r="I50" s="546"/>
      <c r="J50" s="546"/>
      <c r="K50" s="546"/>
      <c r="L50" s="546"/>
      <c r="M50" s="547"/>
      <c r="N50" s="548" t="s">
        <v>372</v>
      </c>
      <c r="O50" s="549"/>
      <c r="P50" s="549"/>
      <c r="Q50" s="549"/>
      <c r="R50" s="549"/>
      <c r="S50" s="549"/>
      <c r="T50" s="549"/>
      <c r="U50" s="549"/>
      <c r="V50" s="549"/>
      <c r="W50" s="549"/>
      <c r="X50" s="549"/>
      <c r="Y50" s="549"/>
      <c r="Z50" s="549"/>
      <c r="AA50" s="549"/>
      <c r="AB50" s="549"/>
      <c r="AC50" s="549"/>
      <c r="AD50" s="550"/>
    </row>
    <row r="51" spans="1:32" ht="27" customHeight="1">
      <c r="A51" s="551" t="s">
        <v>2</v>
      </c>
      <c r="B51" s="552"/>
      <c r="C51" s="243" t="s">
        <v>46</v>
      </c>
      <c r="D51" s="243" t="s">
        <v>47</v>
      </c>
      <c r="E51" s="243" t="s">
        <v>108</v>
      </c>
      <c r="F51" s="552" t="s">
        <v>107</v>
      </c>
      <c r="G51" s="552"/>
      <c r="H51" s="552"/>
      <c r="I51" s="552"/>
      <c r="J51" s="552"/>
      <c r="K51" s="552"/>
      <c r="L51" s="552"/>
      <c r="M51" s="553"/>
      <c r="N51" s="67" t="s">
        <v>112</v>
      </c>
      <c r="O51" s="243" t="s">
        <v>46</v>
      </c>
      <c r="P51" s="554" t="s">
        <v>47</v>
      </c>
      <c r="Q51" s="555"/>
      <c r="R51" s="554" t="s">
        <v>38</v>
      </c>
      <c r="S51" s="556"/>
      <c r="T51" s="556"/>
      <c r="U51" s="555"/>
      <c r="V51" s="554" t="s">
        <v>48</v>
      </c>
      <c r="W51" s="556"/>
      <c r="X51" s="556"/>
      <c r="Y51" s="556"/>
      <c r="Z51" s="556"/>
      <c r="AA51" s="556"/>
      <c r="AB51" s="556"/>
      <c r="AC51" s="556"/>
      <c r="AD51" s="557"/>
    </row>
    <row r="52" spans="1:32" ht="27" customHeight="1">
      <c r="A52" s="524" t="s">
        <v>128</v>
      </c>
      <c r="B52" s="525"/>
      <c r="C52" s="245" t="s">
        <v>170</v>
      </c>
      <c r="D52" s="245" t="s">
        <v>365</v>
      </c>
      <c r="E52" s="245" t="s">
        <v>353</v>
      </c>
      <c r="F52" s="517" t="s">
        <v>120</v>
      </c>
      <c r="G52" s="518"/>
      <c r="H52" s="518"/>
      <c r="I52" s="518"/>
      <c r="J52" s="518"/>
      <c r="K52" s="518"/>
      <c r="L52" s="518"/>
      <c r="M52" s="526"/>
      <c r="N52" s="244" t="s">
        <v>124</v>
      </c>
      <c r="O52" s="249" t="s">
        <v>155</v>
      </c>
      <c r="P52" s="536" t="s">
        <v>125</v>
      </c>
      <c r="Q52" s="537"/>
      <c r="R52" s="536" t="s">
        <v>323</v>
      </c>
      <c r="S52" s="538"/>
      <c r="T52" s="538"/>
      <c r="U52" s="537"/>
      <c r="V52" s="503" t="s">
        <v>157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114</v>
      </c>
      <c r="B53" s="525"/>
      <c r="C53" s="245" t="s">
        <v>131</v>
      </c>
      <c r="D53" s="245" t="s">
        <v>142</v>
      </c>
      <c r="E53" s="245" t="s">
        <v>145</v>
      </c>
      <c r="F53" s="517" t="s">
        <v>299</v>
      </c>
      <c r="G53" s="518"/>
      <c r="H53" s="518"/>
      <c r="I53" s="518"/>
      <c r="J53" s="518"/>
      <c r="K53" s="518"/>
      <c r="L53" s="518"/>
      <c r="M53" s="526"/>
      <c r="N53" s="244" t="s">
        <v>114</v>
      </c>
      <c r="O53" s="249" t="s">
        <v>295</v>
      </c>
      <c r="P53" s="536" t="s">
        <v>125</v>
      </c>
      <c r="Q53" s="537"/>
      <c r="R53" s="536" t="s">
        <v>291</v>
      </c>
      <c r="S53" s="538"/>
      <c r="T53" s="538"/>
      <c r="U53" s="537"/>
      <c r="V53" s="503" t="s">
        <v>157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124</v>
      </c>
      <c r="B54" s="525"/>
      <c r="C54" s="245" t="s">
        <v>155</v>
      </c>
      <c r="D54" s="245" t="s">
        <v>125</v>
      </c>
      <c r="E54" s="245" t="s">
        <v>323</v>
      </c>
      <c r="F54" s="517" t="s">
        <v>367</v>
      </c>
      <c r="G54" s="518"/>
      <c r="H54" s="518"/>
      <c r="I54" s="518"/>
      <c r="J54" s="518"/>
      <c r="K54" s="518"/>
      <c r="L54" s="518"/>
      <c r="M54" s="526"/>
      <c r="N54" s="244" t="s">
        <v>114</v>
      </c>
      <c r="O54" s="249" t="s">
        <v>170</v>
      </c>
      <c r="P54" s="536" t="s">
        <v>119</v>
      </c>
      <c r="Q54" s="537"/>
      <c r="R54" s="525" t="s">
        <v>373</v>
      </c>
      <c r="S54" s="525"/>
      <c r="T54" s="525"/>
      <c r="U54" s="525"/>
      <c r="V54" s="503" t="s">
        <v>120</v>
      </c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124</v>
      </c>
      <c r="B55" s="525"/>
      <c r="C55" s="245" t="s">
        <v>132</v>
      </c>
      <c r="D55" s="245" t="s">
        <v>183</v>
      </c>
      <c r="E55" s="245" t="s">
        <v>300</v>
      </c>
      <c r="F55" s="517" t="s">
        <v>368</v>
      </c>
      <c r="G55" s="518"/>
      <c r="H55" s="518"/>
      <c r="I55" s="518"/>
      <c r="J55" s="518"/>
      <c r="K55" s="518"/>
      <c r="L55" s="518"/>
      <c r="M55" s="526"/>
      <c r="N55" s="244" t="s">
        <v>124</v>
      </c>
      <c r="O55" s="249" t="s">
        <v>171</v>
      </c>
      <c r="P55" s="536" t="s">
        <v>117</v>
      </c>
      <c r="Q55" s="537"/>
      <c r="R55" s="525" t="s">
        <v>360</v>
      </c>
      <c r="S55" s="525"/>
      <c r="T55" s="525"/>
      <c r="U55" s="525"/>
      <c r="V55" s="503" t="s">
        <v>120</v>
      </c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 t="s">
        <v>114</v>
      </c>
      <c r="B56" s="525"/>
      <c r="C56" s="245" t="s">
        <v>150</v>
      </c>
      <c r="D56" s="245" t="s">
        <v>117</v>
      </c>
      <c r="E56" s="245" t="s">
        <v>144</v>
      </c>
      <c r="F56" s="517" t="s">
        <v>369</v>
      </c>
      <c r="G56" s="518"/>
      <c r="H56" s="518"/>
      <c r="I56" s="518"/>
      <c r="J56" s="518"/>
      <c r="K56" s="518"/>
      <c r="L56" s="518"/>
      <c r="M56" s="526"/>
      <c r="N56" s="244" t="s">
        <v>128</v>
      </c>
      <c r="O56" s="249" t="s">
        <v>217</v>
      </c>
      <c r="P56" s="536" t="s">
        <v>135</v>
      </c>
      <c r="Q56" s="537"/>
      <c r="R56" s="536" t="s">
        <v>374</v>
      </c>
      <c r="S56" s="538"/>
      <c r="T56" s="538"/>
      <c r="U56" s="537"/>
      <c r="V56" s="503" t="s">
        <v>120</v>
      </c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 t="s">
        <v>114</v>
      </c>
      <c r="B57" s="525"/>
      <c r="C57" s="245" t="s">
        <v>234</v>
      </c>
      <c r="D57" s="245" t="s">
        <v>122</v>
      </c>
      <c r="E57" s="245" t="s">
        <v>147</v>
      </c>
      <c r="F57" s="517" t="s">
        <v>209</v>
      </c>
      <c r="G57" s="518"/>
      <c r="H57" s="518"/>
      <c r="I57" s="518"/>
      <c r="J57" s="518"/>
      <c r="K57" s="518"/>
      <c r="L57" s="518"/>
      <c r="M57" s="526"/>
      <c r="N57" s="244"/>
      <c r="O57" s="249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 t="s">
        <v>124</v>
      </c>
      <c r="B58" s="525"/>
      <c r="C58" s="245" t="s">
        <v>171</v>
      </c>
      <c r="D58" s="245" t="s">
        <v>117</v>
      </c>
      <c r="E58" s="245" t="s">
        <v>360</v>
      </c>
      <c r="F58" s="517" t="s">
        <v>120</v>
      </c>
      <c r="G58" s="518"/>
      <c r="H58" s="518"/>
      <c r="I58" s="518"/>
      <c r="J58" s="518"/>
      <c r="K58" s="518"/>
      <c r="L58" s="518"/>
      <c r="M58" s="526"/>
      <c r="N58" s="244"/>
      <c r="O58" s="249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 t="s">
        <v>115</v>
      </c>
      <c r="B59" s="525"/>
      <c r="C59" s="245" t="s">
        <v>371</v>
      </c>
      <c r="D59" s="245"/>
      <c r="E59" s="245" t="s">
        <v>316</v>
      </c>
      <c r="F59" s="517" t="s">
        <v>370</v>
      </c>
      <c r="G59" s="518"/>
      <c r="H59" s="518"/>
      <c r="I59" s="518"/>
      <c r="J59" s="518"/>
      <c r="K59" s="518"/>
      <c r="L59" s="518"/>
      <c r="M59" s="526"/>
      <c r="N59" s="244"/>
      <c r="O59" s="249"/>
      <c r="P59" s="536"/>
      <c r="Q59" s="537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</row>
    <row r="60" spans="1:32" ht="27" customHeight="1">
      <c r="A60" s="524"/>
      <c r="B60" s="525"/>
      <c r="C60" s="245"/>
      <c r="D60" s="245"/>
      <c r="E60" s="245"/>
      <c r="F60" s="517"/>
      <c r="G60" s="518"/>
      <c r="H60" s="518"/>
      <c r="I60" s="518"/>
      <c r="J60" s="518"/>
      <c r="K60" s="518"/>
      <c r="L60" s="518"/>
      <c r="M60" s="526"/>
      <c r="N60" s="244"/>
      <c r="O60" s="249"/>
      <c r="P60" s="525"/>
      <c r="Q60" s="525"/>
      <c r="R60" s="525"/>
      <c r="S60" s="525"/>
      <c r="T60" s="525"/>
      <c r="U60" s="525"/>
      <c r="V60" s="503"/>
      <c r="W60" s="503"/>
      <c r="X60" s="503"/>
      <c r="Y60" s="503"/>
      <c r="Z60" s="503"/>
      <c r="AA60" s="503"/>
      <c r="AB60" s="503"/>
      <c r="AC60" s="503"/>
      <c r="AD60" s="527"/>
      <c r="AF60" s="87">
        <f>8*3000</f>
        <v>24000</v>
      </c>
    </row>
    <row r="61" spans="1:32" ht="27" customHeight="1" thickBot="1">
      <c r="A61" s="528"/>
      <c r="B61" s="529"/>
      <c r="C61" s="246"/>
      <c r="D61" s="246"/>
      <c r="E61" s="246"/>
      <c r="F61" s="530"/>
      <c r="G61" s="531"/>
      <c r="H61" s="531"/>
      <c r="I61" s="531"/>
      <c r="J61" s="531"/>
      <c r="K61" s="531"/>
      <c r="L61" s="531"/>
      <c r="M61" s="532"/>
      <c r="N61" s="124"/>
      <c r="O61" s="114"/>
      <c r="P61" s="533"/>
      <c r="Q61" s="533"/>
      <c r="R61" s="533"/>
      <c r="S61" s="533"/>
      <c r="T61" s="533"/>
      <c r="U61" s="533"/>
      <c r="V61" s="534"/>
      <c r="W61" s="534"/>
      <c r="X61" s="534"/>
      <c r="Y61" s="534"/>
      <c r="Z61" s="534"/>
      <c r="AA61" s="534"/>
      <c r="AB61" s="534"/>
      <c r="AC61" s="534"/>
      <c r="AD61" s="535"/>
      <c r="AF61" s="87">
        <f>16*3000</f>
        <v>48000</v>
      </c>
    </row>
    <row r="62" spans="1:32" ht="27.75" thickBot="1">
      <c r="A62" s="522" t="s">
        <v>375</v>
      </c>
      <c r="B62" s="522"/>
      <c r="C62" s="522"/>
      <c r="D62" s="522"/>
      <c r="E62" s="52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523" t="s">
        <v>113</v>
      </c>
      <c r="B63" s="515"/>
      <c r="C63" s="247" t="s">
        <v>2</v>
      </c>
      <c r="D63" s="247" t="s">
        <v>37</v>
      </c>
      <c r="E63" s="247" t="s">
        <v>3</v>
      </c>
      <c r="F63" s="515" t="s">
        <v>110</v>
      </c>
      <c r="G63" s="515"/>
      <c r="H63" s="515"/>
      <c r="I63" s="515"/>
      <c r="J63" s="515"/>
      <c r="K63" s="515" t="s">
        <v>39</v>
      </c>
      <c r="L63" s="515"/>
      <c r="M63" s="247" t="s">
        <v>40</v>
      </c>
      <c r="N63" s="515" t="s">
        <v>41</v>
      </c>
      <c r="O63" s="515"/>
      <c r="P63" s="512" t="s">
        <v>42</v>
      </c>
      <c r="Q63" s="514"/>
      <c r="R63" s="512" t="s">
        <v>43</v>
      </c>
      <c r="S63" s="513"/>
      <c r="T63" s="513"/>
      <c r="U63" s="513"/>
      <c r="V63" s="513"/>
      <c r="W63" s="513"/>
      <c r="X63" s="513"/>
      <c r="Y63" s="513"/>
      <c r="Z63" s="513"/>
      <c r="AA63" s="514"/>
      <c r="AB63" s="515" t="s">
        <v>44</v>
      </c>
      <c r="AC63" s="515"/>
      <c r="AD63" s="516"/>
      <c r="AF63" s="87">
        <f>SUM(AF60:AF62)</f>
        <v>96000</v>
      </c>
    </row>
    <row r="64" spans="1:32" ht="25.5" customHeight="1">
      <c r="A64" s="498">
        <v>1</v>
      </c>
      <c r="B64" s="499"/>
      <c r="C64" s="117"/>
      <c r="D64" s="251"/>
      <c r="E64" s="248"/>
      <c r="F64" s="500"/>
      <c r="G64" s="492"/>
      <c r="H64" s="492"/>
      <c r="I64" s="492"/>
      <c r="J64" s="492"/>
      <c r="K64" s="492"/>
      <c r="L64" s="492"/>
      <c r="M64" s="51"/>
      <c r="N64" s="501"/>
      <c r="O64" s="501"/>
      <c r="P64" s="502"/>
      <c r="Q64" s="502"/>
      <c r="R64" s="503"/>
      <c r="S64" s="503"/>
      <c r="T64" s="503"/>
      <c r="U64" s="503"/>
      <c r="V64" s="503"/>
      <c r="W64" s="503"/>
      <c r="X64" s="503"/>
      <c r="Y64" s="503"/>
      <c r="Z64" s="503"/>
      <c r="AA64" s="503"/>
      <c r="AB64" s="507"/>
      <c r="AC64" s="520"/>
      <c r="AD64" s="521"/>
      <c r="AF64" s="50"/>
    </row>
    <row r="65" spans="1:32" ht="25.5" customHeight="1">
      <c r="A65" s="498">
        <v>2</v>
      </c>
      <c r="B65" s="499"/>
      <c r="C65" s="117"/>
      <c r="D65" s="251"/>
      <c r="E65" s="248"/>
      <c r="F65" s="504"/>
      <c r="G65" s="505"/>
      <c r="H65" s="505"/>
      <c r="I65" s="505"/>
      <c r="J65" s="506"/>
      <c r="K65" s="507"/>
      <c r="L65" s="499"/>
      <c r="M65" s="51"/>
      <c r="N65" s="501"/>
      <c r="O65" s="501"/>
      <c r="P65" s="510"/>
      <c r="Q65" s="511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3</v>
      </c>
      <c r="B66" s="499"/>
      <c r="C66" s="117"/>
      <c r="D66" s="251"/>
      <c r="E66" s="248"/>
      <c r="F66" s="504"/>
      <c r="G66" s="505"/>
      <c r="H66" s="505"/>
      <c r="I66" s="505"/>
      <c r="J66" s="506"/>
      <c r="K66" s="507"/>
      <c r="L66" s="499"/>
      <c r="M66" s="51"/>
      <c r="N66" s="508"/>
      <c r="O66" s="509"/>
      <c r="P66" s="510"/>
      <c r="Q66" s="511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4</v>
      </c>
      <c r="B67" s="499"/>
      <c r="C67" s="117"/>
      <c r="D67" s="251"/>
      <c r="E67" s="248"/>
      <c r="F67" s="504"/>
      <c r="G67" s="505"/>
      <c r="H67" s="505"/>
      <c r="I67" s="505"/>
      <c r="J67" s="506"/>
      <c r="K67" s="507"/>
      <c r="L67" s="499"/>
      <c r="M67" s="51"/>
      <c r="N67" s="508"/>
      <c r="O67" s="509"/>
      <c r="P67" s="510"/>
      <c r="Q67" s="511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5</v>
      </c>
      <c r="B68" s="499"/>
      <c r="C68" s="117"/>
      <c r="D68" s="251"/>
      <c r="E68" s="248"/>
      <c r="F68" s="504"/>
      <c r="G68" s="505"/>
      <c r="H68" s="505"/>
      <c r="I68" s="505"/>
      <c r="J68" s="506"/>
      <c r="K68" s="507"/>
      <c r="L68" s="499"/>
      <c r="M68" s="51"/>
      <c r="N68" s="508"/>
      <c r="O68" s="509"/>
      <c r="P68" s="510"/>
      <c r="Q68" s="511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6</v>
      </c>
      <c r="B69" s="499"/>
      <c r="C69" s="117"/>
      <c r="D69" s="251"/>
      <c r="E69" s="248"/>
      <c r="F69" s="500"/>
      <c r="G69" s="492"/>
      <c r="H69" s="492"/>
      <c r="I69" s="492"/>
      <c r="J69" s="492"/>
      <c r="K69" s="492"/>
      <c r="L69" s="492"/>
      <c r="M69" s="51"/>
      <c r="N69" s="508"/>
      <c r="O69" s="509"/>
      <c r="P69" s="510"/>
      <c r="Q69" s="511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7</v>
      </c>
      <c r="B70" s="499"/>
      <c r="C70" s="117"/>
      <c r="D70" s="251"/>
      <c r="E70" s="248"/>
      <c r="F70" s="500"/>
      <c r="G70" s="492"/>
      <c r="H70" s="492"/>
      <c r="I70" s="492"/>
      <c r="J70" s="492"/>
      <c r="K70" s="492"/>
      <c r="L70" s="492"/>
      <c r="M70" s="51"/>
      <c r="N70" s="508"/>
      <c r="O70" s="509"/>
      <c r="P70" s="510"/>
      <c r="Q70" s="511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5.5" customHeight="1">
      <c r="A71" s="498">
        <v>8</v>
      </c>
      <c r="B71" s="499"/>
      <c r="C71" s="117"/>
      <c r="D71" s="251"/>
      <c r="E71" s="248"/>
      <c r="F71" s="500"/>
      <c r="G71" s="492"/>
      <c r="H71" s="492"/>
      <c r="I71" s="492"/>
      <c r="J71" s="492"/>
      <c r="K71" s="492"/>
      <c r="L71" s="492"/>
      <c r="M71" s="51"/>
      <c r="N71" s="508"/>
      <c r="O71" s="509"/>
      <c r="P71" s="510"/>
      <c r="Q71" s="511"/>
      <c r="R71" s="503"/>
      <c r="S71" s="503"/>
      <c r="T71" s="503"/>
      <c r="U71" s="503"/>
      <c r="V71" s="503"/>
      <c r="W71" s="503"/>
      <c r="X71" s="503"/>
      <c r="Y71" s="503"/>
      <c r="Z71" s="503"/>
      <c r="AA71" s="503"/>
      <c r="AB71" s="492"/>
      <c r="AC71" s="492"/>
      <c r="AD71" s="493"/>
      <c r="AF71" s="50"/>
    </row>
    <row r="72" spans="1:32" ht="26.25" customHeight="1" thickBot="1">
      <c r="A72" s="472" t="s">
        <v>376</v>
      </c>
      <c r="B72" s="472"/>
      <c r="C72" s="472"/>
      <c r="D72" s="472"/>
      <c r="E72" s="472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73" t="s">
        <v>113</v>
      </c>
      <c r="B73" s="474"/>
      <c r="C73" s="250" t="s">
        <v>2</v>
      </c>
      <c r="D73" s="250" t="s">
        <v>37</v>
      </c>
      <c r="E73" s="250" t="s">
        <v>3</v>
      </c>
      <c r="F73" s="474" t="s">
        <v>38</v>
      </c>
      <c r="G73" s="474"/>
      <c r="H73" s="474"/>
      <c r="I73" s="474"/>
      <c r="J73" s="474"/>
      <c r="K73" s="494" t="s">
        <v>58</v>
      </c>
      <c r="L73" s="495"/>
      <c r="M73" s="495"/>
      <c r="N73" s="495"/>
      <c r="O73" s="495"/>
      <c r="P73" s="495"/>
      <c r="Q73" s="495"/>
      <c r="R73" s="495"/>
      <c r="S73" s="496"/>
      <c r="T73" s="474" t="s">
        <v>49</v>
      </c>
      <c r="U73" s="474"/>
      <c r="V73" s="494" t="s">
        <v>50</v>
      </c>
      <c r="W73" s="496"/>
      <c r="X73" s="495" t="s">
        <v>51</v>
      </c>
      <c r="Y73" s="495"/>
      <c r="Z73" s="495"/>
      <c r="AA73" s="495"/>
      <c r="AB73" s="495"/>
      <c r="AC73" s="495"/>
      <c r="AD73" s="497"/>
      <c r="AF73" s="50"/>
    </row>
    <row r="74" spans="1:32" ht="33.75" customHeight="1">
      <c r="A74" s="466">
        <v>1</v>
      </c>
      <c r="B74" s="467"/>
      <c r="C74" s="252" t="s">
        <v>114</v>
      </c>
      <c r="D74" s="252"/>
      <c r="E74" s="65" t="s">
        <v>119</v>
      </c>
      <c r="F74" s="481" t="s">
        <v>118</v>
      </c>
      <c r="G74" s="482"/>
      <c r="H74" s="482"/>
      <c r="I74" s="482"/>
      <c r="J74" s="483"/>
      <c r="K74" s="484" t="s">
        <v>130</v>
      </c>
      <c r="L74" s="485"/>
      <c r="M74" s="485"/>
      <c r="N74" s="485"/>
      <c r="O74" s="485"/>
      <c r="P74" s="485"/>
      <c r="Q74" s="485"/>
      <c r="R74" s="485"/>
      <c r="S74" s="486"/>
      <c r="T74" s="487">
        <v>43675</v>
      </c>
      <c r="U74" s="488"/>
      <c r="V74" s="489"/>
      <c r="W74" s="489"/>
      <c r="X74" s="490"/>
      <c r="Y74" s="490"/>
      <c r="Z74" s="490"/>
      <c r="AA74" s="490"/>
      <c r="AB74" s="490"/>
      <c r="AC74" s="490"/>
      <c r="AD74" s="491"/>
      <c r="AF74" s="50"/>
    </row>
    <row r="75" spans="1:32" ht="30" customHeight="1">
      <c r="A75" s="459">
        <f>A74+1</f>
        <v>2</v>
      </c>
      <c r="B75" s="460"/>
      <c r="C75" s="251"/>
      <c r="D75" s="251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ref="A76:A82" si="20">A75+1</f>
        <v>3</v>
      </c>
      <c r="B76" s="460"/>
      <c r="C76" s="251"/>
      <c r="D76" s="251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20"/>
        <v>4</v>
      </c>
      <c r="B77" s="460"/>
      <c r="C77" s="251"/>
      <c r="D77" s="251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20"/>
        <v>5</v>
      </c>
      <c r="B78" s="460"/>
      <c r="C78" s="251"/>
      <c r="D78" s="251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20"/>
        <v>6</v>
      </c>
      <c r="B79" s="460"/>
      <c r="C79" s="251"/>
      <c r="D79" s="251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20"/>
        <v>7</v>
      </c>
      <c r="B80" s="460"/>
      <c r="C80" s="251"/>
      <c r="D80" s="251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20"/>
        <v>8</v>
      </c>
      <c r="B81" s="460"/>
      <c r="C81" s="251"/>
      <c r="D81" s="251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0" customHeight="1">
      <c r="A82" s="459">
        <f t="shared" si="20"/>
        <v>9</v>
      </c>
      <c r="B82" s="460"/>
      <c r="C82" s="251"/>
      <c r="D82" s="251"/>
      <c r="E82" s="32"/>
      <c r="F82" s="460"/>
      <c r="G82" s="460"/>
      <c r="H82" s="460"/>
      <c r="I82" s="460"/>
      <c r="J82" s="460"/>
      <c r="K82" s="475"/>
      <c r="L82" s="476"/>
      <c r="M82" s="476"/>
      <c r="N82" s="476"/>
      <c r="O82" s="476"/>
      <c r="P82" s="476"/>
      <c r="Q82" s="476"/>
      <c r="R82" s="476"/>
      <c r="S82" s="477"/>
      <c r="T82" s="478"/>
      <c r="U82" s="478"/>
      <c r="V82" s="478"/>
      <c r="W82" s="478"/>
      <c r="X82" s="479"/>
      <c r="Y82" s="479"/>
      <c r="Z82" s="479"/>
      <c r="AA82" s="479"/>
      <c r="AB82" s="479"/>
      <c r="AC82" s="479"/>
      <c r="AD82" s="480"/>
      <c r="AF82" s="50"/>
    </row>
    <row r="83" spans="1:32" ht="36" thickBot="1">
      <c r="A83" s="472" t="s">
        <v>377</v>
      </c>
      <c r="B83" s="472"/>
      <c r="C83" s="472"/>
      <c r="D83" s="472"/>
      <c r="E83" s="472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3" t="s">
        <v>113</v>
      </c>
      <c r="B84" s="474"/>
      <c r="C84" s="464" t="s">
        <v>52</v>
      </c>
      <c r="D84" s="464"/>
      <c r="E84" s="464" t="s">
        <v>53</v>
      </c>
      <c r="F84" s="464"/>
      <c r="G84" s="464"/>
      <c r="H84" s="464"/>
      <c r="I84" s="464"/>
      <c r="J84" s="464"/>
      <c r="K84" s="464" t="s">
        <v>54</v>
      </c>
      <c r="L84" s="464"/>
      <c r="M84" s="464"/>
      <c r="N84" s="464"/>
      <c r="O84" s="464"/>
      <c r="P84" s="464"/>
      <c r="Q84" s="464"/>
      <c r="R84" s="464"/>
      <c r="S84" s="464"/>
      <c r="T84" s="464" t="s">
        <v>55</v>
      </c>
      <c r="U84" s="464"/>
      <c r="V84" s="464" t="s">
        <v>56</v>
      </c>
      <c r="W84" s="464"/>
      <c r="X84" s="464"/>
      <c r="Y84" s="464" t="s">
        <v>51</v>
      </c>
      <c r="Z84" s="464"/>
      <c r="AA84" s="464"/>
      <c r="AB84" s="464"/>
      <c r="AC84" s="464"/>
      <c r="AD84" s="465"/>
      <c r="AF84" s="50"/>
    </row>
    <row r="85" spans="1:32" ht="30.75" customHeight="1">
      <c r="A85" s="466">
        <v>1</v>
      </c>
      <c r="B85" s="467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8"/>
      <c r="U85" s="468"/>
      <c r="V85" s="469"/>
      <c r="W85" s="469"/>
      <c r="X85" s="469"/>
      <c r="Y85" s="470"/>
      <c r="Z85" s="470"/>
      <c r="AA85" s="470"/>
      <c r="AB85" s="470"/>
      <c r="AC85" s="470"/>
      <c r="AD85" s="471"/>
      <c r="AF85" s="50"/>
    </row>
    <row r="86" spans="1:32" ht="30.75" customHeight="1">
      <c r="A86" s="459">
        <v>2</v>
      </c>
      <c r="B86" s="460"/>
      <c r="C86" s="461"/>
      <c r="D86" s="461"/>
      <c r="E86" s="461"/>
      <c r="F86" s="461"/>
      <c r="G86" s="461"/>
      <c r="H86" s="461"/>
      <c r="I86" s="461"/>
      <c r="J86" s="461"/>
      <c r="K86" s="461"/>
      <c r="L86" s="461"/>
      <c r="M86" s="461"/>
      <c r="N86" s="461"/>
      <c r="O86" s="461"/>
      <c r="P86" s="461"/>
      <c r="Q86" s="461"/>
      <c r="R86" s="461"/>
      <c r="S86" s="461"/>
      <c r="T86" s="462"/>
      <c r="U86" s="462"/>
      <c r="V86" s="463"/>
      <c r="W86" s="463"/>
      <c r="X86" s="463"/>
      <c r="Y86" s="452"/>
      <c r="Z86" s="452"/>
      <c r="AA86" s="452"/>
      <c r="AB86" s="452"/>
      <c r="AC86" s="452"/>
      <c r="AD86" s="453"/>
      <c r="AF86" s="50"/>
    </row>
    <row r="87" spans="1:32" ht="30.75" customHeight="1" thickBot="1">
      <c r="A87" s="454">
        <v>3</v>
      </c>
      <c r="B87" s="455"/>
      <c r="C87" s="456"/>
      <c r="D87" s="456"/>
      <c r="E87" s="456"/>
      <c r="F87" s="456"/>
      <c r="G87" s="456"/>
      <c r="H87" s="456"/>
      <c r="I87" s="456"/>
      <c r="J87" s="456"/>
      <c r="K87" s="456"/>
      <c r="L87" s="456"/>
      <c r="M87" s="456"/>
      <c r="N87" s="456"/>
      <c r="O87" s="456"/>
      <c r="P87" s="456"/>
      <c r="Q87" s="456"/>
      <c r="R87" s="456"/>
      <c r="S87" s="456"/>
      <c r="T87" s="456"/>
      <c r="U87" s="456"/>
      <c r="V87" s="456"/>
      <c r="W87" s="456"/>
      <c r="X87" s="456"/>
      <c r="Y87" s="457"/>
      <c r="Z87" s="457"/>
      <c r="AA87" s="457"/>
      <c r="AB87" s="457"/>
      <c r="AC87" s="457"/>
      <c r="AD87" s="458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9548-2104-4131-98B2-761BFDDC3207}">
  <dimension ref="A1:AF87"/>
  <sheetViews>
    <sheetView zoomScale="72" zoomScaleNormal="72" zoomScaleSheetLayoutView="70" workbookViewId="0">
      <selection activeCell="K79" sqref="K79:S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12.12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378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263" t="s">
        <v>17</v>
      </c>
      <c r="L5" s="263" t="s">
        <v>18</v>
      </c>
      <c r="M5" s="263" t="s">
        <v>19</v>
      </c>
      <c r="N5" s="26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0.36388888888888887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0.36388888888888887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114</v>
      </c>
      <c r="D8" s="52" t="s">
        <v>119</v>
      </c>
      <c r="E8" s="53" t="s">
        <v>373</v>
      </c>
      <c r="F8" s="30" t="s">
        <v>248</v>
      </c>
      <c r="G8" s="33">
        <v>1</v>
      </c>
      <c r="H8" s="35">
        <v>24</v>
      </c>
      <c r="I8" s="7">
        <v>1000</v>
      </c>
      <c r="J8" s="14">
        <v>1111</v>
      </c>
      <c r="K8" s="15">
        <f>L8</f>
        <v>1111</v>
      </c>
      <c r="L8" s="15">
        <v>1111</v>
      </c>
      <c r="M8" s="15">
        <f t="shared" si="1"/>
        <v>1111</v>
      </c>
      <c r="N8" s="15">
        <v>0</v>
      </c>
      <c r="O8" s="58">
        <f t="shared" si="2"/>
        <v>0</v>
      </c>
      <c r="P8" s="39">
        <f t="shared" si="3"/>
        <v>6</v>
      </c>
      <c r="Q8" s="40">
        <f t="shared" si="4"/>
        <v>18</v>
      </c>
      <c r="R8" s="7"/>
      <c r="S8" s="6"/>
      <c r="T8" s="16"/>
      <c r="U8" s="16"/>
      <c r="V8" s="17"/>
      <c r="W8" s="5">
        <v>18</v>
      </c>
      <c r="X8" s="16"/>
      <c r="Y8" s="16"/>
      <c r="Z8" s="16"/>
      <c r="AA8" s="18"/>
      <c r="AB8" s="8">
        <f t="shared" si="5"/>
        <v>1</v>
      </c>
      <c r="AC8" s="9">
        <f t="shared" si="6"/>
        <v>0.25</v>
      </c>
      <c r="AD8" s="10">
        <f t="shared" si="7"/>
        <v>0.25</v>
      </c>
      <c r="AE8" s="36">
        <f t="shared" si="8"/>
        <v>0.36388888888888887</v>
      </c>
      <c r="AF8" s="87">
        <f t="shared" si="9"/>
        <v>3</v>
      </c>
    </row>
    <row r="9" spans="1:32" ht="27" customHeight="1">
      <c r="A9" s="102">
        <v>3</v>
      </c>
      <c r="B9" s="11" t="s">
        <v>57</v>
      </c>
      <c r="C9" s="11" t="s">
        <v>128</v>
      </c>
      <c r="D9" s="52" t="s">
        <v>379</v>
      </c>
      <c r="E9" s="53" t="s">
        <v>380</v>
      </c>
      <c r="F9" s="30" t="s">
        <v>248</v>
      </c>
      <c r="G9" s="33" t="s">
        <v>136</v>
      </c>
      <c r="H9" s="35">
        <v>24</v>
      </c>
      <c r="I9" s="7">
        <v>3000</v>
      </c>
      <c r="J9" s="14">
        <v>2562</v>
      </c>
      <c r="K9" s="15">
        <f>L9</f>
        <v>2562</v>
      </c>
      <c r="L9" s="15">
        <f>2562</f>
        <v>2562</v>
      </c>
      <c r="M9" s="15">
        <f t="shared" ref="M9" si="10">L9-N9</f>
        <v>2562</v>
      </c>
      <c r="N9" s="15">
        <v>0</v>
      </c>
      <c r="O9" s="58">
        <f t="shared" ref="O9" si="11">IF(L9=0,"0",N9/L9)</f>
        <v>0</v>
      </c>
      <c r="P9" s="39">
        <f t="shared" ref="P9" si="12">IF(L9=0,"0",(24-Q9))</f>
        <v>15</v>
      </c>
      <c r="Q9" s="40">
        <f t="shared" ref="Q9" si="13">SUM(R9:AA9)</f>
        <v>9</v>
      </c>
      <c r="R9" s="7"/>
      <c r="S9" s="6"/>
      <c r="T9" s="16">
        <v>9</v>
      </c>
      <c r="U9" s="16"/>
      <c r="V9" s="17"/>
      <c r="W9" s="5"/>
      <c r="X9" s="16"/>
      <c r="Y9" s="16"/>
      <c r="Z9" s="16"/>
      <c r="AA9" s="18"/>
      <c r="AB9" s="8">
        <f t="shared" ref="AB9" si="14">IF(J9=0,"0",(L9/J9))</f>
        <v>1</v>
      </c>
      <c r="AC9" s="9">
        <f t="shared" ref="AC9" si="15">IF(P9=0,"0",(P9/24))</f>
        <v>0.625</v>
      </c>
      <c r="AD9" s="10">
        <f t="shared" ref="AD9" si="16">AC9*AB9*(1-O9)</f>
        <v>0.625</v>
      </c>
      <c r="AE9" s="36">
        <f t="shared" si="8"/>
        <v>0.36388888888888887</v>
      </c>
      <c r="AF9" s="87">
        <f t="shared" ref="AF9" si="17">A9</f>
        <v>3</v>
      </c>
    </row>
    <row r="10" spans="1:32" ht="27" customHeight="1">
      <c r="A10" s="103">
        <v>4</v>
      </c>
      <c r="B10" s="11" t="s">
        <v>57</v>
      </c>
      <c r="C10" s="11" t="s">
        <v>114</v>
      </c>
      <c r="D10" s="52" t="s">
        <v>142</v>
      </c>
      <c r="E10" s="53" t="s">
        <v>145</v>
      </c>
      <c r="F10" s="30" t="s">
        <v>126</v>
      </c>
      <c r="G10" s="33">
        <v>1</v>
      </c>
      <c r="H10" s="35">
        <v>24</v>
      </c>
      <c r="I10" s="7">
        <v>70000</v>
      </c>
      <c r="J10" s="14">
        <v>4854</v>
      </c>
      <c r="K10" s="15">
        <f>L10+1036+2500+4639+2951+2392+2902+2784+3566+4110+4299+4289+1910+4734</f>
        <v>46966</v>
      </c>
      <c r="L10" s="15">
        <f>2391+2463</f>
        <v>4854</v>
      </c>
      <c r="M10" s="15">
        <f t="shared" si="1"/>
        <v>4854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 t="shared" si="7"/>
        <v>1</v>
      </c>
      <c r="AE10" s="36">
        <f t="shared" si="8"/>
        <v>0.36388888888888887</v>
      </c>
      <c r="AF10" s="87">
        <f t="shared" si="9"/>
        <v>4</v>
      </c>
    </row>
    <row r="11" spans="1:32" ht="27" customHeight="1">
      <c r="A11" s="103">
        <v>5</v>
      </c>
      <c r="B11" s="11" t="s">
        <v>57</v>
      </c>
      <c r="C11" s="34" t="s">
        <v>124</v>
      </c>
      <c r="D11" s="52" t="s">
        <v>125</v>
      </c>
      <c r="E11" s="53" t="s">
        <v>323</v>
      </c>
      <c r="F11" s="30" t="s">
        <v>141</v>
      </c>
      <c r="G11" s="33">
        <v>1</v>
      </c>
      <c r="H11" s="35">
        <v>24</v>
      </c>
      <c r="I11" s="7">
        <v>8500</v>
      </c>
      <c r="J11" s="5">
        <v>1002</v>
      </c>
      <c r="K11" s="15">
        <f>L11+1002</f>
        <v>1002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>AC11*AB11*(1-O11)</f>
        <v>0</v>
      </c>
      <c r="AE11" s="36">
        <f t="shared" si="8"/>
        <v>0.36388888888888887</v>
      </c>
      <c r="AF11" s="87">
        <f t="shared" si="9"/>
        <v>5</v>
      </c>
    </row>
    <row r="12" spans="1:32" ht="27" customHeight="1">
      <c r="A12" s="103">
        <v>6</v>
      </c>
      <c r="B12" s="11" t="s">
        <v>57</v>
      </c>
      <c r="C12" s="34" t="s">
        <v>124</v>
      </c>
      <c r="D12" s="52" t="s">
        <v>183</v>
      </c>
      <c r="E12" s="53" t="s">
        <v>300</v>
      </c>
      <c r="F12" s="30" t="s">
        <v>126</v>
      </c>
      <c r="G12" s="33">
        <v>1</v>
      </c>
      <c r="H12" s="35">
        <v>24</v>
      </c>
      <c r="I12" s="7">
        <v>62000</v>
      </c>
      <c r="J12" s="5">
        <v>2705</v>
      </c>
      <c r="K12" s="15">
        <f>L12+2377+5493+2477+3963</f>
        <v>17015</v>
      </c>
      <c r="L12" s="15">
        <v>2705</v>
      </c>
      <c r="M12" s="15">
        <f t="shared" si="1"/>
        <v>2705</v>
      </c>
      <c r="N12" s="15">
        <v>0</v>
      </c>
      <c r="O12" s="58">
        <f t="shared" si="2"/>
        <v>0</v>
      </c>
      <c r="P12" s="39">
        <f t="shared" si="3"/>
        <v>13</v>
      </c>
      <c r="Q12" s="40">
        <f t="shared" si="4"/>
        <v>11</v>
      </c>
      <c r="R12" s="7"/>
      <c r="S12" s="6">
        <v>11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0.54166666666666663</v>
      </c>
      <c r="AD12" s="10">
        <f>AC12*AB12*(1-O12)</f>
        <v>0.54166666666666663</v>
      </c>
      <c r="AE12" s="36">
        <f t="shared" si="8"/>
        <v>0.36388888888888887</v>
      </c>
      <c r="AF12" s="87">
        <f t="shared" si="9"/>
        <v>6</v>
      </c>
    </row>
    <row r="13" spans="1:32" ht="27" customHeight="1">
      <c r="A13" s="103">
        <v>7</v>
      </c>
      <c r="B13" s="11" t="s">
        <v>57</v>
      </c>
      <c r="C13" s="11" t="s">
        <v>114</v>
      </c>
      <c r="D13" s="52" t="s">
        <v>117</v>
      </c>
      <c r="E13" s="53" t="s">
        <v>144</v>
      </c>
      <c r="F13" s="30" t="s">
        <v>121</v>
      </c>
      <c r="G13" s="33">
        <v>1</v>
      </c>
      <c r="H13" s="35">
        <v>24</v>
      </c>
      <c r="I13" s="7">
        <v>70000</v>
      </c>
      <c r="J13" s="14">
        <v>3415</v>
      </c>
      <c r="K13" s="15">
        <f>L13+2036+3193+2673+3958+1875+401+3155+4199+2859+2339+1952+1208+2933</f>
        <v>36196</v>
      </c>
      <c r="L13" s="15">
        <f>2000+1415</f>
        <v>3415</v>
      </c>
      <c r="M13" s="15">
        <f t="shared" si="1"/>
        <v>3415</v>
      </c>
      <c r="N13" s="15">
        <v>0</v>
      </c>
      <c r="O13" s="58">
        <f t="shared" si="2"/>
        <v>0</v>
      </c>
      <c r="P13" s="39">
        <f t="shared" si="3"/>
        <v>16</v>
      </c>
      <c r="Q13" s="40">
        <f t="shared" si="4"/>
        <v>8</v>
      </c>
      <c r="R13" s="7"/>
      <c r="S13" s="6">
        <v>8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0.66666666666666663</v>
      </c>
      <c r="AD13" s="10">
        <f t="shared" ref="AD13:AD14" si="18">AC13*AB13*(1-O13)</f>
        <v>0.66666666666666663</v>
      </c>
      <c r="AE13" s="36">
        <f t="shared" si="8"/>
        <v>0.36388888888888887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138</v>
      </c>
      <c r="D14" s="52"/>
      <c r="E14" s="53" t="s">
        <v>327</v>
      </c>
      <c r="F14" s="30" t="s">
        <v>243</v>
      </c>
      <c r="G14" s="33">
        <v>1</v>
      </c>
      <c r="H14" s="35">
        <v>24</v>
      </c>
      <c r="I14" s="7">
        <v>2100</v>
      </c>
      <c r="J14" s="14">
        <v>3208</v>
      </c>
      <c r="K14" s="15">
        <f>L14+774+3208</f>
        <v>3982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18"/>
        <v>0</v>
      </c>
      <c r="AE14" s="36">
        <f t="shared" si="8"/>
        <v>0.36388888888888887</v>
      </c>
      <c r="AF14" s="87">
        <f t="shared" si="9"/>
        <v>8</v>
      </c>
    </row>
    <row r="15" spans="1:32" ht="27" customHeight="1">
      <c r="A15" s="118">
        <v>9</v>
      </c>
      <c r="B15" s="11" t="s">
        <v>57</v>
      </c>
      <c r="C15" s="34" t="s">
        <v>381</v>
      </c>
      <c r="D15" s="52"/>
      <c r="E15" s="53" t="s">
        <v>382</v>
      </c>
      <c r="F15" s="30" t="s">
        <v>383</v>
      </c>
      <c r="G15" s="33">
        <v>1</v>
      </c>
      <c r="H15" s="35">
        <v>24</v>
      </c>
      <c r="I15" s="7">
        <v>200</v>
      </c>
      <c r="J15" s="5">
        <v>650</v>
      </c>
      <c r="K15" s="15">
        <f>L15</f>
        <v>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0.36388888888888887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128</v>
      </c>
      <c r="D16" s="52" t="s">
        <v>384</v>
      </c>
      <c r="E16" s="53" t="s">
        <v>374</v>
      </c>
      <c r="F16" s="12">
        <v>8301</v>
      </c>
      <c r="G16" s="12">
        <v>1</v>
      </c>
      <c r="H16" s="13">
        <v>24</v>
      </c>
      <c r="I16" s="31">
        <v>3000</v>
      </c>
      <c r="J16" s="14">
        <v>3449</v>
      </c>
      <c r="K16" s="15">
        <f>L16</f>
        <v>3449</v>
      </c>
      <c r="L16" s="15">
        <f>2882+567</f>
        <v>3449</v>
      </c>
      <c r="M16" s="15">
        <f t="shared" si="1"/>
        <v>3449</v>
      </c>
      <c r="N16" s="15">
        <v>0</v>
      </c>
      <c r="O16" s="58">
        <f t="shared" si="2"/>
        <v>0</v>
      </c>
      <c r="P16" s="39">
        <f t="shared" si="3"/>
        <v>14</v>
      </c>
      <c r="Q16" s="40">
        <f t="shared" si="4"/>
        <v>10</v>
      </c>
      <c r="R16" s="7"/>
      <c r="S16" s="6">
        <v>10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0.58333333333333337</v>
      </c>
      <c r="AD16" s="10">
        <f t="shared" si="7"/>
        <v>0.58333333333333337</v>
      </c>
      <c r="AE16" s="36">
        <f t="shared" si="8"/>
        <v>0.36388888888888887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128</v>
      </c>
      <c r="D17" s="52" t="s">
        <v>365</v>
      </c>
      <c r="E17" s="53" t="s">
        <v>385</v>
      </c>
      <c r="F17" s="30" t="s">
        <v>248</v>
      </c>
      <c r="G17" s="12">
        <v>1</v>
      </c>
      <c r="H17" s="13">
        <v>28</v>
      </c>
      <c r="I17" s="7">
        <v>2000</v>
      </c>
      <c r="J17" s="14">
        <v>2095</v>
      </c>
      <c r="K17" s="15">
        <f>L17</f>
        <v>2095</v>
      </c>
      <c r="L17" s="15">
        <v>2095</v>
      </c>
      <c r="M17" s="15">
        <f t="shared" si="1"/>
        <v>2095</v>
      </c>
      <c r="N17" s="15">
        <v>0</v>
      </c>
      <c r="O17" s="58">
        <f t="shared" si="2"/>
        <v>0</v>
      </c>
      <c r="P17" s="39">
        <f t="shared" si="3"/>
        <v>10</v>
      </c>
      <c r="Q17" s="40">
        <f t="shared" si="4"/>
        <v>14</v>
      </c>
      <c r="R17" s="7"/>
      <c r="S17" s="6"/>
      <c r="T17" s="16">
        <v>14</v>
      </c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0.41666666666666669</v>
      </c>
      <c r="AD17" s="10">
        <f t="shared" si="7"/>
        <v>0.41666666666666669</v>
      </c>
      <c r="AE17" s="36">
        <f t="shared" si="8"/>
        <v>0.36388888888888887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34" t="s">
        <v>114</v>
      </c>
      <c r="D18" s="52" t="s">
        <v>135</v>
      </c>
      <c r="E18" s="53" t="s">
        <v>238</v>
      </c>
      <c r="F18" s="30" t="s">
        <v>249</v>
      </c>
      <c r="G18" s="33">
        <v>1</v>
      </c>
      <c r="H18" s="35">
        <v>24</v>
      </c>
      <c r="I18" s="7">
        <v>300</v>
      </c>
      <c r="J18" s="5">
        <v>713</v>
      </c>
      <c r="K18" s="15">
        <f>L18+713</f>
        <v>713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0.36388888888888887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122</v>
      </c>
      <c r="E19" s="53" t="s">
        <v>147</v>
      </c>
      <c r="F19" s="30" t="s">
        <v>123</v>
      </c>
      <c r="G19" s="33">
        <v>1</v>
      </c>
      <c r="H19" s="35">
        <v>24</v>
      </c>
      <c r="I19" s="7">
        <v>60000</v>
      </c>
      <c r="J19" s="5">
        <v>1736</v>
      </c>
      <c r="K19" s="15">
        <f>L19+1915+5043+1754+4429</f>
        <v>14877</v>
      </c>
      <c r="L19" s="15">
        <f>1020+716</f>
        <v>1736</v>
      </c>
      <c r="M19" s="15">
        <f t="shared" si="1"/>
        <v>1736</v>
      </c>
      <c r="N19" s="15">
        <v>0</v>
      </c>
      <c r="O19" s="58">
        <f t="shared" si="2"/>
        <v>0</v>
      </c>
      <c r="P19" s="39">
        <f t="shared" si="3"/>
        <v>9</v>
      </c>
      <c r="Q19" s="40">
        <f t="shared" si="4"/>
        <v>15</v>
      </c>
      <c r="R19" s="7"/>
      <c r="S19" s="6">
        <v>15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0.375</v>
      </c>
      <c r="AD19" s="10">
        <f>AC19*AB19*(1-O19)</f>
        <v>0.375</v>
      </c>
      <c r="AE19" s="36">
        <f t="shared" si="8"/>
        <v>0.36388888888888887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124</v>
      </c>
      <c r="D20" s="52" t="s">
        <v>117</v>
      </c>
      <c r="E20" s="53" t="s">
        <v>360</v>
      </c>
      <c r="F20" s="30" t="s">
        <v>267</v>
      </c>
      <c r="G20" s="33">
        <v>1</v>
      </c>
      <c r="H20" s="35">
        <v>24</v>
      </c>
      <c r="I20" s="7">
        <v>8500</v>
      </c>
      <c r="J20" s="14">
        <v>4146</v>
      </c>
      <c r="K20" s="15">
        <f>L20+3961</f>
        <v>8107</v>
      </c>
      <c r="L20" s="15">
        <f>2141+2005</f>
        <v>4146</v>
      </c>
      <c r="M20" s="15">
        <f t="shared" si="1"/>
        <v>4146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 t="shared" si="7"/>
        <v>1</v>
      </c>
      <c r="AE20" s="36">
        <f t="shared" si="8"/>
        <v>0.36388888888888887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316</v>
      </c>
      <c r="F21" s="12" t="s">
        <v>116</v>
      </c>
      <c r="G21" s="12">
        <v>4</v>
      </c>
      <c r="H21" s="35">
        <v>20</v>
      </c>
      <c r="I21" s="7">
        <v>300000</v>
      </c>
      <c r="J21" s="14">
        <v>21774</v>
      </c>
      <c r="K21" s="15">
        <f>L21+33136+21774</f>
        <v>54910</v>
      </c>
      <c r="L21" s="15"/>
      <c r="M21" s="15">
        <f t="shared" si="1"/>
        <v>0</v>
      </c>
      <c r="N21" s="15">
        <v>0</v>
      </c>
      <c r="O21" s="58" t="str">
        <f t="shared" si="2"/>
        <v>0</v>
      </c>
      <c r="P21" s="39" t="str">
        <f t="shared" si="3"/>
        <v>0</v>
      </c>
      <c r="Q21" s="40">
        <f t="shared" si="4"/>
        <v>5</v>
      </c>
      <c r="R21" s="7"/>
      <c r="S21" s="6">
        <v>5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0</v>
      </c>
      <c r="AC21" s="9">
        <f t="shared" si="6"/>
        <v>0</v>
      </c>
      <c r="AD21" s="10">
        <f t="shared" si="7"/>
        <v>0</v>
      </c>
      <c r="AE21" s="36">
        <f t="shared" si="8"/>
        <v>0.36388888888888887</v>
      </c>
      <c r="AF21" s="87">
        <f t="shared" si="9"/>
        <v>15</v>
      </c>
    </row>
    <row r="22" spans="1:32" ht="31.5" customHeight="1" thickBot="1">
      <c r="A22" s="541" t="s">
        <v>34</v>
      </c>
      <c r="B22" s="542"/>
      <c r="C22" s="542"/>
      <c r="D22" s="542"/>
      <c r="E22" s="542"/>
      <c r="F22" s="542"/>
      <c r="G22" s="542"/>
      <c r="H22" s="543"/>
      <c r="I22" s="22">
        <f t="shared" ref="I22:N22" si="19">SUM(I6:I21)</f>
        <v>611600</v>
      </c>
      <c r="J22" s="19">
        <f t="shared" si="19"/>
        <v>55481</v>
      </c>
      <c r="K22" s="20">
        <f t="shared" si="19"/>
        <v>204533</v>
      </c>
      <c r="L22" s="21">
        <f t="shared" si="19"/>
        <v>26073</v>
      </c>
      <c r="M22" s="20">
        <f t="shared" si="19"/>
        <v>26073</v>
      </c>
      <c r="N22" s="21">
        <f t="shared" si="19"/>
        <v>0</v>
      </c>
      <c r="O22" s="41">
        <f t="shared" si="2"/>
        <v>0</v>
      </c>
      <c r="P22" s="42">
        <f t="shared" ref="P22:AA22" si="20">SUM(P6:P21)</f>
        <v>131</v>
      </c>
      <c r="Q22" s="43">
        <f t="shared" si="20"/>
        <v>234</v>
      </c>
      <c r="R22" s="23">
        <f t="shared" si="20"/>
        <v>24</v>
      </c>
      <c r="S22" s="24">
        <f t="shared" si="20"/>
        <v>97</v>
      </c>
      <c r="T22" s="24">
        <f t="shared" si="20"/>
        <v>23</v>
      </c>
      <c r="U22" s="24">
        <f t="shared" si="20"/>
        <v>0</v>
      </c>
      <c r="V22" s="25">
        <f t="shared" si="20"/>
        <v>24</v>
      </c>
      <c r="W22" s="26">
        <f t="shared" si="20"/>
        <v>66</v>
      </c>
      <c r="X22" s="27">
        <f t="shared" si="20"/>
        <v>0</v>
      </c>
      <c r="Y22" s="27">
        <f t="shared" si="20"/>
        <v>0</v>
      </c>
      <c r="Z22" s="27">
        <f t="shared" si="20"/>
        <v>0</v>
      </c>
      <c r="AA22" s="27">
        <f t="shared" si="20"/>
        <v>0</v>
      </c>
      <c r="AB22" s="28">
        <f>SUM(AB6:AB21)/15</f>
        <v>0.6</v>
      </c>
      <c r="AC22" s="4">
        <f>SUM(AC6:AC21)/15</f>
        <v>0.36388888888888887</v>
      </c>
      <c r="AD22" s="4">
        <f>SUM(AD6:AD21)/15</f>
        <v>0.36388888888888887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44" t="s">
        <v>45</v>
      </c>
      <c r="B49" s="544"/>
      <c r="C49" s="544"/>
      <c r="D49" s="544"/>
      <c r="E49" s="544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45" t="s">
        <v>386</v>
      </c>
      <c r="B50" s="546"/>
      <c r="C50" s="546"/>
      <c r="D50" s="546"/>
      <c r="E50" s="546"/>
      <c r="F50" s="546"/>
      <c r="G50" s="546"/>
      <c r="H50" s="546"/>
      <c r="I50" s="546"/>
      <c r="J50" s="546"/>
      <c r="K50" s="546"/>
      <c r="L50" s="546"/>
      <c r="M50" s="547"/>
      <c r="N50" s="548" t="s">
        <v>391</v>
      </c>
      <c r="O50" s="549"/>
      <c r="P50" s="549"/>
      <c r="Q50" s="549"/>
      <c r="R50" s="549"/>
      <c r="S50" s="549"/>
      <c r="T50" s="549"/>
      <c r="U50" s="549"/>
      <c r="V50" s="549"/>
      <c r="W50" s="549"/>
      <c r="X50" s="549"/>
      <c r="Y50" s="549"/>
      <c r="Z50" s="549"/>
      <c r="AA50" s="549"/>
      <c r="AB50" s="549"/>
      <c r="AC50" s="549"/>
      <c r="AD50" s="550"/>
    </row>
    <row r="51" spans="1:32" ht="27" customHeight="1">
      <c r="A51" s="551" t="s">
        <v>2</v>
      </c>
      <c r="B51" s="552"/>
      <c r="C51" s="262" t="s">
        <v>46</v>
      </c>
      <c r="D51" s="262" t="s">
        <v>47</v>
      </c>
      <c r="E51" s="262" t="s">
        <v>108</v>
      </c>
      <c r="F51" s="552" t="s">
        <v>107</v>
      </c>
      <c r="G51" s="552"/>
      <c r="H51" s="552"/>
      <c r="I51" s="552"/>
      <c r="J51" s="552"/>
      <c r="K51" s="552"/>
      <c r="L51" s="552"/>
      <c r="M51" s="553"/>
      <c r="N51" s="67" t="s">
        <v>112</v>
      </c>
      <c r="O51" s="262" t="s">
        <v>46</v>
      </c>
      <c r="P51" s="554" t="s">
        <v>47</v>
      </c>
      <c r="Q51" s="555"/>
      <c r="R51" s="554" t="s">
        <v>38</v>
      </c>
      <c r="S51" s="556"/>
      <c r="T51" s="556"/>
      <c r="U51" s="555"/>
      <c r="V51" s="554" t="s">
        <v>48</v>
      </c>
      <c r="W51" s="556"/>
      <c r="X51" s="556"/>
      <c r="Y51" s="556"/>
      <c r="Z51" s="556"/>
      <c r="AA51" s="556"/>
      <c r="AB51" s="556"/>
      <c r="AC51" s="556"/>
      <c r="AD51" s="557"/>
    </row>
    <row r="52" spans="1:32" ht="27" customHeight="1">
      <c r="A52" s="524" t="s">
        <v>114</v>
      </c>
      <c r="B52" s="525"/>
      <c r="C52" s="260" t="s">
        <v>170</v>
      </c>
      <c r="D52" s="260" t="s">
        <v>119</v>
      </c>
      <c r="E52" s="260" t="s">
        <v>373</v>
      </c>
      <c r="F52" s="517" t="s">
        <v>120</v>
      </c>
      <c r="G52" s="518"/>
      <c r="H52" s="518"/>
      <c r="I52" s="518"/>
      <c r="J52" s="518"/>
      <c r="K52" s="518"/>
      <c r="L52" s="518"/>
      <c r="M52" s="526"/>
      <c r="N52" s="259" t="s">
        <v>124</v>
      </c>
      <c r="O52" s="257" t="s">
        <v>155</v>
      </c>
      <c r="P52" s="536" t="s">
        <v>125</v>
      </c>
      <c r="Q52" s="537"/>
      <c r="R52" s="536" t="s">
        <v>323</v>
      </c>
      <c r="S52" s="538"/>
      <c r="T52" s="538"/>
      <c r="U52" s="537"/>
      <c r="V52" s="503" t="s">
        <v>157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128</v>
      </c>
      <c r="B53" s="525"/>
      <c r="C53" s="260" t="s">
        <v>170</v>
      </c>
      <c r="D53" s="260" t="s">
        <v>379</v>
      </c>
      <c r="E53" s="260" t="s">
        <v>380</v>
      </c>
      <c r="F53" s="517" t="s">
        <v>120</v>
      </c>
      <c r="G53" s="518"/>
      <c r="H53" s="518"/>
      <c r="I53" s="518"/>
      <c r="J53" s="518"/>
      <c r="K53" s="518"/>
      <c r="L53" s="518"/>
      <c r="M53" s="526"/>
      <c r="N53" s="259" t="s">
        <v>114</v>
      </c>
      <c r="O53" s="257" t="s">
        <v>295</v>
      </c>
      <c r="P53" s="536" t="s">
        <v>125</v>
      </c>
      <c r="Q53" s="537"/>
      <c r="R53" s="536" t="s">
        <v>291</v>
      </c>
      <c r="S53" s="538"/>
      <c r="T53" s="538"/>
      <c r="U53" s="537"/>
      <c r="V53" s="503" t="s">
        <v>157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124</v>
      </c>
      <c r="B54" s="525"/>
      <c r="C54" s="260" t="s">
        <v>132</v>
      </c>
      <c r="D54" s="260" t="s">
        <v>183</v>
      </c>
      <c r="E54" s="260" t="s">
        <v>300</v>
      </c>
      <c r="F54" s="517" t="s">
        <v>157</v>
      </c>
      <c r="G54" s="518"/>
      <c r="H54" s="518"/>
      <c r="I54" s="518"/>
      <c r="J54" s="518"/>
      <c r="K54" s="518"/>
      <c r="L54" s="518"/>
      <c r="M54" s="526"/>
      <c r="N54" s="259" t="s">
        <v>114</v>
      </c>
      <c r="O54" s="257" t="s">
        <v>170</v>
      </c>
      <c r="P54" s="536" t="s">
        <v>119</v>
      </c>
      <c r="Q54" s="537"/>
      <c r="R54" s="525" t="s">
        <v>392</v>
      </c>
      <c r="S54" s="525"/>
      <c r="T54" s="525"/>
      <c r="U54" s="525"/>
      <c r="V54" s="503" t="s">
        <v>120</v>
      </c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114</v>
      </c>
      <c r="B55" s="525"/>
      <c r="C55" s="260" t="s">
        <v>150</v>
      </c>
      <c r="D55" s="260" t="s">
        <v>117</v>
      </c>
      <c r="E55" s="260" t="s">
        <v>144</v>
      </c>
      <c r="F55" s="517" t="s">
        <v>387</v>
      </c>
      <c r="G55" s="518"/>
      <c r="H55" s="518"/>
      <c r="I55" s="518"/>
      <c r="J55" s="518"/>
      <c r="K55" s="518"/>
      <c r="L55" s="518"/>
      <c r="M55" s="526"/>
      <c r="N55" s="259" t="s">
        <v>128</v>
      </c>
      <c r="O55" s="257" t="s">
        <v>217</v>
      </c>
      <c r="P55" s="536" t="s">
        <v>135</v>
      </c>
      <c r="Q55" s="537"/>
      <c r="R55" s="536" t="s">
        <v>337</v>
      </c>
      <c r="S55" s="538"/>
      <c r="T55" s="538"/>
      <c r="U55" s="537"/>
      <c r="V55" s="503" t="s">
        <v>120</v>
      </c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 t="s">
        <v>381</v>
      </c>
      <c r="B56" s="525"/>
      <c r="C56" s="260" t="s">
        <v>137</v>
      </c>
      <c r="D56" s="260"/>
      <c r="E56" s="260" t="s">
        <v>382</v>
      </c>
      <c r="F56" s="517" t="s">
        <v>388</v>
      </c>
      <c r="G56" s="518"/>
      <c r="H56" s="518"/>
      <c r="I56" s="518"/>
      <c r="J56" s="518"/>
      <c r="K56" s="518"/>
      <c r="L56" s="518"/>
      <c r="M56" s="526"/>
      <c r="N56" s="259" t="s">
        <v>124</v>
      </c>
      <c r="O56" s="257" t="s">
        <v>171</v>
      </c>
      <c r="P56" s="536" t="s">
        <v>117</v>
      </c>
      <c r="Q56" s="537"/>
      <c r="R56" s="536" t="s">
        <v>393</v>
      </c>
      <c r="S56" s="538"/>
      <c r="T56" s="538"/>
      <c r="U56" s="537"/>
      <c r="V56" s="503" t="s">
        <v>120</v>
      </c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 t="s">
        <v>128</v>
      </c>
      <c r="B57" s="525"/>
      <c r="C57" s="260" t="s">
        <v>217</v>
      </c>
      <c r="D57" s="260" t="s">
        <v>384</v>
      </c>
      <c r="E57" s="260" t="s">
        <v>374</v>
      </c>
      <c r="F57" s="517" t="s">
        <v>389</v>
      </c>
      <c r="G57" s="518"/>
      <c r="H57" s="518"/>
      <c r="I57" s="518"/>
      <c r="J57" s="518"/>
      <c r="K57" s="518"/>
      <c r="L57" s="518"/>
      <c r="M57" s="526"/>
      <c r="N57" s="259"/>
      <c r="O57" s="257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 t="s">
        <v>114</v>
      </c>
      <c r="B58" s="525"/>
      <c r="C58" s="260" t="s">
        <v>234</v>
      </c>
      <c r="D58" s="260" t="s">
        <v>122</v>
      </c>
      <c r="E58" s="260" t="s">
        <v>147</v>
      </c>
      <c r="F58" s="517" t="s">
        <v>390</v>
      </c>
      <c r="G58" s="518"/>
      <c r="H58" s="518"/>
      <c r="I58" s="518"/>
      <c r="J58" s="518"/>
      <c r="K58" s="518"/>
      <c r="L58" s="518"/>
      <c r="M58" s="526"/>
      <c r="N58" s="259"/>
      <c r="O58" s="257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/>
      <c r="B59" s="525"/>
      <c r="C59" s="260"/>
      <c r="D59" s="260"/>
      <c r="E59" s="260"/>
      <c r="F59" s="517"/>
      <c r="G59" s="518"/>
      <c r="H59" s="518"/>
      <c r="I59" s="518"/>
      <c r="J59" s="518"/>
      <c r="K59" s="518"/>
      <c r="L59" s="518"/>
      <c r="M59" s="526"/>
      <c r="N59" s="259"/>
      <c r="O59" s="257"/>
      <c r="P59" s="536"/>
      <c r="Q59" s="537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</row>
    <row r="60" spans="1:32" ht="27" customHeight="1">
      <c r="A60" s="524"/>
      <c r="B60" s="525"/>
      <c r="C60" s="260"/>
      <c r="D60" s="260"/>
      <c r="E60" s="260"/>
      <c r="F60" s="517"/>
      <c r="G60" s="518"/>
      <c r="H60" s="518"/>
      <c r="I60" s="518"/>
      <c r="J60" s="518"/>
      <c r="K60" s="518"/>
      <c r="L60" s="518"/>
      <c r="M60" s="526"/>
      <c r="N60" s="259"/>
      <c r="O60" s="257"/>
      <c r="P60" s="525"/>
      <c r="Q60" s="525"/>
      <c r="R60" s="525"/>
      <c r="S60" s="525"/>
      <c r="T60" s="525"/>
      <c r="U60" s="525"/>
      <c r="V60" s="503"/>
      <c r="W60" s="503"/>
      <c r="X60" s="503"/>
      <c r="Y60" s="503"/>
      <c r="Z60" s="503"/>
      <c r="AA60" s="503"/>
      <c r="AB60" s="503"/>
      <c r="AC60" s="503"/>
      <c r="AD60" s="527"/>
      <c r="AF60" s="87">
        <f>8*3000</f>
        <v>24000</v>
      </c>
    </row>
    <row r="61" spans="1:32" ht="27" customHeight="1" thickBot="1">
      <c r="A61" s="528"/>
      <c r="B61" s="529"/>
      <c r="C61" s="261"/>
      <c r="D61" s="261"/>
      <c r="E61" s="261"/>
      <c r="F61" s="530"/>
      <c r="G61" s="531"/>
      <c r="H61" s="531"/>
      <c r="I61" s="531"/>
      <c r="J61" s="531"/>
      <c r="K61" s="531"/>
      <c r="L61" s="531"/>
      <c r="M61" s="532"/>
      <c r="N61" s="124"/>
      <c r="O61" s="114"/>
      <c r="P61" s="533"/>
      <c r="Q61" s="533"/>
      <c r="R61" s="533"/>
      <c r="S61" s="533"/>
      <c r="T61" s="533"/>
      <c r="U61" s="533"/>
      <c r="V61" s="534"/>
      <c r="W61" s="534"/>
      <c r="X61" s="534"/>
      <c r="Y61" s="534"/>
      <c r="Z61" s="534"/>
      <c r="AA61" s="534"/>
      <c r="AB61" s="534"/>
      <c r="AC61" s="534"/>
      <c r="AD61" s="535"/>
      <c r="AF61" s="87">
        <f>16*3000</f>
        <v>48000</v>
      </c>
    </row>
    <row r="62" spans="1:32" ht="27.75" thickBot="1">
      <c r="A62" s="522" t="s">
        <v>394</v>
      </c>
      <c r="B62" s="522"/>
      <c r="C62" s="522"/>
      <c r="D62" s="522"/>
      <c r="E62" s="52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523" t="s">
        <v>113</v>
      </c>
      <c r="B63" s="515"/>
      <c r="C63" s="258" t="s">
        <v>2</v>
      </c>
      <c r="D63" s="258" t="s">
        <v>37</v>
      </c>
      <c r="E63" s="258" t="s">
        <v>3</v>
      </c>
      <c r="F63" s="515" t="s">
        <v>110</v>
      </c>
      <c r="G63" s="515"/>
      <c r="H63" s="515"/>
      <c r="I63" s="515"/>
      <c r="J63" s="515"/>
      <c r="K63" s="515" t="s">
        <v>39</v>
      </c>
      <c r="L63" s="515"/>
      <c r="M63" s="258" t="s">
        <v>40</v>
      </c>
      <c r="N63" s="515" t="s">
        <v>41</v>
      </c>
      <c r="O63" s="515"/>
      <c r="P63" s="512" t="s">
        <v>42</v>
      </c>
      <c r="Q63" s="514"/>
      <c r="R63" s="512" t="s">
        <v>43</v>
      </c>
      <c r="S63" s="513"/>
      <c r="T63" s="513"/>
      <c r="U63" s="513"/>
      <c r="V63" s="513"/>
      <c r="W63" s="513"/>
      <c r="X63" s="513"/>
      <c r="Y63" s="513"/>
      <c r="Z63" s="513"/>
      <c r="AA63" s="514"/>
      <c r="AB63" s="515" t="s">
        <v>44</v>
      </c>
      <c r="AC63" s="515"/>
      <c r="AD63" s="516"/>
      <c r="AF63" s="87">
        <f>SUM(AF60:AF62)</f>
        <v>96000</v>
      </c>
    </row>
    <row r="64" spans="1:32" ht="25.5" customHeight="1">
      <c r="A64" s="498">
        <v>1</v>
      </c>
      <c r="B64" s="499"/>
      <c r="C64" s="117" t="s">
        <v>114</v>
      </c>
      <c r="D64" s="253"/>
      <c r="E64" s="256" t="s">
        <v>395</v>
      </c>
      <c r="F64" s="500" t="s">
        <v>396</v>
      </c>
      <c r="G64" s="492"/>
      <c r="H64" s="492"/>
      <c r="I64" s="492"/>
      <c r="J64" s="492"/>
      <c r="K64" s="492" t="s">
        <v>259</v>
      </c>
      <c r="L64" s="492"/>
      <c r="M64" s="51" t="s">
        <v>216</v>
      </c>
      <c r="N64" s="501" t="s">
        <v>179</v>
      </c>
      <c r="O64" s="501"/>
      <c r="P64" s="502">
        <v>50</v>
      </c>
      <c r="Q64" s="502"/>
      <c r="R64" s="503"/>
      <c r="S64" s="503"/>
      <c r="T64" s="503"/>
      <c r="U64" s="503"/>
      <c r="V64" s="503"/>
      <c r="W64" s="503"/>
      <c r="X64" s="503"/>
      <c r="Y64" s="503"/>
      <c r="Z64" s="503"/>
      <c r="AA64" s="503"/>
      <c r="AB64" s="507"/>
      <c r="AC64" s="520"/>
      <c r="AD64" s="521"/>
      <c r="AF64" s="50"/>
    </row>
    <row r="65" spans="1:32" ht="25.5" customHeight="1">
      <c r="A65" s="498">
        <v>2</v>
      </c>
      <c r="B65" s="499"/>
      <c r="C65" s="117" t="s">
        <v>128</v>
      </c>
      <c r="D65" s="253"/>
      <c r="E65" s="256" t="s">
        <v>117</v>
      </c>
      <c r="F65" s="504" t="s">
        <v>397</v>
      </c>
      <c r="G65" s="505"/>
      <c r="H65" s="505"/>
      <c r="I65" s="505"/>
      <c r="J65" s="506"/>
      <c r="K65" s="507" t="s">
        <v>190</v>
      </c>
      <c r="L65" s="499"/>
      <c r="M65" s="51" t="s">
        <v>162</v>
      </c>
      <c r="N65" s="501" t="s">
        <v>179</v>
      </c>
      <c r="O65" s="501"/>
      <c r="P65" s="510">
        <v>100</v>
      </c>
      <c r="Q65" s="511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3</v>
      </c>
      <c r="B66" s="499"/>
      <c r="C66" s="117"/>
      <c r="D66" s="253"/>
      <c r="E66" s="256"/>
      <c r="F66" s="504"/>
      <c r="G66" s="505"/>
      <c r="H66" s="505"/>
      <c r="I66" s="505"/>
      <c r="J66" s="506"/>
      <c r="K66" s="507"/>
      <c r="L66" s="499"/>
      <c r="M66" s="51"/>
      <c r="N66" s="508"/>
      <c r="O66" s="509"/>
      <c r="P66" s="510"/>
      <c r="Q66" s="511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4</v>
      </c>
      <c r="B67" s="499"/>
      <c r="C67" s="117"/>
      <c r="D67" s="253"/>
      <c r="E67" s="256"/>
      <c r="F67" s="504"/>
      <c r="G67" s="505"/>
      <c r="H67" s="505"/>
      <c r="I67" s="505"/>
      <c r="J67" s="506"/>
      <c r="K67" s="507"/>
      <c r="L67" s="499"/>
      <c r="M67" s="51"/>
      <c r="N67" s="508"/>
      <c r="O67" s="509"/>
      <c r="P67" s="510"/>
      <c r="Q67" s="511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5</v>
      </c>
      <c r="B68" s="499"/>
      <c r="C68" s="117"/>
      <c r="D68" s="253"/>
      <c r="E68" s="256"/>
      <c r="F68" s="504"/>
      <c r="G68" s="505"/>
      <c r="H68" s="505"/>
      <c r="I68" s="505"/>
      <c r="J68" s="506"/>
      <c r="K68" s="507"/>
      <c r="L68" s="499"/>
      <c r="M68" s="51"/>
      <c r="N68" s="508"/>
      <c r="O68" s="509"/>
      <c r="P68" s="510"/>
      <c r="Q68" s="511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6</v>
      </c>
      <c r="B69" s="499"/>
      <c r="C69" s="117"/>
      <c r="D69" s="253"/>
      <c r="E69" s="256"/>
      <c r="F69" s="500"/>
      <c r="G69" s="492"/>
      <c r="H69" s="492"/>
      <c r="I69" s="492"/>
      <c r="J69" s="492"/>
      <c r="K69" s="492"/>
      <c r="L69" s="492"/>
      <c r="M69" s="51"/>
      <c r="N69" s="508"/>
      <c r="O69" s="509"/>
      <c r="P69" s="510"/>
      <c r="Q69" s="511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7</v>
      </c>
      <c r="B70" s="499"/>
      <c r="C70" s="117"/>
      <c r="D70" s="253"/>
      <c r="E70" s="256"/>
      <c r="F70" s="500"/>
      <c r="G70" s="492"/>
      <c r="H70" s="492"/>
      <c r="I70" s="492"/>
      <c r="J70" s="492"/>
      <c r="K70" s="492"/>
      <c r="L70" s="492"/>
      <c r="M70" s="51"/>
      <c r="N70" s="508"/>
      <c r="O70" s="509"/>
      <c r="P70" s="510"/>
      <c r="Q70" s="511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5.5" customHeight="1">
      <c r="A71" s="498">
        <v>8</v>
      </c>
      <c r="B71" s="499"/>
      <c r="C71" s="117"/>
      <c r="D71" s="253"/>
      <c r="E71" s="256"/>
      <c r="F71" s="500"/>
      <c r="G71" s="492"/>
      <c r="H71" s="492"/>
      <c r="I71" s="492"/>
      <c r="J71" s="492"/>
      <c r="K71" s="492"/>
      <c r="L71" s="492"/>
      <c r="M71" s="51"/>
      <c r="N71" s="508"/>
      <c r="O71" s="509"/>
      <c r="P71" s="510"/>
      <c r="Q71" s="511"/>
      <c r="R71" s="503"/>
      <c r="S71" s="503"/>
      <c r="T71" s="503"/>
      <c r="U71" s="503"/>
      <c r="V71" s="503"/>
      <c r="W71" s="503"/>
      <c r="X71" s="503"/>
      <c r="Y71" s="503"/>
      <c r="Z71" s="503"/>
      <c r="AA71" s="503"/>
      <c r="AB71" s="492"/>
      <c r="AC71" s="492"/>
      <c r="AD71" s="493"/>
      <c r="AF71" s="50"/>
    </row>
    <row r="72" spans="1:32" ht="26.25" customHeight="1" thickBot="1">
      <c r="A72" s="472" t="s">
        <v>398</v>
      </c>
      <c r="B72" s="472"/>
      <c r="C72" s="472"/>
      <c r="D72" s="472"/>
      <c r="E72" s="472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73" t="s">
        <v>113</v>
      </c>
      <c r="B73" s="474"/>
      <c r="C73" s="255" t="s">
        <v>2</v>
      </c>
      <c r="D73" s="255" t="s">
        <v>37</v>
      </c>
      <c r="E73" s="255" t="s">
        <v>3</v>
      </c>
      <c r="F73" s="474" t="s">
        <v>38</v>
      </c>
      <c r="G73" s="474"/>
      <c r="H73" s="474"/>
      <c r="I73" s="474"/>
      <c r="J73" s="474"/>
      <c r="K73" s="494" t="s">
        <v>58</v>
      </c>
      <c r="L73" s="495"/>
      <c r="M73" s="495"/>
      <c r="N73" s="495"/>
      <c r="O73" s="495"/>
      <c r="P73" s="495"/>
      <c r="Q73" s="495"/>
      <c r="R73" s="495"/>
      <c r="S73" s="496"/>
      <c r="T73" s="474" t="s">
        <v>49</v>
      </c>
      <c r="U73" s="474"/>
      <c r="V73" s="494" t="s">
        <v>50</v>
      </c>
      <c r="W73" s="496"/>
      <c r="X73" s="495" t="s">
        <v>51</v>
      </c>
      <c r="Y73" s="495"/>
      <c r="Z73" s="495"/>
      <c r="AA73" s="495"/>
      <c r="AB73" s="495"/>
      <c r="AC73" s="495"/>
      <c r="AD73" s="497"/>
      <c r="AF73" s="50"/>
    </row>
    <row r="74" spans="1:32" ht="33.75" customHeight="1">
      <c r="A74" s="466">
        <v>1</v>
      </c>
      <c r="B74" s="467"/>
      <c r="C74" s="254" t="s">
        <v>114</v>
      </c>
      <c r="D74" s="254"/>
      <c r="E74" s="65" t="s">
        <v>119</v>
      </c>
      <c r="F74" s="481" t="s">
        <v>118</v>
      </c>
      <c r="G74" s="482"/>
      <c r="H74" s="482"/>
      <c r="I74" s="482"/>
      <c r="J74" s="483"/>
      <c r="K74" s="484" t="s">
        <v>130</v>
      </c>
      <c r="L74" s="485"/>
      <c r="M74" s="485"/>
      <c r="N74" s="485"/>
      <c r="O74" s="485"/>
      <c r="P74" s="485"/>
      <c r="Q74" s="485"/>
      <c r="R74" s="485"/>
      <c r="S74" s="486"/>
      <c r="T74" s="487">
        <v>43675</v>
      </c>
      <c r="U74" s="488"/>
      <c r="V74" s="489"/>
      <c r="W74" s="489"/>
      <c r="X74" s="490"/>
      <c r="Y74" s="490"/>
      <c r="Z74" s="490"/>
      <c r="AA74" s="490"/>
      <c r="AB74" s="490"/>
      <c r="AC74" s="490"/>
      <c r="AD74" s="491"/>
      <c r="AF74" s="50"/>
    </row>
    <row r="75" spans="1:32" ht="30" customHeight="1">
      <c r="A75" s="459">
        <f>A74+1</f>
        <v>2</v>
      </c>
      <c r="B75" s="460"/>
      <c r="C75" s="253"/>
      <c r="D75" s="253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ref="A76:A82" si="21">A75+1</f>
        <v>3</v>
      </c>
      <c r="B76" s="460"/>
      <c r="C76" s="253"/>
      <c r="D76" s="253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21"/>
        <v>4</v>
      </c>
      <c r="B77" s="460"/>
      <c r="C77" s="253"/>
      <c r="D77" s="253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21"/>
        <v>5</v>
      </c>
      <c r="B78" s="460"/>
      <c r="C78" s="253"/>
      <c r="D78" s="253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21"/>
        <v>6</v>
      </c>
      <c r="B79" s="460"/>
      <c r="C79" s="253"/>
      <c r="D79" s="253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21"/>
        <v>7</v>
      </c>
      <c r="B80" s="460"/>
      <c r="C80" s="253"/>
      <c r="D80" s="253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21"/>
        <v>8</v>
      </c>
      <c r="B81" s="460"/>
      <c r="C81" s="253"/>
      <c r="D81" s="253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0" customHeight="1">
      <c r="A82" s="459">
        <f t="shared" si="21"/>
        <v>9</v>
      </c>
      <c r="B82" s="460"/>
      <c r="C82" s="253"/>
      <c r="D82" s="253"/>
      <c r="E82" s="32"/>
      <c r="F82" s="460"/>
      <c r="G82" s="460"/>
      <c r="H82" s="460"/>
      <c r="I82" s="460"/>
      <c r="J82" s="460"/>
      <c r="K82" s="475"/>
      <c r="L82" s="476"/>
      <c r="M82" s="476"/>
      <c r="N82" s="476"/>
      <c r="O82" s="476"/>
      <c r="P82" s="476"/>
      <c r="Q82" s="476"/>
      <c r="R82" s="476"/>
      <c r="S82" s="477"/>
      <c r="T82" s="478"/>
      <c r="U82" s="478"/>
      <c r="V82" s="478"/>
      <c r="W82" s="478"/>
      <c r="X82" s="479"/>
      <c r="Y82" s="479"/>
      <c r="Z82" s="479"/>
      <c r="AA82" s="479"/>
      <c r="AB82" s="479"/>
      <c r="AC82" s="479"/>
      <c r="AD82" s="480"/>
      <c r="AF82" s="50"/>
    </row>
    <row r="83" spans="1:32" ht="36" thickBot="1">
      <c r="A83" s="472" t="s">
        <v>399</v>
      </c>
      <c r="B83" s="472"/>
      <c r="C83" s="472"/>
      <c r="D83" s="472"/>
      <c r="E83" s="472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3" t="s">
        <v>113</v>
      </c>
      <c r="B84" s="474"/>
      <c r="C84" s="464" t="s">
        <v>52</v>
      </c>
      <c r="D84" s="464"/>
      <c r="E84" s="464" t="s">
        <v>53</v>
      </c>
      <c r="F84" s="464"/>
      <c r="G84" s="464"/>
      <c r="H84" s="464"/>
      <c r="I84" s="464"/>
      <c r="J84" s="464"/>
      <c r="K84" s="464" t="s">
        <v>54</v>
      </c>
      <c r="L84" s="464"/>
      <c r="M84" s="464"/>
      <c r="N84" s="464"/>
      <c r="O84" s="464"/>
      <c r="P84" s="464"/>
      <c r="Q84" s="464"/>
      <c r="R84" s="464"/>
      <c r="S84" s="464"/>
      <c r="T84" s="464" t="s">
        <v>55</v>
      </c>
      <c r="U84" s="464"/>
      <c r="V84" s="464" t="s">
        <v>56</v>
      </c>
      <c r="W84" s="464"/>
      <c r="X84" s="464"/>
      <c r="Y84" s="464" t="s">
        <v>51</v>
      </c>
      <c r="Z84" s="464"/>
      <c r="AA84" s="464"/>
      <c r="AB84" s="464"/>
      <c r="AC84" s="464"/>
      <c r="AD84" s="465"/>
      <c r="AF84" s="50"/>
    </row>
    <row r="85" spans="1:32" ht="30.75" customHeight="1">
      <c r="A85" s="466">
        <v>1</v>
      </c>
      <c r="B85" s="467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8"/>
      <c r="U85" s="468"/>
      <c r="V85" s="469"/>
      <c r="W85" s="469"/>
      <c r="X85" s="469"/>
      <c r="Y85" s="470"/>
      <c r="Z85" s="470"/>
      <c r="AA85" s="470"/>
      <c r="AB85" s="470"/>
      <c r="AC85" s="470"/>
      <c r="AD85" s="471"/>
      <c r="AF85" s="50"/>
    </row>
    <row r="86" spans="1:32" ht="30.75" customHeight="1">
      <c r="A86" s="459">
        <v>2</v>
      </c>
      <c r="B86" s="460"/>
      <c r="C86" s="461"/>
      <c r="D86" s="461"/>
      <c r="E86" s="461"/>
      <c r="F86" s="461"/>
      <c r="G86" s="461"/>
      <c r="H86" s="461"/>
      <c r="I86" s="461"/>
      <c r="J86" s="461"/>
      <c r="K86" s="461"/>
      <c r="L86" s="461"/>
      <c r="M86" s="461"/>
      <c r="N86" s="461"/>
      <c r="O86" s="461"/>
      <c r="P86" s="461"/>
      <c r="Q86" s="461"/>
      <c r="R86" s="461"/>
      <c r="S86" s="461"/>
      <c r="T86" s="462"/>
      <c r="U86" s="462"/>
      <c r="V86" s="463"/>
      <c r="W86" s="463"/>
      <c r="X86" s="463"/>
      <c r="Y86" s="452"/>
      <c r="Z86" s="452"/>
      <c r="AA86" s="452"/>
      <c r="AB86" s="452"/>
      <c r="AC86" s="452"/>
      <c r="AD86" s="453"/>
      <c r="AF86" s="50"/>
    </row>
    <row r="87" spans="1:32" ht="30.75" customHeight="1" thickBot="1">
      <c r="A87" s="454">
        <v>3</v>
      </c>
      <c r="B87" s="455"/>
      <c r="C87" s="456"/>
      <c r="D87" s="456"/>
      <c r="E87" s="456"/>
      <c r="F87" s="456"/>
      <c r="G87" s="456"/>
      <c r="H87" s="456"/>
      <c r="I87" s="456"/>
      <c r="J87" s="456"/>
      <c r="K87" s="456"/>
      <c r="L87" s="456"/>
      <c r="M87" s="456"/>
      <c r="N87" s="456"/>
      <c r="O87" s="456"/>
      <c r="P87" s="456"/>
      <c r="Q87" s="456"/>
      <c r="R87" s="456"/>
      <c r="S87" s="456"/>
      <c r="T87" s="456"/>
      <c r="U87" s="456"/>
      <c r="V87" s="456"/>
      <c r="W87" s="456"/>
      <c r="X87" s="456"/>
      <c r="Y87" s="457"/>
      <c r="Z87" s="457"/>
      <c r="AA87" s="457"/>
      <c r="AB87" s="457"/>
      <c r="AC87" s="457"/>
      <c r="AD87" s="458"/>
      <c r="AF87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B6D9-B9F6-49D4-9669-D95C48C7CA64}">
  <dimension ref="A1:AF88"/>
  <sheetViews>
    <sheetView zoomScale="72" zoomScaleNormal="72" zoomScaleSheetLayoutView="70" workbookViewId="0">
      <selection activeCell="F76" sqref="F76:J7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400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264" t="s">
        <v>17</v>
      </c>
      <c r="L5" s="264" t="s">
        <v>18</v>
      </c>
      <c r="M5" s="264" t="s">
        <v>19</v>
      </c>
      <c r="N5" s="26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2" si="1">L6-N6</f>
        <v>0</v>
      </c>
      <c r="N6" s="15">
        <v>0</v>
      </c>
      <c r="O6" s="58" t="str">
        <f t="shared" ref="O6:O23" si="2">IF(L6=0,"0",N6/L6)</f>
        <v>0</v>
      </c>
      <c r="P6" s="39" t="str">
        <f t="shared" ref="P6:P22" si="3">IF(L6=0,"0",(24-Q6))</f>
        <v>0</v>
      </c>
      <c r="Q6" s="40">
        <f t="shared" ref="Q6:Q22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2" si="5">IF(J6=0,"0",(L6/J6))</f>
        <v>0</v>
      </c>
      <c r="AC6" s="9">
        <f t="shared" ref="AC6:AC22" si="6">IF(P6=0,"0",(P6/24))</f>
        <v>0</v>
      </c>
      <c r="AD6" s="10">
        <f t="shared" ref="AD6:AD22" si="7">AC6*AB6*(1-O6)</f>
        <v>0</v>
      </c>
      <c r="AE6" s="36">
        <f t="shared" ref="AE6:AE22" si="8">$AD$23</f>
        <v>0.54722222222222228</v>
      </c>
      <c r="AF6" s="87">
        <f t="shared" ref="AF6:AF22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0.54722222222222228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114</v>
      </c>
      <c r="D8" s="52" t="s">
        <v>119</v>
      </c>
      <c r="E8" s="53" t="s">
        <v>392</v>
      </c>
      <c r="F8" s="30" t="s">
        <v>248</v>
      </c>
      <c r="G8" s="33">
        <v>1</v>
      </c>
      <c r="H8" s="35">
        <v>24</v>
      </c>
      <c r="I8" s="7">
        <v>24000</v>
      </c>
      <c r="J8" s="14">
        <v>2575</v>
      </c>
      <c r="K8" s="15">
        <f>L8</f>
        <v>2575</v>
      </c>
      <c r="L8" s="15">
        <f>2575</f>
        <v>2575</v>
      </c>
      <c r="M8" s="15">
        <f t="shared" si="1"/>
        <v>2575</v>
      </c>
      <c r="N8" s="15">
        <v>0</v>
      </c>
      <c r="O8" s="58">
        <f t="shared" si="2"/>
        <v>0</v>
      </c>
      <c r="P8" s="39">
        <f t="shared" si="3"/>
        <v>12</v>
      </c>
      <c r="Q8" s="40">
        <f t="shared" si="4"/>
        <v>12</v>
      </c>
      <c r="R8" s="7"/>
      <c r="S8" s="6"/>
      <c r="T8" s="16">
        <v>12</v>
      </c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0.5</v>
      </c>
      <c r="AD8" s="10">
        <f t="shared" si="7"/>
        <v>0.5</v>
      </c>
      <c r="AE8" s="36">
        <f t="shared" si="8"/>
        <v>0.54722222222222228</v>
      </c>
      <c r="AF8" s="87">
        <f t="shared" si="9"/>
        <v>3</v>
      </c>
    </row>
    <row r="9" spans="1:32" ht="27" customHeight="1">
      <c r="A9" s="102">
        <v>3</v>
      </c>
      <c r="B9" s="11" t="s">
        <v>57</v>
      </c>
      <c r="C9" s="11" t="s">
        <v>128</v>
      </c>
      <c r="D9" s="52" t="s">
        <v>379</v>
      </c>
      <c r="E9" s="53" t="s">
        <v>380</v>
      </c>
      <c r="F9" s="30" t="s">
        <v>248</v>
      </c>
      <c r="G9" s="33" t="s">
        <v>136</v>
      </c>
      <c r="H9" s="35">
        <v>24</v>
      </c>
      <c r="I9" s="7">
        <v>3000</v>
      </c>
      <c r="J9" s="14">
        <v>2043</v>
      </c>
      <c r="K9" s="15">
        <f>L9+2562</f>
        <v>4605</v>
      </c>
      <c r="L9" s="15">
        <v>2043</v>
      </c>
      <c r="M9" s="15">
        <f t="shared" si="1"/>
        <v>2043</v>
      </c>
      <c r="N9" s="15">
        <v>0</v>
      </c>
      <c r="O9" s="58">
        <f t="shared" si="2"/>
        <v>0</v>
      </c>
      <c r="P9" s="39">
        <f t="shared" si="3"/>
        <v>11</v>
      </c>
      <c r="Q9" s="40">
        <f t="shared" si="4"/>
        <v>13</v>
      </c>
      <c r="R9" s="7"/>
      <c r="S9" s="6"/>
      <c r="T9" s="16"/>
      <c r="U9" s="16"/>
      <c r="V9" s="17"/>
      <c r="W9" s="5">
        <v>13</v>
      </c>
      <c r="X9" s="16"/>
      <c r="Y9" s="16"/>
      <c r="Z9" s="16"/>
      <c r="AA9" s="18"/>
      <c r="AB9" s="8">
        <f t="shared" si="5"/>
        <v>1</v>
      </c>
      <c r="AC9" s="9">
        <f t="shared" si="6"/>
        <v>0.45833333333333331</v>
      </c>
      <c r="AD9" s="10">
        <f t="shared" si="7"/>
        <v>0.45833333333333331</v>
      </c>
      <c r="AE9" s="36">
        <f t="shared" si="8"/>
        <v>0.54722222222222228</v>
      </c>
      <c r="AF9" s="87">
        <f t="shared" si="9"/>
        <v>3</v>
      </c>
    </row>
    <row r="10" spans="1:32" ht="27" customHeight="1">
      <c r="A10" s="103">
        <v>4</v>
      </c>
      <c r="B10" s="11" t="s">
        <v>57</v>
      </c>
      <c r="C10" s="11" t="s">
        <v>114</v>
      </c>
      <c r="D10" s="52" t="s">
        <v>142</v>
      </c>
      <c r="E10" s="53" t="s">
        <v>145</v>
      </c>
      <c r="F10" s="30" t="s">
        <v>126</v>
      </c>
      <c r="G10" s="33">
        <v>1</v>
      </c>
      <c r="H10" s="35">
        <v>24</v>
      </c>
      <c r="I10" s="7">
        <v>70000</v>
      </c>
      <c r="J10" s="14">
        <v>3892</v>
      </c>
      <c r="K10" s="15">
        <f>L10+1036+2500+4639+2951+2392+2902+2784+3566+4110+4299+4289+1910+4734+4854</f>
        <v>50858</v>
      </c>
      <c r="L10" s="15">
        <f>2363+1529</f>
        <v>3892</v>
      </c>
      <c r="M10" s="15">
        <f t="shared" si="1"/>
        <v>3892</v>
      </c>
      <c r="N10" s="15">
        <v>0</v>
      </c>
      <c r="O10" s="58">
        <f t="shared" si="2"/>
        <v>0</v>
      </c>
      <c r="P10" s="39">
        <f t="shared" si="3"/>
        <v>20</v>
      </c>
      <c r="Q10" s="40">
        <f t="shared" si="4"/>
        <v>4</v>
      </c>
      <c r="R10" s="7"/>
      <c r="S10" s="6">
        <v>4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0.83333333333333337</v>
      </c>
      <c r="AD10" s="10">
        <f t="shared" si="7"/>
        <v>0.83333333333333337</v>
      </c>
      <c r="AE10" s="36">
        <f t="shared" si="8"/>
        <v>0.54722222222222228</v>
      </c>
      <c r="AF10" s="87">
        <f t="shared" si="9"/>
        <v>4</v>
      </c>
    </row>
    <row r="11" spans="1:32" ht="27" customHeight="1">
      <c r="A11" s="103">
        <v>5</v>
      </c>
      <c r="B11" s="11" t="s">
        <v>57</v>
      </c>
      <c r="C11" s="34" t="s">
        <v>124</v>
      </c>
      <c r="D11" s="52" t="s">
        <v>125</v>
      </c>
      <c r="E11" s="53" t="s">
        <v>323</v>
      </c>
      <c r="F11" s="30" t="s">
        <v>141</v>
      </c>
      <c r="G11" s="33">
        <v>1</v>
      </c>
      <c r="H11" s="35">
        <v>24</v>
      </c>
      <c r="I11" s="7">
        <v>8500</v>
      </c>
      <c r="J11" s="5">
        <v>1002</v>
      </c>
      <c r="K11" s="15">
        <f>L11+1002</f>
        <v>1002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>AC11*AB11*(1-O11)</f>
        <v>0</v>
      </c>
      <c r="AE11" s="36">
        <f t="shared" si="8"/>
        <v>0.54722222222222228</v>
      </c>
      <c r="AF11" s="87">
        <f t="shared" si="9"/>
        <v>5</v>
      </c>
    </row>
    <row r="12" spans="1:32" ht="27" customHeight="1">
      <c r="A12" s="103">
        <v>6</v>
      </c>
      <c r="B12" s="11" t="s">
        <v>57</v>
      </c>
      <c r="C12" s="34" t="s">
        <v>124</v>
      </c>
      <c r="D12" s="52" t="s">
        <v>183</v>
      </c>
      <c r="E12" s="53" t="s">
        <v>300</v>
      </c>
      <c r="F12" s="30" t="s">
        <v>126</v>
      </c>
      <c r="G12" s="33">
        <v>1</v>
      </c>
      <c r="H12" s="35">
        <v>24</v>
      </c>
      <c r="I12" s="7">
        <v>62000</v>
      </c>
      <c r="J12" s="5">
        <v>5485</v>
      </c>
      <c r="K12" s="15">
        <f>L12+2377+5493+2477+3963+2705</f>
        <v>22500</v>
      </c>
      <c r="L12" s="15">
        <f>2822+2663</f>
        <v>5485</v>
      </c>
      <c r="M12" s="15">
        <f t="shared" si="1"/>
        <v>5485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>AC12*AB12*(1-O12)</f>
        <v>1</v>
      </c>
      <c r="AE12" s="36">
        <f t="shared" si="8"/>
        <v>0.54722222222222228</v>
      </c>
      <c r="AF12" s="87">
        <f t="shared" si="9"/>
        <v>6</v>
      </c>
    </row>
    <row r="13" spans="1:32" ht="27" customHeight="1">
      <c r="A13" s="103">
        <v>7</v>
      </c>
      <c r="B13" s="11" t="s">
        <v>57</v>
      </c>
      <c r="C13" s="11" t="s">
        <v>114</v>
      </c>
      <c r="D13" s="52" t="s">
        <v>117</v>
      </c>
      <c r="E13" s="53" t="s">
        <v>144</v>
      </c>
      <c r="F13" s="30" t="s">
        <v>121</v>
      </c>
      <c r="G13" s="33">
        <v>1</v>
      </c>
      <c r="H13" s="35">
        <v>24</v>
      </c>
      <c r="I13" s="7">
        <v>70000</v>
      </c>
      <c r="J13" s="14">
        <v>1960</v>
      </c>
      <c r="K13" s="15">
        <f>L13+2036+3193+2673+3958+1875+401+3155+4199+2859+2339+1952+1208+2933+3415</f>
        <v>38156</v>
      </c>
      <c r="L13" s="15">
        <f>1960</f>
        <v>1960</v>
      </c>
      <c r="M13" s="15">
        <f t="shared" si="1"/>
        <v>1960</v>
      </c>
      <c r="N13" s="15">
        <v>0</v>
      </c>
      <c r="O13" s="58">
        <f t="shared" si="2"/>
        <v>0</v>
      </c>
      <c r="P13" s="39">
        <f t="shared" si="3"/>
        <v>11</v>
      </c>
      <c r="Q13" s="40">
        <f t="shared" si="4"/>
        <v>13</v>
      </c>
      <c r="R13" s="7"/>
      <c r="S13" s="6">
        <v>13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0.45833333333333331</v>
      </c>
      <c r="AD13" s="10">
        <f t="shared" ref="AD13:AD14" si="10">AC13*AB13*(1-O13)</f>
        <v>0.45833333333333331</v>
      </c>
      <c r="AE13" s="36">
        <f t="shared" si="8"/>
        <v>0.54722222222222228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138</v>
      </c>
      <c r="D14" s="52"/>
      <c r="E14" s="53" t="s">
        <v>327</v>
      </c>
      <c r="F14" s="30" t="s">
        <v>243</v>
      </c>
      <c r="G14" s="33">
        <v>1</v>
      </c>
      <c r="H14" s="35">
        <v>24</v>
      </c>
      <c r="I14" s="7">
        <v>2100</v>
      </c>
      <c r="J14" s="14">
        <v>3208</v>
      </c>
      <c r="K14" s="15">
        <f>L14+774+3208</f>
        <v>3982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10"/>
        <v>0</v>
      </c>
      <c r="AE14" s="36">
        <f t="shared" si="8"/>
        <v>0.54722222222222228</v>
      </c>
      <c r="AF14" s="87">
        <f t="shared" si="9"/>
        <v>8</v>
      </c>
    </row>
    <row r="15" spans="1:32" ht="27" customHeight="1">
      <c r="A15" s="118">
        <v>9</v>
      </c>
      <c r="B15" s="11" t="s">
        <v>57</v>
      </c>
      <c r="C15" s="34" t="s">
        <v>381</v>
      </c>
      <c r="D15" s="52"/>
      <c r="E15" s="53" t="s">
        <v>382</v>
      </c>
      <c r="F15" s="30" t="s">
        <v>383</v>
      </c>
      <c r="G15" s="33">
        <v>1</v>
      </c>
      <c r="H15" s="35">
        <v>24</v>
      </c>
      <c r="I15" s="7">
        <v>200</v>
      </c>
      <c r="J15" s="5">
        <v>650</v>
      </c>
      <c r="K15" s="15">
        <f>L15</f>
        <v>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0.54722222222222228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128</v>
      </c>
      <c r="D16" s="52" t="s">
        <v>384</v>
      </c>
      <c r="E16" s="53" t="s">
        <v>337</v>
      </c>
      <c r="F16" s="12">
        <v>8301</v>
      </c>
      <c r="G16" s="12">
        <v>1</v>
      </c>
      <c r="H16" s="13">
        <v>24</v>
      </c>
      <c r="I16" s="31">
        <v>13000</v>
      </c>
      <c r="J16" s="14">
        <v>5212</v>
      </c>
      <c r="K16" s="15">
        <f>L16</f>
        <v>5212</v>
      </c>
      <c r="L16" s="15">
        <f>2947+2265</f>
        <v>5212</v>
      </c>
      <c r="M16" s="15">
        <f t="shared" si="1"/>
        <v>5212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0.54722222222222228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138</v>
      </c>
      <c r="D17" s="52"/>
      <c r="E17" s="53" t="s">
        <v>401</v>
      </c>
      <c r="F17" s="30" t="s">
        <v>141</v>
      </c>
      <c r="G17" s="12">
        <v>1</v>
      </c>
      <c r="H17" s="13">
        <v>28</v>
      </c>
      <c r="I17" s="7">
        <v>2300</v>
      </c>
      <c r="J17" s="14">
        <v>4310</v>
      </c>
      <c r="K17" s="15">
        <f>L17</f>
        <v>4310</v>
      </c>
      <c r="L17" s="15">
        <f>1367+2724+219</f>
        <v>4310</v>
      </c>
      <c r="M17" s="15">
        <f t="shared" si="1"/>
        <v>4310</v>
      </c>
      <c r="N17" s="15">
        <v>0</v>
      </c>
      <c r="O17" s="58">
        <f t="shared" si="2"/>
        <v>0</v>
      </c>
      <c r="P17" s="39">
        <f t="shared" si="3"/>
        <v>23</v>
      </c>
      <c r="Q17" s="40">
        <f t="shared" si="4"/>
        <v>1</v>
      </c>
      <c r="R17" s="7"/>
      <c r="S17" s="6"/>
      <c r="T17" s="16">
        <v>1</v>
      </c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0.95833333333333337</v>
      </c>
      <c r="AD17" s="10">
        <f t="shared" si="7"/>
        <v>0.95833333333333337</v>
      </c>
      <c r="AE17" s="36">
        <f t="shared" si="8"/>
        <v>0.54722222222222228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34" t="s">
        <v>128</v>
      </c>
      <c r="D18" s="52" t="s">
        <v>315</v>
      </c>
      <c r="E18" s="53" t="s">
        <v>402</v>
      </c>
      <c r="F18" s="30" t="s">
        <v>249</v>
      </c>
      <c r="G18" s="33">
        <v>1</v>
      </c>
      <c r="H18" s="35">
        <v>24</v>
      </c>
      <c r="I18" s="7">
        <v>1000</v>
      </c>
      <c r="J18" s="5">
        <v>1177</v>
      </c>
      <c r="K18" s="15">
        <f>L18</f>
        <v>1177</v>
      </c>
      <c r="L18" s="15">
        <f>1177</f>
        <v>1177</v>
      </c>
      <c r="M18" s="15">
        <f t="shared" si="1"/>
        <v>1177</v>
      </c>
      <c r="N18" s="15">
        <v>0</v>
      </c>
      <c r="O18" s="58">
        <f t="shared" si="2"/>
        <v>0</v>
      </c>
      <c r="P18" s="39">
        <f t="shared" si="3"/>
        <v>8</v>
      </c>
      <c r="Q18" s="40">
        <f t="shared" si="4"/>
        <v>16</v>
      </c>
      <c r="R18" s="7"/>
      <c r="S18" s="6"/>
      <c r="T18" s="16"/>
      <c r="U18" s="16"/>
      <c r="V18" s="17"/>
      <c r="W18" s="5">
        <v>16</v>
      </c>
      <c r="X18" s="16"/>
      <c r="Y18" s="16"/>
      <c r="Z18" s="16"/>
      <c r="AA18" s="18"/>
      <c r="AB18" s="8">
        <f t="shared" si="5"/>
        <v>1</v>
      </c>
      <c r="AC18" s="9">
        <f t="shared" si="6"/>
        <v>0.33333333333333331</v>
      </c>
      <c r="AD18" s="10">
        <f t="shared" si="7"/>
        <v>0.33333333333333331</v>
      </c>
      <c r="AE18" s="36">
        <f t="shared" si="8"/>
        <v>0.54722222222222228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122</v>
      </c>
      <c r="E19" s="53" t="s">
        <v>147</v>
      </c>
      <c r="F19" s="30" t="s">
        <v>123</v>
      </c>
      <c r="G19" s="33">
        <v>1</v>
      </c>
      <c r="H19" s="35">
        <v>24</v>
      </c>
      <c r="I19" s="7">
        <v>60000</v>
      </c>
      <c r="J19" s="5">
        <v>4741</v>
      </c>
      <c r="K19" s="15">
        <f>L19+1915+5043+1754+4429+1736</f>
        <v>19618</v>
      </c>
      <c r="L19" s="15">
        <f>2727+2014</f>
        <v>4741</v>
      </c>
      <c r="M19" s="15">
        <f t="shared" si="1"/>
        <v>4741</v>
      </c>
      <c r="N19" s="15">
        <v>0</v>
      </c>
      <c r="O19" s="58">
        <f t="shared" si="2"/>
        <v>0</v>
      </c>
      <c r="P19" s="39">
        <f t="shared" si="3"/>
        <v>22</v>
      </c>
      <c r="Q19" s="40">
        <f t="shared" si="4"/>
        <v>2</v>
      </c>
      <c r="R19" s="7"/>
      <c r="S19" s="6">
        <v>2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0.91666666666666663</v>
      </c>
      <c r="AD19" s="10">
        <f>AC19*AB19*(1-O19)</f>
        <v>0.91666666666666663</v>
      </c>
      <c r="AE19" s="36">
        <f t="shared" si="8"/>
        <v>0.54722222222222228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124</v>
      </c>
      <c r="D20" s="52" t="s">
        <v>117</v>
      </c>
      <c r="E20" s="53" t="s">
        <v>360</v>
      </c>
      <c r="F20" s="30" t="s">
        <v>267</v>
      </c>
      <c r="G20" s="33">
        <v>1</v>
      </c>
      <c r="H20" s="35">
        <v>24</v>
      </c>
      <c r="I20" s="7">
        <v>8500</v>
      </c>
      <c r="J20" s="14">
        <v>1367</v>
      </c>
      <c r="K20" s="15">
        <f>L20+3961+4146</f>
        <v>9474</v>
      </c>
      <c r="L20" s="15">
        <v>1367</v>
      </c>
      <c r="M20" s="15">
        <f t="shared" ref="M20" si="11">L20-N20</f>
        <v>1367</v>
      </c>
      <c r="N20" s="15">
        <v>0</v>
      </c>
      <c r="O20" s="58">
        <f t="shared" ref="O20" si="12">IF(L20=0,"0",N20/L20)</f>
        <v>0</v>
      </c>
      <c r="P20" s="39">
        <f t="shared" ref="P20" si="13">IF(L20=0,"0",(24-Q20))</f>
        <v>6</v>
      </c>
      <c r="Q20" s="40">
        <f t="shared" ref="Q20" si="14">SUM(R20:AA20)</f>
        <v>18</v>
      </c>
      <c r="R20" s="7"/>
      <c r="S20" s="6"/>
      <c r="T20" s="16"/>
      <c r="U20" s="16"/>
      <c r="V20" s="17"/>
      <c r="W20" s="5">
        <v>18</v>
      </c>
      <c r="X20" s="16"/>
      <c r="Y20" s="16"/>
      <c r="Z20" s="16"/>
      <c r="AA20" s="18"/>
      <c r="AB20" s="8">
        <f t="shared" ref="AB20" si="15">IF(J20=0,"0",(L20/J20))</f>
        <v>1</v>
      </c>
      <c r="AC20" s="9">
        <f t="shared" ref="AC20" si="16">IF(P20=0,"0",(P20/24))</f>
        <v>0.25</v>
      </c>
      <c r="AD20" s="10">
        <f t="shared" ref="AD20" si="17">AC20*AB20*(1-O20)</f>
        <v>0.25</v>
      </c>
      <c r="AE20" s="36">
        <f t="shared" si="8"/>
        <v>0.54722222222222228</v>
      </c>
      <c r="AF20" s="87">
        <f t="shared" ref="AF20" si="18">A20</f>
        <v>14</v>
      </c>
    </row>
    <row r="21" spans="1:32" ht="27" customHeight="1">
      <c r="A21" s="103">
        <v>14</v>
      </c>
      <c r="B21" s="11" t="s">
        <v>57</v>
      </c>
      <c r="C21" s="11" t="s">
        <v>124</v>
      </c>
      <c r="D21" s="52" t="s">
        <v>117</v>
      </c>
      <c r="E21" s="53" t="s">
        <v>393</v>
      </c>
      <c r="F21" s="30" t="s">
        <v>121</v>
      </c>
      <c r="G21" s="33">
        <v>1</v>
      </c>
      <c r="H21" s="35">
        <v>24</v>
      </c>
      <c r="I21" s="7">
        <v>57000</v>
      </c>
      <c r="J21" s="14">
        <v>2174</v>
      </c>
      <c r="K21" s="15">
        <f>L21</f>
        <v>2174</v>
      </c>
      <c r="L21" s="15">
        <f>107+2067</f>
        <v>2174</v>
      </c>
      <c r="M21" s="15">
        <f t="shared" si="1"/>
        <v>2174</v>
      </c>
      <c r="N21" s="15">
        <v>0</v>
      </c>
      <c r="O21" s="58">
        <f t="shared" si="2"/>
        <v>0</v>
      </c>
      <c r="P21" s="39">
        <f t="shared" si="3"/>
        <v>13</v>
      </c>
      <c r="Q21" s="40">
        <f t="shared" si="4"/>
        <v>11</v>
      </c>
      <c r="R21" s="7"/>
      <c r="S21" s="6">
        <v>11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0.54166666666666663</v>
      </c>
      <c r="AD21" s="10">
        <f t="shared" si="7"/>
        <v>0.54166666666666663</v>
      </c>
      <c r="AE21" s="36">
        <f t="shared" si="8"/>
        <v>0.54722222222222228</v>
      </c>
      <c r="AF21" s="87">
        <f t="shared" si="9"/>
        <v>14</v>
      </c>
    </row>
    <row r="22" spans="1:32" ht="27" customHeight="1" thickBot="1">
      <c r="A22" s="103">
        <v>15</v>
      </c>
      <c r="B22" s="11" t="s">
        <v>57</v>
      </c>
      <c r="C22" s="11" t="s">
        <v>115</v>
      </c>
      <c r="D22" s="52"/>
      <c r="E22" s="53" t="s">
        <v>134</v>
      </c>
      <c r="F22" s="12" t="s">
        <v>116</v>
      </c>
      <c r="G22" s="12">
        <v>4</v>
      </c>
      <c r="H22" s="35">
        <v>20</v>
      </c>
      <c r="I22" s="7">
        <v>300000</v>
      </c>
      <c r="J22" s="14">
        <v>69996</v>
      </c>
      <c r="K22" s="15">
        <f>L22</f>
        <v>69996</v>
      </c>
      <c r="L22" s="15">
        <f>7672*4+9827*4</f>
        <v>69996</v>
      </c>
      <c r="M22" s="15">
        <f t="shared" si="1"/>
        <v>69996</v>
      </c>
      <c r="N22" s="15">
        <v>0</v>
      </c>
      <c r="O22" s="58">
        <f t="shared" si="2"/>
        <v>0</v>
      </c>
      <c r="P22" s="39">
        <f t="shared" si="3"/>
        <v>23</v>
      </c>
      <c r="Q22" s="40">
        <f t="shared" si="4"/>
        <v>1</v>
      </c>
      <c r="R22" s="7"/>
      <c r="S22" s="6"/>
      <c r="T22" s="16">
        <v>1</v>
      </c>
      <c r="U22" s="16"/>
      <c r="V22" s="17"/>
      <c r="W22" s="5"/>
      <c r="X22" s="16"/>
      <c r="Y22" s="16"/>
      <c r="Z22" s="16"/>
      <c r="AA22" s="18"/>
      <c r="AB22" s="8">
        <f t="shared" si="5"/>
        <v>1</v>
      </c>
      <c r="AC22" s="9">
        <f t="shared" si="6"/>
        <v>0.95833333333333337</v>
      </c>
      <c r="AD22" s="10">
        <f t="shared" si="7"/>
        <v>0.95833333333333337</v>
      </c>
      <c r="AE22" s="36">
        <f t="shared" si="8"/>
        <v>0.54722222222222228</v>
      </c>
      <c r="AF22" s="87">
        <f t="shared" si="9"/>
        <v>15</v>
      </c>
    </row>
    <row r="23" spans="1:32" ht="31.5" customHeight="1" thickBot="1">
      <c r="A23" s="541" t="s">
        <v>34</v>
      </c>
      <c r="B23" s="542"/>
      <c r="C23" s="542"/>
      <c r="D23" s="542"/>
      <c r="E23" s="542"/>
      <c r="F23" s="542"/>
      <c r="G23" s="542"/>
      <c r="H23" s="543"/>
      <c r="I23" s="22">
        <f t="shared" ref="I23:N23" si="19">SUM(I6:I22)</f>
        <v>702600</v>
      </c>
      <c r="J23" s="19">
        <f t="shared" si="19"/>
        <v>111853</v>
      </c>
      <c r="K23" s="20">
        <f t="shared" si="19"/>
        <v>247187</v>
      </c>
      <c r="L23" s="21">
        <f t="shared" si="19"/>
        <v>104932</v>
      </c>
      <c r="M23" s="20">
        <f t="shared" si="19"/>
        <v>104932</v>
      </c>
      <c r="N23" s="21">
        <f t="shared" si="19"/>
        <v>0</v>
      </c>
      <c r="O23" s="41">
        <f t="shared" si="2"/>
        <v>0</v>
      </c>
      <c r="P23" s="42">
        <f t="shared" ref="P23:AA23" si="20">SUM(P6:P22)</f>
        <v>197</v>
      </c>
      <c r="Q23" s="43">
        <f t="shared" si="20"/>
        <v>211</v>
      </c>
      <c r="R23" s="23">
        <f t="shared" si="20"/>
        <v>24</v>
      </c>
      <c r="S23" s="24">
        <f t="shared" si="20"/>
        <v>78</v>
      </c>
      <c r="T23" s="24">
        <f t="shared" si="20"/>
        <v>14</v>
      </c>
      <c r="U23" s="24">
        <f t="shared" si="20"/>
        <v>0</v>
      </c>
      <c r="V23" s="25">
        <f t="shared" si="20"/>
        <v>24</v>
      </c>
      <c r="W23" s="26">
        <f t="shared" si="20"/>
        <v>71</v>
      </c>
      <c r="X23" s="27">
        <f t="shared" si="20"/>
        <v>0</v>
      </c>
      <c r="Y23" s="27">
        <f t="shared" si="20"/>
        <v>0</v>
      </c>
      <c r="Z23" s="27">
        <f t="shared" si="20"/>
        <v>0</v>
      </c>
      <c r="AA23" s="27">
        <f t="shared" si="20"/>
        <v>0</v>
      </c>
      <c r="AB23" s="28">
        <f>SUM(AB6:AB22)/15</f>
        <v>0.8</v>
      </c>
      <c r="AC23" s="4">
        <f>SUM(AC6:AC22)/15</f>
        <v>0.54722222222222228</v>
      </c>
      <c r="AD23" s="4">
        <f>SUM(AD6:AD22)/15</f>
        <v>0.54722222222222228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8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44" t="s">
        <v>45</v>
      </c>
      <c r="B50" s="544"/>
      <c r="C50" s="544"/>
      <c r="D50" s="544"/>
      <c r="E50" s="544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45" t="s">
        <v>403</v>
      </c>
      <c r="B51" s="546"/>
      <c r="C51" s="546"/>
      <c r="D51" s="546"/>
      <c r="E51" s="546"/>
      <c r="F51" s="546"/>
      <c r="G51" s="546"/>
      <c r="H51" s="546"/>
      <c r="I51" s="546"/>
      <c r="J51" s="546"/>
      <c r="K51" s="546"/>
      <c r="L51" s="546"/>
      <c r="M51" s="547"/>
      <c r="N51" s="548" t="s">
        <v>406</v>
      </c>
      <c r="O51" s="549"/>
      <c r="P51" s="549"/>
      <c r="Q51" s="549"/>
      <c r="R51" s="549"/>
      <c r="S51" s="549"/>
      <c r="T51" s="549"/>
      <c r="U51" s="549"/>
      <c r="V51" s="549"/>
      <c r="W51" s="549"/>
      <c r="X51" s="549"/>
      <c r="Y51" s="549"/>
      <c r="Z51" s="549"/>
      <c r="AA51" s="549"/>
      <c r="AB51" s="549"/>
      <c r="AC51" s="549"/>
      <c r="AD51" s="550"/>
    </row>
    <row r="52" spans="1:32" ht="27" customHeight="1">
      <c r="A52" s="551" t="s">
        <v>2</v>
      </c>
      <c r="B52" s="552"/>
      <c r="C52" s="265" t="s">
        <v>46</v>
      </c>
      <c r="D52" s="265" t="s">
        <v>47</v>
      </c>
      <c r="E52" s="265" t="s">
        <v>108</v>
      </c>
      <c r="F52" s="552" t="s">
        <v>107</v>
      </c>
      <c r="G52" s="552"/>
      <c r="H52" s="552"/>
      <c r="I52" s="552"/>
      <c r="J52" s="552"/>
      <c r="K52" s="552"/>
      <c r="L52" s="552"/>
      <c r="M52" s="553"/>
      <c r="N52" s="67" t="s">
        <v>112</v>
      </c>
      <c r="O52" s="265" t="s">
        <v>46</v>
      </c>
      <c r="P52" s="554" t="s">
        <v>47</v>
      </c>
      <c r="Q52" s="555"/>
      <c r="R52" s="554" t="s">
        <v>38</v>
      </c>
      <c r="S52" s="556"/>
      <c r="T52" s="556"/>
      <c r="U52" s="555"/>
      <c r="V52" s="554" t="s">
        <v>48</v>
      </c>
      <c r="W52" s="556"/>
      <c r="X52" s="556"/>
      <c r="Y52" s="556"/>
      <c r="Z52" s="556"/>
      <c r="AA52" s="556"/>
      <c r="AB52" s="556"/>
      <c r="AC52" s="556"/>
      <c r="AD52" s="557"/>
    </row>
    <row r="53" spans="1:32" ht="27" customHeight="1">
      <c r="A53" s="524" t="s">
        <v>114</v>
      </c>
      <c r="B53" s="525"/>
      <c r="C53" s="267" t="s">
        <v>170</v>
      </c>
      <c r="D53" s="267" t="s">
        <v>119</v>
      </c>
      <c r="E53" s="267" t="s">
        <v>392</v>
      </c>
      <c r="F53" s="517" t="s">
        <v>120</v>
      </c>
      <c r="G53" s="518"/>
      <c r="H53" s="518"/>
      <c r="I53" s="518"/>
      <c r="J53" s="518"/>
      <c r="K53" s="518"/>
      <c r="L53" s="518"/>
      <c r="M53" s="526"/>
      <c r="N53" s="266" t="s">
        <v>124</v>
      </c>
      <c r="O53" s="271" t="s">
        <v>155</v>
      </c>
      <c r="P53" s="536" t="s">
        <v>125</v>
      </c>
      <c r="Q53" s="537"/>
      <c r="R53" s="536" t="s">
        <v>323</v>
      </c>
      <c r="S53" s="538"/>
      <c r="T53" s="538"/>
      <c r="U53" s="537"/>
      <c r="V53" s="503" t="s">
        <v>157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114</v>
      </c>
      <c r="B54" s="525"/>
      <c r="C54" s="267" t="s">
        <v>131</v>
      </c>
      <c r="D54" s="267" t="s">
        <v>142</v>
      </c>
      <c r="E54" s="267" t="s">
        <v>404</v>
      </c>
      <c r="F54" s="517" t="s">
        <v>299</v>
      </c>
      <c r="G54" s="518"/>
      <c r="H54" s="518"/>
      <c r="I54" s="518"/>
      <c r="J54" s="518"/>
      <c r="K54" s="518"/>
      <c r="L54" s="518"/>
      <c r="M54" s="526"/>
      <c r="N54" s="266" t="s">
        <v>138</v>
      </c>
      <c r="O54" s="271" t="s">
        <v>163</v>
      </c>
      <c r="P54" s="536"/>
      <c r="Q54" s="537"/>
      <c r="R54" s="536" t="s">
        <v>408</v>
      </c>
      <c r="S54" s="538"/>
      <c r="T54" s="538"/>
      <c r="U54" s="537"/>
      <c r="V54" s="503" t="s">
        <v>120</v>
      </c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114</v>
      </c>
      <c r="B55" s="525"/>
      <c r="C55" s="267" t="s">
        <v>150</v>
      </c>
      <c r="D55" s="267" t="s">
        <v>117</v>
      </c>
      <c r="E55" s="267" t="s">
        <v>144</v>
      </c>
      <c r="F55" s="517" t="s">
        <v>405</v>
      </c>
      <c r="G55" s="518"/>
      <c r="H55" s="518"/>
      <c r="I55" s="518"/>
      <c r="J55" s="518"/>
      <c r="K55" s="518"/>
      <c r="L55" s="518"/>
      <c r="M55" s="526"/>
      <c r="N55" s="266" t="s">
        <v>381</v>
      </c>
      <c r="O55" s="271" t="s">
        <v>137</v>
      </c>
      <c r="P55" s="536"/>
      <c r="Q55" s="537"/>
      <c r="R55" s="525" t="s">
        <v>382</v>
      </c>
      <c r="S55" s="525"/>
      <c r="T55" s="525"/>
      <c r="U55" s="525"/>
      <c r="V55" s="503" t="s">
        <v>157</v>
      </c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 t="s">
        <v>128</v>
      </c>
      <c r="B56" s="525"/>
      <c r="C56" s="267" t="s">
        <v>217</v>
      </c>
      <c r="D56" s="267" t="s">
        <v>384</v>
      </c>
      <c r="E56" s="267" t="s">
        <v>337</v>
      </c>
      <c r="F56" s="517" t="s">
        <v>120</v>
      </c>
      <c r="G56" s="518"/>
      <c r="H56" s="518"/>
      <c r="I56" s="518"/>
      <c r="J56" s="518"/>
      <c r="K56" s="518"/>
      <c r="L56" s="518"/>
      <c r="M56" s="526"/>
      <c r="N56" s="266"/>
      <c r="O56" s="271"/>
      <c r="P56" s="536"/>
      <c r="Q56" s="537"/>
      <c r="R56" s="536"/>
      <c r="S56" s="538"/>
      <c r="T56" s="538"/>
      <c r="U56" s="537"/>
      <c r="V56" s="503"/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 t="s">
        <v>138</v>
      </c>
      <c r="B57" s="525"/>
      <c r="C57" s="267" t="s">
        <v>295</v>
      </c>
      <c r="D57" s="267"/>
      <c r="E57" s="267" t="s">
        <v>401</v>
      </c>
      <c r="F57" s="517" t="s">
        <v>120</v>
      </c>
      <c r="G57" s="518"/>
      <c r="H57" s="518"/>
      <c r="I57" s="518"/>
      <c r="J57" s="518"/>
      <c r="K57" s="518"/>
      <c r="L57" s="518"/>
      <c r="M57" s="526"/>
      <c r="N57" s="266"/>
      <c r="O57" s="271"/>
      <c r="P57" s="536"/>
      <c r="Q57" s="537"/>
      <c r="R57" s="536"/>
      <c r="S57" s="538"/>
      <c r="T57" s="538"/>
      <c r="U57" s="537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 t="s">
        <v>114</v>
      </c>
      <c r="B58" s="525"/>
      <c r="C58" s="267" t="s">
        <v>234</v>
      </c>
      <c r="D58" s="267" t="s">
        <v>122</v>
      </c>
      <c r="E58" s="267" t="s">
        <v>147</v>
      </c>
      <c r="F58" s="517" t="s">
        <v>209</v>
      </c>
      <c r="G58" s="518"/>
      <c r="H58" s="518"/>
      <c r="I58" s="518"/>
      <c r="J58" s="518"/>
      <c r="K58" s="518"/>
      <c r="L58" s="518"/>
      <c r="M58" s="526"/>
      <c r="N58" s="266"/>
      <c r="O58" s="271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 t="s">
        <v>124</v>
      </c>
      <c r="B59" s="525"/>
      <c r="C59" s="267" t="s">
        <v>171</v>
      </c>
      <c r="D59" s="267" t="s">
        <v>117</v>
      </c>
      <c r="E59" s="267" t="s">
        <v>393</v>
      </c>
      <c r="F59" s="517" t="s">
        <v>173</v>
      </c>
      <c r="G59" s="518"/>
      <c r="H59" s="518"/>
      <c r="I59" s="518"/>
      <c r="J59" s="518"/>
      <c r="K59" s="518"/>
      <c r="L59" s="518"/>
      <c r="M59" s="526"/>
      <c r="N59" s="266"/>
      <c r="O59" s="271"/>
      <c r="P59" s="536"/>
      <c r="Q59" s="537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</row>
    <row r="60" spans="1:32" ht="27" customHeight="1">
      <c r="A60" s="524" t="s">
        <v>115</v>
      </c>
      <c r="B60" s="525"/>
      <c r="C60" s="267" t="s">
        <v>371</v>
      </c>
      <c r="D60" s="267"/>
      <c r="E60" s="267" t="s">
        <v>134</v>
      </c>
      <c r="F60" s="517" t="s">
        <v>120</v>
      </c>
      <c r="G60" s="518"/>
      <c r="H60" s="518"/>
      <c r="I60" s="518"/>
      <c r="J60" s="518"/>
      <c r="K60" s="518"/>
      <c r="L60" s="518"/>
      <c r="M60" s="526"/>
      <c r="N60" s="266"/>
      <c r="O60" s="271"/>
      <c r="P60" s="536"/>
      <c r="Q60" s="537"/>
      <c r="R60" s="525"/>
      <c r="S60" s="525"/>
      <c r="T60" s="525"/>
      <c r="U60" s="525"/>
      <c r="V60" s="503"/>
      <c r="W60" s="503"/>
      <c r="X60" s="503"/>
      <c r="Y60" s="503"/>
      <c r="Z60" s="503"/>
      <c r="AA60" s="503"/>
      <c r="AB60" s="503"/>
      <c r="AC60" s="503"/>
      <c r="AD60" s="527"/>
    </row>
    <row r="61" spans="1:32" ht="27" customHeight="1">
      <c r="A61" s="524" t="s">
        <v>128</v>
      </c>
      <c r="B61" s="525"/>
      <c r="C61" s="267" t="s">
        <v>163</v>
      </c>
      <c r="D61" s="267"/>
      <c r="E61" s="267" t="s">
        <v>308</v>
      </c>
      <c r="F61" s="517" t="s">
        <v>407</v>
      </c>
      <c r="G61" s="518"/>
      <c r="H61" s="518"/>
      <c r="I61" s="518"/>
      <c r="J61" s="518"/>
      <c r="K61" s="518"/>
      <c r="L61" s="518"/>
      <c r="M61" s="526"/>
      <c r="N61" s="266"/>
      <c r="O61" s="271"/>
      <c r="P61" s="525"/>
      <c r="Q61" s="525"/>
      <c r="R61" s="525"/>
      <c r="S61" s="525"/>
      <c r="T61" s="525"/>
      <c r="U61" s="525"/>
      <c r="V61" s="503"/>
      <c r="W61" s="503"/>
      <c r="X61" s="503"/>
      <c r="Y61" s="503"/>
      <c r="Z61" s="503"/>
      <c r="AA61" s="503"/>
      <c r="AB61" s="503"/>
      <c r="AC61" s="503"/>
      <c r="AD61" s="527"/>
      <c r="AF61" s="87">
        <f>8*3000</f>
        <v>24000</v>
      </c>
    </row>
    <row r="62" spans="1:32" ht="27" customHeight="1" thickBot="1">
      <c r="A62" s="528"/>
      <c r="B62" s="529"/>
      <c r="C62" s="268"/>
      <c r="D62" s="268"/>
      <c r="E62" s="268"/>
      <c r="F62" s="530"/>
      <c r="G62" s="531"/>
      <c r="H62" s="531"/>
      <c r="I62" s="531"/>
      <c r="J62" s="531"/>
      <c r="K62" s="531"/>
      <c r="L62" s="531"/>
      <c r="M62" s="532"/>
      <c r="N62" s="124"/>
      <c r="O62" s="114"/>
      <c r="P62" s="533"/>
      <c r="Q62" s="533"/>
      <c r="R62" s="533"/>
      <c r="S62" s="533"/>
      <c r="T62" s="533"/>
      <c r="U62" s="533"/>
      <c r="V62" s="534"/>
      <c r="W62" s="534"/>
      <c r="X62" s="534"/>
      <c r="Y62" s="534"/>
      <c r="Z62" s="534"/>
      <c r="AA62" s="534"/>
      <c r="AB62" s="534"/>
      <c r="AC62" s="534"/>
      <c r="AD62" s="535"/>
      <c r="AF62" s="87">
        <f>16*3000</f>
        <v>48000</v>
      </c>
    </row>
    <row r="63" spans="1:32" ht="27.75" thickBot="1">
      <c r="A63" s="522" t="s">
        <v>409</v>
      </c>
      <c r="B63" s="522"/>
      <c r="C63" s="522"/>
      <c r="D63" s="522"/>
      <c r="E63" s="522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7">
        <v>24000</v>
      </c>
    </row>
    <row r="64" spans="1:32" ht="29.25" customHeight="1" thickBot="1">
      <c r="A64" s="523" t="s">
        <v>113</v>
      </c>
      <c r="B64" s="515"/>
      <c r="C64" s="269" t="s">
        <v>2</v>
      </c>
      <c r="D64" s="269" t="s">
        <v>37</v>
      </c>
      <c r="E64" s="269" t="s">
        <v>3</v>
      </c>
      <c r="F64" s="515" t="s">
        <v>110</v>
      </c>
      <c r="G64" s="515"/>
      <c r="H64" s="515"/>
      <c r="I64" s="515"/>
      <c r="J64" s="515"/>
      <c r="K64" s="515" t="s">
        <v>39</v>
      </c>
      <c r="L64" s="515"/>
      <c r="M64" s="269" t="s">
        <v>40</v>
      </c>
      <c r="N64" s="515" t="s">
        <v>41</v>
      </c>
      <c r="O64" s="515"/>
      <c r="P64" s="512" t="s">
        <v>42</v>
      </c>
      <c r="Q64" s="514"/>
      <c r="R64" s="512" t="s">
        <v>43</v>
      </c>
      <c r="S64" s="513"/>
      <c r="T64" s="513"/>
      <c r="U64" s="513"/>
      <c r="V64" s="513"/>
      <c r="W64" s="513"/>
      <c r="X64" s="513"/>
      <c r="Y64" s="513"/>
      <c r="Z64" s="513"/>
      <c r="AA64" s="514"/>
      <c r="AB64" s="515" t="s">
        <v>44</v>
      </c>
      <c r="AC64" s="515"/>
      <c r="AD64" s="516"/>
      <c r="AF64" s="87">
        <f>SUM(AF61:AF63)</f>
        <v>96000</v>
      </c>
    </row>
    <row r="65" spans="1:32" ht="25.5" customHeight="1">
      <c r="A65" s="498">
        <v>1</v>
      </c>
      <c r="B65" s="499"/>
      <c r="C65" s="117" t="s">
        <v>114</v>
      </c>
      <c r="D65" s="273"/>
      <c r="E65" s="270" t="s">
        <v>117</v>
      </c>
      <c r="F65" s="500" t="s">
        <v>410</v>
      </c>
      <c r="G65" s="492"/>
      <c r="H65" s="492"/>
      <c r="I65" s="492"/>
      <c r="J65" s="492"/>
      <c r="K65" s="492" t="s">
        <v>259</v>
      </c>
      <c r="L65" s="492"/>
      <c r="M65" s="51" t="s">
        <v>216</v>
      </c>
      <c r="N65" s="501" t="s">
        <v>179</v>
      </c>
      <c r="O65" s="501"/>
      <c r="P65" s="502">
        <v>5</v>
      </c>
      <c r="Q65" s="502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507"/>
      <c r="AC65" s="520"/>
      <c r="AD65" s="521"/>
      <c r="AF65" s="50"/>
    </row>
    <row r="66" spans="1:32" ht="25.5" customHeight="1">
      <c r="A66" s="498">
        <v>2</v>
      </c>
      <c r="B66" s="499"/>
      <c r="C66" s="117" t="s">
        <v>114</v>
      </c>
      <c r="D66" s="273"/>
      <c r="E66" s="270" t="s">
        <v>117</v>
      </c>
      <c r="F66" s="504" t="s">
        <v>242</v>
      </c>
      <c r="G66" s="505"/>
      <c r="H66" s="505"/>
      <c r="I66" s="505"/>
      <c r="J66" s="506"/>
      <c r="K66" s="507" t="s">
        <v>243</v>
      </c>
      <c r="L66" s="499"/>
      <c r="M66" s="51" t="s">
        <v>162</v>
      </c>
      <c r="N66" s="501" t="s">
        <v>179</v>
      </c>
      <c r="O66" s="501"/>
      <c r="P66" s="510">
        <v>200</v>
      </c>
      <c r="Q66" s="511"/>
      <c r="R66" s="503" t="s">
        <v>411</v>
      </c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3</v>
      </c>
      <c r="B67" s="499"/>
      <c r="C67" s="117"/>
      <c r="D67" s="273"/>
      <c r="E67" s="270"/>
      <c r="F67" s="504"/>
      <c r="G67" s="505"/>
      <c r="H67" s="505"/>
      <c r="I67" s="505"/>
      <c r="J67" s="506"/>
      <c r="K67" s="507"/>
      <c r="L67" s="499"/>
      <c r="M67" s="51"/>
      <c r="N67" s="508"/>
      <c r="O67" s="509"/>
      <c r="P67" s="510"/>
      <c r="Q67" s="511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4</v>
      </c>
      <c r="B68" s="499"/>
      <c r="C68" s="117"/>
      <c r="D68" s="273"/>
      <c r="E68" s="270"/>
      <c r="F68" s="504"/>
      <c r="G68" s="505"/>
      <c r="H68" s="505"/>
      <c r="I68" s="505"/>
      <c r="J68" s="506"/>
      <c r="K68" s="507"/>
      <c r="L68" s="499"/>
      <c r="M68" s="51"/>
      <c r="N68" s="508"/>
      <c r="O68" s="509"/>
      <c r="P68" s="510"/>
      <c r="Q68" s="511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5</v>
      </c>
      <c r="B69" s="499"/>
      <c r="C69" s="117"/>
      <c r="D69" s="273"/>
      <c r="E69" s="270"/>
      <c r="F69" s="504"/>
      <c r="G69" s="505"/>
      <c r="H69" s="505"/>
      <c r="I69" s="505"/>
      <c r="J69" s="506"/>
      <c r="K69" s="507"/>
      <c r="L69" s="499"/>
      <c r="M69" s="51"/>
      <c r="N69" s="508"/>
      <c r="O69" s="509"/>
      <c r="P69" s="510"/>
      <c r="Q69" s="511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6</v>
      </c>
      <c r="B70" s="499"/>
      <c r="C70" s="117"/>
      <c r="D70" s="273"/>
      <c r="E70" s="270"/>
      <c r="F70" s="500"/>
      <c r="G70" s="492"/>
      <c r="H70" s="492"/>
      <c r="I70" s="492"/>
      <c r="J70" s="492"/>
      <c r="K70" s="492"/>
      <c r="L70" s="492"/>
      <c r="M70" s="51"/>
      <c r="N70" s="508"/>
      <c r="O70" s="509"/>
      <c r="P70" s="510"/>
      <c r="Q70" s="511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5.5" customHeight="1">
      <c r="A71" s="498">
        <v>7</v>
      </c>
      <c r="B71" s="499"/>
      <c r="C71" s="117"/>
      <c r="D71" s="273"/>
      <c r="E71" s="270"/>
      <c r="F71" s="500"/>
      <c r="G71" s="492"/>
      <c r="H71" s="492"/>
      <c r="I71" s="492"/>
      <c r="J71" s="492"/>
      <c r="K71" s="492"/>
      <c r="L71" s="492"/>
      <c r="M71" s="51"/>
      <c r="N71" s="508"/>
      <c r="O71" s="509"/>
      <c r="P71" s="510"/>
      <c r="Q71" s="511"/>
      <c r="R71" s="503"/>
      <c r="S71" s="503"/>
      <c r="T71" s="503"/>
      <c r="U71" s="503"/>
      <c r="V71" s="503"/>
      <c r="W71" s="503"/>
      <c r="X71" s="503"/>
      <c r="Y71" s="503"/>
      <c r="Z71" s="503"/>
      <c r="AA71" s="503"/>
      <c r="AB71" s="492"/>
      <c r="AC71" s="492"/>
      <c r="AD71" s="493"/>
      <c r="AF71" s="50"/>
    </row>
    <row r="72" spans="1:32" ht="25.5" customHeight="1">
      <c r="A72" s="498">
        <v>8</v>
      </c>
      <c r="B72" s="499"/>
      <c r="C72" s="117"/>
      <c r="D72" s="273"/>
      <c r="E72" s="270"/>
      <c r="F72" s="500"/>
      <c r="G72" s="492"/>
      <c r="H72" s="492"/>
      <c r="I72" s="492"/>
      <c r="J72" s="492"/>
      <c r="K72" s="492"/>
      <c r="L72" s="492"/>
      <c r="M72" s="51"/>
      <c r="N72" s="508"/>
      <c r="O72" s="509"/>
      <c r="P72" s="510"/>
      <c r="Q72" s="511"/>
      <c r="R72" s="503"/>
      <c r="S72" s="503"/>
      <c r="T72" s="503"/>
      <c r="U72" s="503"/>
      <c r="V72" s="503"/>
      <c r="W72" s="503"/>
      <c r="X72" s="503"/>
      <c r="Y72" s="503"/>
      <c r="Z72" s="503"/>
      <c r="AA72" s="503"/>
      <c r="AB72" s="492"/>
      <c r="AC72" s="492"/>
      <c r="AD72" s="493"/>
      <c r="AF72" s="50"/>
    </row>
    <row r="73" spans="1:32" ht="26.25" customHeight="1" thickBot="1">
      <c r="A73" s="472" t="s">
        <v>412</v>
      </c>
      <c r="B73" s="472"/>
      <c r="C73" s="472"/>
      <c r="D73" s="472"/>
      <c r="E73" s="472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F73" s="50"/>
    </row>
    <row r="74" spans="1:32" ht="23.25" thickBot="1">
      <c r="A74" s="473" t="s">
        <v>113</v>
      </c>
      <c r="B74" s="474"/>
      <c r="C74" s="272" t="s">
        <v>2</v>
      </c>
      <c r="D74" s="272" t="s">
        <v>37</v>
      </c>
      <c r="E74" s="272" t="s">
        <v>3</v>
      </c>
      <c r="F74" s="474" t="s">
        <v>38</v>
      </c>
      <c r="G74" s="474"/>
      <c r="H74" s="474"/>
      <c r="I74" s="474"/>
      <c r="J74" s="474"/>
      <c r="K74" s="494" t="s">
        <v>58</v>
      </c>
      <c r="L74" s="495"/>
      <c r="M74" s="495"/>
      <c r="N74" s="495"/>
      <c r="O74" s="495"/>
      <c r="P74" s="495"/>
      <c r="Q74" s="495"/>
      <c r="R74" s="495"/>
      <c r="S74" s="496"/>
      <c r="T74" s="474" t="s">
        <v>49</v>
      </c>
      <c r="U74" s="474"/>
      <c r="V74" s="494" t="s">
        <v>50</v>
      </c>
      <c r="W74" s="496"/>
      <c r="X74" s="495" t="s">
        <v>51</v>
      </c>
      <c r="Y74" s="495"/>
      <c r="Z74" s="495"/>
      <c r="AA74" s="495"/>
      <c r="AB74" s="495"/>
      <c r="AC74" s="495"/>
      <c r="AD74" s="497"/>
      <c r="AF74" s="50"/>
    </row>
    <row r="75" spans="1:32" ht="33.75" customHeight="1">
      <c r="A75" s="466">
        <v>1</v>
      </c>
      <c r="B75" s="467"/>
      <c r="C75" s="274" t="s">
        <v>114</v>
      </c>
      <c r="D75" s="274"/>
      <c r="E75" s="65" t="s">
        <v>119</v>
      </c>
      <c r="F75" s="481" t="s">
        <v>118</v>
      </c>
      <c r="G75" s="482"/>
      <c r="H75" s="482"/>
      <c r="I75" s="482"/>
      <c r="J75" s="483"/>
      <c r="K75" s="484" t="s">
        <v>130</v>
      </c>
      <c r="L75" s="485"/>
      <c r="M75" s="485"/>
      <c r="N75" s="485"/>
      <c r="O75" s="485"/>
      <c r="P75" s="485"/>
      <c r="Q75" s="485"/>
      <c r="R75" s="485"/>
      <c r="S75" s="486"/>
      <c r="T75" s="487">
        <v>43675</v>
      </c>
      <c r="U75" s="488"/>
      <c r="V75" s="489"/>
      <c r="W75" s="489"/>
      <c r="X75" s="490"/>
      <c r="Y75" s="490"/>
      <c r="Z75" s="490"/>
      <c r="AA75" s="490"/>
      <c r="AB75" s="490"/>
      <c r="AC75" s="490"/>
      <c r="AD75" s="491"/>
      <c r="AF75" s="50"/>
    </row>
    <row r="76" spans="1:32" ht="30" customHeight="1">
      <c r="A76" s="459">
        <f>A75+1</f>
        <v>2</v>
      </c>
      <c r="B76" s="460"/>
      <c r="C76" s="273"/>
      <c r="D76" s="273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ref="A77:A83" si="21">A76+1</f>
        <v>3</v>
      </c>
      <c r="B77" s="460"/>
      <c r="C77" s="273"/>
      <c r="D77" s="273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21"/>
        <v>4</v>
      </c>
      <c r="B78" s="460"/>
      <c r="C78" s="273"/>
      <c r="D78" s="273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21"/>
        <v>5</v>
      </c>
      <c r="B79" s="460"/>
      <c r="C79" s="273"/>
      <c r="D79" s="273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21"/>
        <v>6</v>
      </c>
      <c r="B80" s="460"/>
      <c r="C80" s="273"/>
      <c r="D80" s="273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21"/>
        <v>7</v>
      </c>
      <c r="B81" s="460"/>
      <c r="C81" s="273"/>
      <c r="D81" s="273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0" customHeight="1">
      <c r="A82" s="459">
        <f t="shared" si="21"/>
        <v>8</v>
      </c>
      <c r="B82" s="460"/>
      <c r="C82" s="273"/>
      <c r="D82" s="273"/>
      <c r="E82" s="32"/>
      <c r="F82" s="460"/>
      <c r="G82" s="460"/>
      <c r="H82" s="460"/>
      <c r="I82" s="460"/>
      <c r="J82" s="460"/>
      <c r="K82" s="475"/>
      <c r="L82" s="476"/>
      <c r="M82" s="476"/>
      <c r="N82" s="476"/>
      <c r="O82" s="476"/>
      <c r="P82" s="476"/>
      <c r="Q82" s="476"/>
      <c r="R82" s="476"/>
      <c r="S82" s="477"/>
      <c r="T82" s="478"/>
      <c r="U82" s="478"/>
      <c r="V82" s="478"/>
      <c r="W82" s="478"/>
      <c r="X82" s="479"/>
      <c r="Y82" s="479"/>
      <c r="Z82" s="479"/>
      <c r="AA82" s="479"/>
      <c r="AB82" s="479"/>
      <c r="AC82" s="479"/>
      <c r="AD82" s="480"/>
      <c r="AF82" s="50"/>
    </row>
    <row r="83" spans="1:32" ht="30" customHeight="1">
      <c r="A83" s="459">
        <f t="shared" si="21"/>
        <v>9</v>
      </c>
      <c r="B83" s="460"/>
      <c r="C83" s="273"/>
      <c r="D83" s="273"/>
      <c r="E83" s="32"/>
      <c r="F83" s="460"/>
      <c r="G83" s="460"/>
      <c r="H83" s="460"/>
      <c r="I83" s="460"/>
      <c r="J83" s="460"/>
      <c r="K83" s="475"/>
      <c r="L83" s="476"/>
      <c r="M83" s="476"/>
      <c r="N83" s="476"/>
      <c r="O83" s="476"/>
      <c r="P83" s="476"/>
      <c r="Q83" s="476"/>
      <c r="R83" s="476"/>
      <c r="S83" s="477"/>
      <c r="T83" s="478"/>
      <c r="U83" s="478"/>
      <c r="V83" s="478"/>
      <c r="W83" s="478"/>
      <c r="X83" s="479"/>
      <c r="Y83" s="479"/>
      <c r="Z83" s="479"/>
      <c r="AA83" s="479"/>
      <c r="AB83" s="479"/>
      <c r="AC83" s="479"/>
      <c r="AD83" s="480"/>
      <c r="AF83" s="50"/>
    </row>
    <row r="84" spans="1:32" ht="36" thickBot="1">
      <c r="A84" s="472" t="s">
        <v>413</v>
      </c>
      <c r="B84" s="472"/>
      <c r="C84" s="472"/>
      <c r="D84" s="472"/>
      <c r="E84" s="472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3" t="s">
        <v>113</v>
      </c>
      <c r="B85" s="474"/>
      <c r="C85" s="464" t="s">
        <v>52</v>
      </c>
      <c r="D85" s="464"/>
      <c r="E85" s="464" t="s">
        <v>53</v>
      </c>
      <c r="F85" s="464"/>
      <c r="G85" s="464"/>
      <c r="H85" s="464"/>
      <c r="I85" s="464"/>
      <c r="J85" s="464"/>
      <c r="K85" s="464" t="s">
        <v>54</v>
      </c>
      <c r="L85" s="464"/>
      <c r="M85" s="464"/>
      <c r="N85" s="464"/>
      <c r="O85" s="464"/>
      <c r="P85" s="464"/>
      <c r="Q85" s="464"/>
      <c r="R85" s="464"/>
      <c r="S85" s="464"/>
      <c r="T85" s="464" t="s">
        <v>55</v>
      </c>
      <c r="U85" s="464"/>
      <c r="V85" s="464" t="s">
        <v>56</v>
      </c>
      <c r="W85" s="464"/>
      <c r="X85" s="464"/>
      <c r="Y85" s="464" t="s">
        <v>51</v>
      </c>
      <c r="Z85" s="464"/>
      <c r="AA85" s="464"/>
      <c r="AB85" s="464"/>
      <c r="AC85" s="464"/>
      <c r="AD85" s="465"/>
      <c r="AF85" s="50"/>
    </row>
    <row r="86" spans="1:32" ht="30.75" customHeight="1">
      <c r="A86" s="466">
        <v>1</v>
      </c>
      <c r="B86" s="467"/>
      <c r="C86" s="468"/>
      <c r="D86" s="468"/>
      <c r="E86" s="468"/>
      <c r="F86" s="468"/>
      <c r="G86" s="468"/>
      <c r="H86" s="468"/>
      <c r="I86" s="468"/>
      <c r="J86" s="468"/>
      <c r="K86" s="468"/>
      <c r="L86" s="468"/>
      <c r="M86" s="468"/>
      <c r="N86" s="468"/>
      <c r="O86" s="468"/>
      <c r="P86" s="468"/>
      <c r="Q86" s="468"/>
      <c r="R86" s="468"/>
      <c r="S86" s="468"/>
      <c r="T86" s="468"/>
      <c r="U86" s="468"/>
      <c r="V86" s="469"/>
      <c r="W86" s="469"/>
      <c r="X86" s="469"/>
      <c r="Y86" s="470"/>
      <c r="Z86" s="470"/>
      <c r="AA86" s="470"/>
      <c r="AB86" s="470"/>
      <c r="AC86" s="470"/>
      <c r="AD86" s="471"/>
      <c r="AF86" s="50"/>
    </row>
    <row r="87" spans="1:32" ht="30.75" customHeight="1">
      <c r="A87" s="459">
        <v>2</v>
      </c>
      <c r="B87" s="460"/>
      <c r="C87" s="461"/>
      <c r="D87" s="461"/>
      <c r="E87" s="461"/>
      <c r="F87" s="461"/>
      <c r="G87" s="461"/>
      <c r="H87" s="461"/>
      <c r="I87" s="461"/>
      <c r="J87" s="461"/>
      <c r="K87" s="461"/>
      <c r="L87" s="461"/>
      <c r="M87" s="461"/>
      <c r="N87" s="461"/>
      <c r="O87" s="461"/>
      <c r="P87" s="461"/>
      <c r="Q87" s="461"/>
      <c r="R87" s="461"/>
      <c r="S87" s="461"/>
      <c r="T87" s="462"/>
      <c r="U87" s="462"/>
      <c r="V87" s="463"/>
      <c r="W87" s="463"/>
      <c r="X87" s="463"/>
      <c r="Y87" s="452"/>
      <c r="Z87" s="452"/>
      <c r="AA87" s="452"/>
      <c r="AB87" s="452"/>
      <c r="AC87" s="452"/>
      <c r="AD87" s="453"/>
      <c r="AF87" s="50"/>
    </row>
    <row r="88" spans="1:32" ht="30.75" customHeight="1" thickBot="1">
      <c r="A88" s="454">
        <v>3</v>
      </c>
      <c r="B88" s="455"/>
      <c r="C88" s="456"/>
      <c r="D88" s="456"/>
      <c r="E88" s="456"/>
      <c r="F88" s="456"/>
      <c r="G88" s="456"/>
      <c r="H88" s="456"/>
      <c r="I88" s="456"/>
      <c r="J88" s="456"/>
      <c r="K88" s="456"/>
      <c r="L88" s="456"/>
      <c r="M88" s="456"/>
      <c r="N88" s="456"/>
      <c r="O88" s="456"/>
      <c r="P88" s="456"/>
      <c r="Q88" s="456"/>
      <c r="R88" s="456"/>
      <c r="S88" s="456"/>
      <c r="T88" s="456"/>
      <c r="U88" s="456"/>
      <c r="V88" s="456"/>
      <c r="W88" s="456"/>
      <c r="X88" s="456"/>
      <c r="Y88" s="457"/>
      <c r="Z88" s="457"/>
      <c r="AA88" s="457"/>
      <c r="AB88" s="457"/>
      <c r="AC88" s="457"/>
      <c r="AD88" s="458"/>
      <c r="AF88" s="50"/>
    </row>
  </sheetData>
  <mergeCells count="230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8" max="29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65C4-4075-4070-A445-DB4BB5EBBA2F}">
  <dimension ref="A1:AF87"/>
  <sheetViews>
    <sheetView topLeftCell="A64" zoomScale="72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414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285" t="s">
        <v>17</v>
      </c>
      <c r="L5" s="285" t="s">
        <v>18</v>
      </c>
      <c r="M5" s="285" t="s">
        <v>19</v>
      </c>
      <c r="N5" s="28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0.56388888888888888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0.56388888888888888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114</v>
      </c>
      <c r="D8" s="52" t="s">
        <v>119</v>
      </c>
      <c r="E8" s="53" t="s">
        <v>392</v>
      </c>
      <c r="F8" s="30" t="s">
        <v>248</v>
      </c>
      <c r="G8" s="33">
        <v>1</v>
      </c>
      <c r="H8" s="35">
        <v>24</v>
      </c>
      <c r="I8" s="7">
        <v>24000</v>
      </c>
      <c r="J8" s="14">
        <v>4800</v>
      </c>
      <c r="K8" s="15">
        <f>L8+2575</f>
        <v>7375</v>
      </c>
      <c r="L8" s="15">
        <f>2483+2317</f>
        <v>4800</v>
      </c>
      <c r="M8" s="15">
        <f t="shared" si="1"/>
        <v>4800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0.56388888888888888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4611</v>
      </c>
      <c r="K9" s="15">
        <f>L9+1036+2500+4639+2951+2392+2902+2784+3566+4110+4299+4289+1910+4734+4854+3892</f>
        <v>55469</v>
      </c>
      <c r="L9" s="15">
        <f>2384+2227</f>
        <v>4611</v>
      </c>
      <c r="M9" s="15">
        <f t="shared" si="1"/>
        <v>4611</v>
      </c>
      <c r="N9" s="15">
        <v>0</v>
      </c>
      <c r="O9" s="58">
        <f t="shared" si="2"/>
        <v>0</v>
      </c>
      <c r="P9" s="39">
        <f t="shared" si="3"/>
        <v>21</v>
      </c>
      <c r="Q9" s="40">
        <f t="shared" si="4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0.875</v>
      </c>
      <c r="AD9" s="10">
        <f t="shared" si="7"/>
        <v>0.875</v>
      </c>
      <c r="AE9" s="36">
        <f t="shared" si="8"/>
        <v>0.56388888888888888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125</v>
      </c>
      <c r="E10" s="53" t="s">
        <v>323</v>
      </c>
      <c r="F10" s="30" t="s">
        <v>141</v>
      </c>
      <c r="G10" s="33">
        <v>1</v>
      </c>
      <c r="H10" s="35">
        <v>24</v>
      </c>
      <c r="I10" s="7">
        <v>8500</v>
      </c>
      <c r="J10" s="5">
        <v>1421</v>
      </c>
      <c r="K10" s="15">
        <f>L10+1002</f>
        <v>2423</v>
      </c>
      <c r="L10" s="15">
        <f>1421</f>
        <v>1421</v>
      </c>
      <c r="M10" s="15">
        <f t="shared" si="1"/>
        <v>1421</v>
      </c>
      <c r="N10" s="15">
        <v>0</v>
      </c>
      <c r="O10" s="58">
        <f t="shared" si="2"/>
        <v>0</v>
      </c>
      <c r="P10" s="39">
        <f t="shared" si="3"/>
        <v>8</v>
      </c>
      <c r="Q10" s="40">
        <f t="shared" si="4"/>
        <v>16</v>
      </c>
      <c r="R10" s="7"/>
      <c r="S10" s="6">
        <v>16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0.33333333333333331</v>
      </c>
      <c r="AD10" s="10">
        <f>AC10*AB10*(1-O10)</f>
        <v>0.33333333333333331</v>
      </c>
      <c r="AE10" s="36">
        <f t="shared" si="8"/>
        <v>0.56388888888888888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300</v>
      </c>
      <c r="F11" s="30" t="s">
        <v>126</v>
      </c>
      <c r="G11" s="33">
        <v>1</v>
      </c>
      <c r="H11" s="35">
        <v>24</v>
      </c>
      <c r="I11" s="7">
        <v>62000</v>
      </c>
      <c r="J11" s="5">
        <v>4705</v>
      </c>
      <c r="K11" s="15">
        <f>L11+2377+5493+2477+3963+2705+5485</f>
        <v>27205</v>
      </c>
      <c r="L11" s="15">
        <f>2040+2665</f>
        <v>4705</v>
      </c>
      <c r="M11" s="15">
        <f t="shared" si="1"/>
        <v>4705</v>
      </c>
      <c r="N11" s="15">
        <v>0</v>
      </c>
      <c r="O11" s="58">
        <f t="shared" si="2"/>
        <v>0</v>
      </c>
      <c r="P11" s="39">
        <f t="shared" si="3"/>
        <v>21</v>
      </c>
      <c r="Q11" s="40">
        <f t="shared" si="4"/>
        <v>3</v>
      </c>
      <c r="R11" s="7"/>
      <c r="S11" s="6">
        <v>3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0.875</v>
      </c>
      <c r="AD11" s="10">
        <f>AC11*AB11*(1-O11)</f>
        <v>0.875</v>
      </c>
      <c r="AE11" s="36">
        <f t="shared" si="8"/>
        <v>0.56388888888888888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144</v>
      </c>
      <c r="F12" s="30" t="s">
        <v>121</v>
      </c>
      <c r="G12" s="33">
        <v>1</v>
      </c>
      <c r="H12" s="35">
        <v>24</v>
      </c>
      <c r="I12" s="7">
        <v>70000</v>
      </c>
      <c r="J12" s="14">
        <v>4032</v>
      </c>
      <c r="K12" s="15">
        <f>L12+2036+3193+2673+3958+1875+401+3155+4199+2859+2339+1952+1208+2933+3415+1960</f>
        <v>42188</v>
      </c>
      <c r="L12" s="15">
        <f>2058+1974</f>
        <v>4032</v>
      </c>
      <c r="M12" s="15">
        <f t="shared" si="1"/>
        <v>4032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ref="AD12:AD13" si="10">AC12*AB12*(1-O12)</f>
        <v>1</v>
      </c>
      <c r="AE12" s="36">
        <f t="shared" si="8"/>
        <v>0.56388888888888888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125</v>
      </c>
      <c r="E13" s="53" t="s">
        <v>415</v>
      </c>
      <c r="F13" s="30" t="s">
        <v>206</v>
      </c>
      <c r="G13" s="33">
        <v>1</v>
      </c>
      <c r="H13" s="35">
        <v>24</v>
      </c>
      <c r="I13" s="7">
        <v>200</v>
      </c>
      <c r="J13" s="14">
        <v>325</v>
      </c>
      <c r="K13" s="15">
        <f>L13</f>
        <v>325</v>
      </c>
      <c r="L13" s="15">
        <v>325</v>
      </c>
      <c r="M13" s="15">
        <f t="shared" si="1"/>
        <v>325</v>
      </c>
      <c r="N13" s="15">
        <v>0</v>
      </c>
      <c r="O13" s="58">
        <f t="shared" si="2"/>
        <v>0</v>
      </c>
      <c r="P13" s="39">
        <f t="shared" si="3"/>
        <v>4</v>
      </c>
      <c r="Q13" s="40">
        <f t="shared" si="4"/>
        <v>20</v>
      </c>
      <c r="R13" s="7"/>
      <c r="S13" s="6"/>
      <c r="T13" s="16"/>
      <c r="U13" s="16"/>
      <c r="V13" s="17"/>
      <c r="W13" s="5">
        <v>20</v>
      </c>
      <c r="X13" s="16"/>
      <c r="Y13" s="16"/>
      <c r="Z13" s="16"/>
      <c r="AA13" s="18"/>
      <c r="AB13" s="8">
        <f t="shared" si="5"/>
        <v>1</v>
      </c>
      <c r="AC13" s="9">
        <f t="shared" si="6"/>
        <v>0.16666666666666666</v>
      </c>
      <c r="AD13" s="10">
        <f t="shared" si="10"/>
        <v>0.16666666666666666</v>
      </c>
      <c r="AE13" s="36">
        <f t="shared" si="8"/>
        <v>0.56388888888888888</v>
      </c>
      <c r="AF13" s="87">
        <f t="shared" si="9"/>
        <v>8</v>
      </c>
    </row>
    <row r="14" spans="1:32" ht="27" customHeight="1">
      <c r="A14" s="103">
        <v>8</v>
      </c>
      <c r="B14" s="11" t="s">
        <v>57</v>
      </c>
      <c r="C14" s="11" t="s">
        <v>138</v>
      </c>
      <c r="D14" s="52" t="s">
        <v>117</v>
      </c>
      <c r="E14" s="53" t="s">
        <v>416</v>
      </c>
      <c r="F14" s="30" t="s">
        <v>417</v>
      </c>
      <c r="G14" s="33">
        <v>1</v>
      </c>
      <c r="H14" s="35">
        <v>24</v>
      </c>
      <c r="I14" s="7">
        <v>2300</v>
      </c>
      <c r="J14" s="14">
        <v>1914</v>
      </c>
      <c r="K14" s="15">
        <f>L14</f>
        <v>1914</v>
      </c>
      <c r="L14" s="15">
        <v>1914</v>
      </c>
      <c r="M14" s="15">
        <f t="shared" ref="M14" si="11">L14-N14</f>
        <v>1914</v>
      </c>
      <c r="N14" s="15">
        <v>0</v>
      </c>
      <c r="O14" s="58">
        <f t="shared" ref="O14" si="12">IF(L14=0,"0",N14/L14)</f>
        <v>0</v>
      </c>
      <c r="P14" s="39">
        <f t="shared" ref="P14" si="13">IF(L14=0,"0",(24-Q14))</f>
        <v>11</v>
      </c>
      <c r="Q14" s="40">
        <f t="shared" ref="Q14" si="14">SUM(R14:AA14)</f>
        <v>13</v>
      </c>
      <c r="R14" s="7"/>
      <c r="S14" s="6">
        <v>7</v>
      </c>
      <c r="T14" s="16">
        <v>6</v>
      </c>
      <c r="U14" s="16"/>
      <c r="V14" s="17"/>
      <c r="W14" s="5"/>
      <c r="X14" s="16"/>
      <c r="Y14" s="16"/>
      <c r="Z14" s="16"/>
      <c r="AA14" s="18"/>
      <c r="AB14" s="8">
        <f t="shared" ref="AB14" si="15">IF(J14=0,"0",(L14/J14))</f>
        <v>1</v>
      </c>
      <c r="AC14" s="9">
        <f t="shared" ref="AC14" si="16">IF(P14=0,"0",(P14/24))</f>
        <v>0.45833333333333331</v>
      </c>
      <c r="AD14" s="10">
        <f t="shared" ref="AD14" si="17">AC14*AB14*(1-O14)</f>
        <v>0.45833333333333331</v>
      </c>
      <c r="AE14" s="36">
        <f t="shared" si="8"/>
        <v>0.56388888888888888</v>
      </c>
      <c r="AF14" s="87">
        <f t="shared" ref="AF14" si="18">A14</f>
        <v>8</v>
      </c>
    </row>
    <row r="15" spans="1:32" ht="27" customHeight="1">
      <c r="A15" s="118">
        <v>9</v>
      </c>
      <c r="B15" s="11" t="s">
        <v>57</v>
      </c>
      <c r="C15" s="34" t="s">
        <v>381</v>
      </c>
      <c r="D15" s="52"/>
      <c r="E15" s="53" t="s">
        <v>382</v>
      </c>
      <c r="F15" s="30" t="s">
        <v>383</v>
      </c>
      <c r="G15" s="33">
        <v>1</v>
      </c>
      <c r="H15" s="35">
        <v>24</v>
      </c>
      <c r="I15" s="7">
        <v>200</v>
      </c>
      <c r="J15" s="5">
        <v>318</v>
      </c>
      <c r="K15" s="15">
        <f>L15</f>
        <v>318</v>
      </c>
      <c r="L15" s="15">
        <v>318</v>
      </c>
      <c r="M15" s="15">
        <f t="shared" si="1"/>
        <v>318</v>
      </c>
      <c r="N15" s="15">
        <v>0</v>
      </c>
      <c r="O15" s="58">
        <f t="shared" si="2"/>
        <v>0</v>
      </c>
      <c r="P15" s="39">
        <f t="shared" si="3"/>
        <v>5</v>
      </c>
      <c r="Q15" s="40">
        <f t="shared" si="4"/>
        <v>19</v>
      </c>
      <c r="R15" s="7"/>
      <c r="S15" s="6">
        <v>19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0.20833333333333334</v>
      </c>
      <c r="AD15" s="10">
        <f t="shared" si="7"/>
        <v>0.20833333333333334</v>
      </c>
      <c r="AE15" s="36">
        <f t="shared" si="8"/>
        <v>0.56388888888888888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128</v>
      </c>
      <c r="D16" s="52" t="s">
        <v>384</v>
      </c>
      <c r="E16" s="53" t="s">
        <v>337</v>
      </c>
      <c r="F16" s="12">
        <v>8301</v>
      </c>
      <c r="G16" s="12">
        <v>1</v>
      </c>
      <c r="H16" s="13">
        <v>24</v>
      </c>
      <c r="I16" s="31">
        <v>13000</v>
      </c>
      <c r="J16" s="14">
        <v>5747</v>
      </c>
      <c r="K16" s="15">
        <f>L16+5212</f>
        <v>10959</v>
      </c>
      <c r="L16" s="15">
        <f>2830+2917</f>
        <v>5747</v>
      </c>
      <c r="M16" s="15">
        <f t="shared" si="1"/>
        <v>5747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0.56388888888888888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138</v>
      </c>
      <c r="D17" s="52"/>
      <c r="E17" s="53" t="s">
        <v>401</v>
      </c>
      <c r="F17" s="30" t="s">
        <v>141</v>
      </c>
      <c r="G17" s="12">
        <v>1</v>
      </c>
      <c r="H17" s="13">
        <v>28</v>
      </c>
      <c r="I17" s="7">
        <v>2300</v>
      </c>
      <c r="J17" s="14">
        <v>4310</v>
      </c>
      <c r="K17" s="15">
        <f>L17+4310</f>
        <v>4310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0.56388888888888888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34" t="s">
        <v>138</v>
      </c>
      <c r="D18" s="52"/>
      <c r="E18" s="53" t="s">
        <v>408</v>
      </c>
      <c r="F18" s="30" t="s">
        <v>339</v>
      </c>
      <c r="G18" s="33">
        <v>1</v>
      </c>
      <c r="H18" s="35">
        <v>24</v>
      </c>
      <c r="I18" s="7">
        <v>2300</v>
      </c>
      <c r="J18" s="5">
        <v>2598</v>
      </c>
      <c r="K18" s="15">
        <f>L18</f>
        <v>2598</v>
      </c>
      <c r="L18" s="15">
        <v>2598</v>
      </c>
      <c r="M18" s="15">
        <f t="shared" si="1"/>
        <v>2598</v>
      </c>
      <c r="N18" s="15">
        <v>0</v>
      </c>
      <c r="O18" s="58">
        <f t="shared" si="2"/>
        <v>0</v>
      </c>
      <c r="P18" s="39">
        <f t="shared" si="3"/>
        <v>17</v>
      </c>
      <c r="Q18" s="40">
        <f t="shared" si="4"/>
        <v>7</v>
      </c>
      <c r="R18" s="7"/>
      <c r="S18" s="6"/>
      <c r="T18" s="16">
        <v>7</v>
      </c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0.70833333333333337</v>
      </c>
      <c r="AD18" s="10">
        <f t="shared" si="7"/>
        <v>0.70833333333333337</v>
      </c>
      <c r="AE18" s="36">
        <f t="shared" si="8"/>
        <v>0.56388888888888888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122</v>
      </c>
      <c r="E19" s="53" t="s">
        <v>147</v>
      </c>
      <c r="F19" s="30" t="s">
        <v>123</v>
      </c>
      <c r="G19" s="33">
        <v>1</v>
      </c>
      <c r="H19" s="35">
        <v>24</v>
      </c>
      <c r="I19" s="7">
        <v>60000</v>
      </c>
      <c r="J19" s="5">
        <v>3615</v>
      </c>
      <c r="K19" s="15">
        <f>L19+1915+5043+1754+4429+1736+4741</f>
        <v>23233</v>
      </c>
      <c r="L19" s="15">
        <f>1064+2551</f>
        <v>3615</v>
      </c>
      <c r="M19" s="15">
        <f t="shared" si="1"/>
        <v>3615</v>
      </c>
      <c r="N19" s="15">
        <v>0</v>
      </c>
      <c r="O19" s="58">
        <f t="shared" si="2"/>
        <v>0</v>
      </c>
      <c r="P19" s="39">
        <f t="shared" si="3"/>
        <v>18</v>
      </c>
      <c r="Q19" s="40">
        <f t="shared" si="4"/>
        <v>6</v>
      </c>
      <c r="R19" s="7"/>
      <c r="S19" s="6">
        <v>6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0.75</v>
      </c>
      <c r="AD19" s="10">
        <f>AC19*AB19*(1-O19)</f>
        <v>0.75</v>
      </c>
      <c r="AE19" s="36">
        <f t="shared" si="8"/>
        <v>0.56388888888888888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124</v>
      </c>
      <c r="D20" s="52" t="s">
        <v>117</v>
      </c>
      <c r="E20" s="53" t="s">
        <v>393</v>
      </c>
      <c r="F20" s="30" t="s">
        <v>121</v>
      </c>
      <c r="G20" s="33">
        <v>1</v>
      </c>
      <c r="H20" s="35">
        <v>24</v>
      </c>
      <c r="I20" s="7">
        <v>57000</v>
      </c>
      <c r="J20" s="14">
        <v>2357</v>
      </c>
      <c r="K20" s="15">
        <f>L20+2174</f>
        <v>4531</v>
      </c>
      <c r="L20" s="15">
        <v>2357</v>
      </c>
      <c r="M20" s="15">
        <f t="shared" si="1"/>
        <v>2357</v>
      </c>
      <c r="N20" s="15">
        <v>0</v>
      </c>
      <c r="O20" s="58">
        <f t="shared" si="2"/>
        <v>0</v>
      </c>
      <c r="P20" s="39">
        <f t="shared" si="3"/>
        <v>13</v>
      </c>
      <c r="Q20" s="40">
        <f t="shared" si="4"/>
        <v>11</v>
      </c>
      <c r="R20" s="7"/>
      <c r="S20" s="6">
        <v>11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0.54166666666666663</v>
      </c>
      <c r="AD20" s="10">
        <f t="shared" si="7"/>
        <v>0.54166666666666663</v>
      </c>
      <c r="AE20" s="36">
        <f t="shared" si="8"/>
        <v>0.56388888888888888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134</v>
      </c>
      <c r="F21" s="12" t="s">
        <v>116</v>
      </c>
      <c r="G21" s="12">
        <v>4</v>
      </c>
      <c r="H21" s="35">
        <v>20</v>
      </c>
      <c r="I21" s="7">
        <v>300000</v>
      </c>
      <c r="J21" s="14">
        <v>41020</v>
      </c>
      <c r="K21" s="15">
        <f>L21+69996</f>
        <v>111016</v>
      </c>
      <c r="L21" s="15">
        <f>10255*4</f>
        <v>41020</v>
      </c>
      <c r="M21" s="15">
        <f t="shared" si="1"/>
        <v>41020</v>
      </c>
      <c r="N21" s="15">
        <v>0</v>
      </c>
      <c r="O21" s="58">
        <f t="shared" si="2"/>
        <v>0</v>
      </c>
      <c r="P21" s="39">
        <f t="shared" si="3"/>
        <v>13</v>
      </c>
      <c r="Q21" s="40">
        <f t="shared" si="4"/>
        <v>11</v>
      </c>
      <c r="R21" s="7"/>
      <c r="S21" s="6"/>
      <c r="T21" s="16"/>
      <c r="U21" s="16"/>
      <c r="V21" s="17">
        <v>11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0.54166666666666663</v>
      </c>
      <c r="AD21" s="10">
        <f t="shared" si="7"/>
        <v>0.54166666666666663</v>
      </c>
      <c r="AE21" s="36">
        <f t="shared" si="8"/>
        <v>0.56388888888888888</v>
      </c>
      <c r="AF21" s="87">
        <f t="shared" si="9"/>
        <v>15</v>
      </c>
    </row>
    <row r="22" spans="1:32" ht="31.5" customHeight="1" thickBot="1">
      <c r="A22" s="541" t="s">
        <v>34</v>
      </c>
      <c r="B22" s="542"/>
      <c r="C22" s="542"/>
      <c r="D22" s="542"/>
      <c r="E22" s="542"/>
      <c r="F22" s="542"/>
      <c r="G22" s="542"/>
      <c r="H22" s="543"/>
      <c r="I22" s="22">
        <f t="shared" ref="I22:N22" si="19">SUM(I6:I21)</f>
        <v>692800</v>
      </c>
      <c r="J22" s="19">
        <f t="shared" si="19"/>
        <v>83834</v>
      </c>
      <c r="K22" s="20">
        <f t="shared" si="19"/>
        <v>305412</v>
      </c>
      <c r="L22" s="21">
        <f t="shared" si="19"/>
        <v>77463</v>
      </c>
      <c r="M22" s="20">
        <f t="shared" si="19"/>
        <v>77463</v>
      </c>
      <c r="N22" s="21">
        <f t="shared" si="19"/>
        <v>0</v>
      </c>
      <c r="O22" s="41">
        <f t="shared" si="2"/>
        <v>0</v>
      </c>
      <c r="P22" s="42">
        <f t="shared" ref="P22:AA22" si="20">SUM(P6:P21)</f>
        <v>203</v>
      </c>
      <c r="Q22" s="43">
        <f t="shared" si="20"/>
        <v>181</v>
      </c>
      <c r="R22" s="23">
        <f t="shared" si="20"/>
        <v>24</v>
      </c>
      <c r="S22" s="24">
        <f t="shared" si="20"/>
        <v>65</v>
      </c>
      <c r="T22" s="24">
        <f t="shared" si="20"/>
        <v>13</v>
      </c>
      <c r="U22" s="24">
        <f t="shared" si="20"/>
        <v>0</v>
      </c>
      <c r="V22" s="25">
        <f t="shared" si="20"/>
        <v>35</v>
      </c>
      <c r="W22" s="26">
        <f t="shared" si="20"/>
        <v>20</v>
      </c>
      <c r="X22" s="27">
        <f t="shared" si="20"/>
        <v>0</v>
      </c>
      <c r="Y22" s="27">
        <f t="shared" si="20"/>
        <v>0</v>
      </c>
      <c r="Z22" s="27">
        <f t="shared" si="20"/>
        <v>0</v>
      </c>
      <c r="AA22" s="27">
        <f t="shared" si="20"/>
        <v>24</v>
      </c>
      <c r="AB22" s="28">
        <f>SUM(AB6:AB21)/15</f>
        <v>0.8666666666666667</v>
      </c>
      <c r="AC22" s="4">
        <f>SUM(AC6:AC21)/15</f>
        <v>0.56388888888888888</v>
      </c>
      <c r="AD22" s="4">
        <f>SUM(AD6:AD21)/15</f>
        <v>0.56388888888888888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44" t="s">
        <v>45</v>
      </c>
      <c r="B49" s="544"/>
      <c r="C49" s="544"/>
      <c r="D49" s="544"/>
      <c r="E49" s="544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45" t="s">
        <v>418</v>
      </c>
      <c r="B50" s="546"/>
      <c r="C50" s="546"/>
      <c r="D50" s="546"/>
      <c r="E50" s="546"/>
      <c r="F50" s="546"/>
      <c r="G50" s="546"/>
      <c r="H50" s="546"/>
      <c r="I50" s="546"/>
      <c r="J50" s="546"/>
      <c r="K50" s="546"/>
      <c r="L50" s="546"/>
      <c r="M50" s="547"/>
      <c r="N50" s="548" t="s">
        <v>423</v>
      </c>
      <c r="O50" s="549"/>
      <c r="P50" s="549"/>
      <c r="Q50" s="549"/>
      <c r="R50" s="549"/>
      <c r="S50" s="549"/>
      <c r="T50" s="549"/>
      <c r="U50" s="549"/>
      <c r="V50" s="549"/>
      <c r="W50" s="549"/>
      <c r="X50" s="549"/>
      <c r="Y50" s="549"/>
      <c r="Z50" s="549"/>
      <c r="AA50" s="549"/>
      <c r="AB50" s="549"/>
      <c r="AC50" s="549"/>
      <c r="AD50" s="550"/>
    </row>
    <row r="51" spans="1:32" ht="27" customHeight="1">
      <c r="A51" s="551" t="s">
        <v>2</v>
      </c>
      <c r="B51" s="552"/>
      <c r="C51" s="284" t="s">
        <v>46</v>
      </c>
      <c r="D51" s="284" t="s">
        <v>47</v>
      </c>
      <c r="E51" s="284" t="s">
        <v>108</v>
      </c>
      <c r="F51" s="552" t="s">
        <v>107</v>
      </c>
      <c r="G51" s="552"/>
      <c r="H51" s="552"/>
      <c r="I51" s="552"/>
      <c r="J51" s="552"/>
      <c r="K51" s="552"/>
      <c r="L51" s="552"/>
      <c r="M51" s="553"/>
      <c r="N51" s="67" t="s">
        <v>112</v>
      </c>
      <c r="O51" s="284" t="s">
        <v>46</v>
      </c>
      <c r="P51" s="554" t="s">
        <v>47</v>
      </c>
      <c r="Q51" s="555"/>
      <c r="R51" s="554" t="s">
        <v>38</v>
      </c>
      <c r="S51" s="556"/>
      <c r="T51" s="556"/>
      <c r="U51" s="555"/>
      <c r="V51" s="554" t="s">
        <v>48</v>
      </c>
      <c r="W51" s="556"/>
      <c r="X51" s="556"/>
      <c r="Y51" s="556"/>
      <c r="Z51" s="556"/>
      <c r="AA51" s="556"/>
      <c r="AB51" s="556"/>
      <c r="AC51" s="556"/>
      <c r="AD51" s="557"/>
    </row>
    <row r="52" spans="1:32" ht="27" customHeight="1">
      <c r="A52" s="524" t="s">
        <v>114</v>
      </c>
      <c r="B52" s="525"/>
      <c r="C52" s="282" t="s">
        <v>131</v>
      </c>
      <c r="D52" s="282" t="s">
        <v>142</v>
      </c>
      <c r="E52" s="282" t="s">
        <v>404</v>
      </c>
      <c r="F52" s="517" t="s">
        <v>419</v>
      </c>
      <c r="G52" s="518"/>
      <c r="H52" s="518"/>
      <c r="I52" s="518"/>
      <c r="J52" s="518"/>
      <c r="K52" s="518"/>
      <c r="L52" s="518"/>
      <c r="M52" s="526"/>
      <c r="N52" s="281" t="s">
        <v>124</v>
      </c>
      <c r="O52" s="279" t="s">
        <v>155</v>
      </c>
      <c r="P52" s="536" t="s">
        <v>125</v>
      </c>
      <c r="Q52" s="537"/>
      <c r="R52" s="536" t="s">
        <v>323</v>
      </c>
      <c r="S52" s="538"/>
      <c r="T52" s="538"/>
      <c r="U52" s="537"/>
      <c r="V52" s="503" t="s">
        <v>157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124</v>
      </c>
      <c r="B53" s="525"/>
      <c r="C53" s="282" t="s">
        <v>155</v>
      </c>
      <c r="D53" s="282" t="s">
        <v>125</v>
      </c>
      <c r="E53" s="282" t="s">
        <v>323</v>
      </c>
      <c r="F53" s="517" t="s">
        <v>420</v>
      </c>
      <c r="G53" s="518"/>
      <c r="H53" s="518"/>
      <c r="I53" s="518"/>
      <c r="J53" s="518"/>
      <c r="K53" s="518"/>
      <c r="L53" s="518"/>
      <c r="M53" s="526"/>
      <c r="N53" s="281" t="s">
        <v>138</v>
      </c>
      <c r="O53" s="279" t="s">
        <v>132</v>
      </c>
      <c r="P53" s="536"/>
      <c r="Q53" s="537"/>
      <c r="R53" s="536" t="s">
        <v>424</v>
      </c>
      <c r="S53" s="538"/>
      <c r="T53" s="538"/>
      <c r="U53" s="537"/>
      <c r="V53" s="503" t="s">
        <v>120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124</v>
      </c>
      <c r="B54" s="525"/>
      <c r="C54" s="282" t="s">
        <v>132</v>
      </c>
      <c r="D54" s="282" t="s">
        <v>183</v>
      </c>
      <c r="E54" s="282" t="s">
        <v>300</v>
      </c>
      <c r="F54" s="517" t="s">
        <v>209</v>
      </c>
      <c r="G54" s="518"/>
      <c r="H54" s="518"/>
      <c r="I54" s="518"/>
      <c r="J54" s="518"/>
      <c r="K54" s="518"/>
      <c r="L54" s="518"/>
      <c r="M54" s="526"/>
      <c r="N54" s="281" t="s">
        <v>124</v>
      </c>
      <c r="O54" s="279" t="s">
        <v>171</v>
      </c>
      <c r="P54" s="536" t="s">
        <v>117</v>
      </c>
      <c r="Q54" s="537"/>
      <c r="R54" s="525" t="s">
        <v>393</v>
      </c>
      <c r="S54" s="525"/>
      <c r="T54" s="525"/>
      <c r="U54" s="525"/>
      <c r="V54" s="503" t="s">
        <v>157</v>
      </c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114</v>
      </c>
      <c r="B55" s="525"/>
      <c r="C55" s="282" t="s">
        <v>179</v>
      </c>
      <c r="D55" s="282" t="s">
        <v>125</v>
      </c>
      <c r="E55" s="282" t="s">
        <v>415</v>
      </c>
      <c r="F55" s="517" t="s">
        <v>120</v>
      </c>
      <c r="G55" s="518"/>
      <c r="H55" s="518"/>
      <c r="I55" s="518"/>
      <c r="J55" s="518"/>
      <c r="K55" s="518"/>
      <c r="L55" s="518"/>
      <c r="M55" s="526"/>
      <c r="N55" s="281"/>
      <c r="O55" s="279"/>
      <c r="P55" s="536"/>
      <c r="Q55" s="537"/>
      <c r="R55" s="536"/>
      <c r="S55" s="538"/>
      <c r="T55" s="538"/>
      <c r="U55" s="537"/>
      <c r="V55" s="503"/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 t="s">
        <v>138</v>
      </c>
      <c r="B56" s="525"/>
      <c r="C56" s="282" t="s">
        <v>179</v>
      </c>
      <c r="D56" s="282"/>
      <c r="E56" s="282" t="s">
        <v>416</v>
      </c>
      <c r="F56" s="517" t="s">
        <v>421</v>
      </c>
      <c r="G56" s="518"/>
      <c r="H56" s="518"/>
      <c r="I56" s="518"/>
      <c r="J56" s="518"/>
      <c r="K56" s="518"/>
      <c r="L56" s="518"/>
      <c r="M56" s="526"/>
      <c r="N56" s="281"/>
      <c r="O56" s="279"/>
      <c r="P56" s="536"/>
      <c r="Q56" s="537"/>
      <c r="R56" s="536"/>
      <c r="S56" s="538"/>
      <c r="T56" s="538"/>
      <c r="U56" s="537"/>
      <c r="V56" s="503"/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 t="s">
        <v>114</v>
      </c>
      <c r="B57" s="525"/>
      <c r="C57" s="282" t="s">
        <v>234</v>
      </c>
      <c r="D57" s="282" t="s">
        <v>122</v>
      </c>
      <c r="E57" s="282" t="s">
        <v>147</v>
      </c>
      <c r="F57" s="517" t="s">
        <v>270</v>
      </c>
      <c r="G57" s="518"/>
      <c r="H57" s="518"/>
      <c r="I57" s="518"/>
      <c r="J57" s="518"/>
      <c r="K57" s="518"/>
      <c r="L57" s="518"/>
      <c r="M57" s="526"/>
      <c r="N57" s="281"/>
      <c r="O57" s="279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 t="s">
        <v>124</v>
      </c>
      <c r="B58" s="525"/>
      <c r="C58" s="282" t="s">
        <v>171</v>
      </c>
      <c r="D58" s="282" t="s">
        <v>117</v>
      </c>
      <c r="E58" s="282" t="s">
        <v>393</v>
      </c>
      <c r="F58" s="517" t="s">
        <v>422</v>
      </c>
      <c r="G58" s="518"/>
      <c r="H58" s="518"/>
      <c r="I58" s="518"/>
      <c r="J58" s="518"/>
      <c r="K58" s="518"/>
      <c r="L58" s="518"/>
      <c r="M58" s="526"/>
      <c r="N58" s="281"/>
      <c r="O58" s="279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 t="s">
        <v>138</v>
      </c>
      <c r="B59" s="525"/>
      <c r="C59" s="282" t="s">
        <v>163</v>
      </c>
      <c r="D59" s="282"/>
      <c r="E59" s="282" t="s">
        <v>408</v>
      </c>
      <c r="F59" s="517" t="s">
        <v>120</v>
      </c>
      <c r="G59" s="518"/>
      <c r="H59" s="518"/>
      <c r="I59" s="518"/>
      <c r="J59" s="518"/>
      <c r="K59" s="518"/>
      <c r="L59" s="518"/>
      <c r="M59" s="526"/>
      <c r="N59" s="281"/>
      <c r="O59" s="279"/>
      <c r="P59" s="536"/>
      <c r="Q59" s="537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</row>
    <row r="60" spans="1:32" ht="27" customHeight="1">
      <c r="A60" s="524" t="s">
        <v>381</v>
      </c>
      <c r="B60" s="525"/>
      <c r="C60" s="282" t="s">
        <v>137</v>
      </c>
      <c r="D60" s="282"/>
      <c r="E60" s="282" t="s">
        <v>382</v>
      </c>
      <c r="F60" s="517" t="s">
        <v>120</v>
      </c>
      <c r="G60" s="518"/>
      <c r="H60" s="518"/>
      <c r="I60" s="518"/>
      <c r="J60" s="518"/>
      <c r="K60" s="518"/>
      <c r="L60" s="518"/>
      <c r="M60" s="526"/>
      <c r="N60" s="281"/>
      <c r="O60" s="279"/>
      <c r="P60" s="525"/>
      <c r="Q60" s="525"/>
      <c r="R60" s="525"/>
      <c r="S60" s="525"/>
      <c r="T60" s="525"/>
      <c r="U60" s="525"/>
      <c r="V60" s="503"/>
      <c r="W60" s="503"/>
      <c r="X60" s="503"/>
      <c r="Y60" s="503"/>
      <c r="Z60" s="503"/>
      <c r="AA60" s="503"/>
      <c r="AB60" s="503"/>
      <c r="AC60" s="503"/>
      <c r="AD60" s="527"/>
      <c r="AF60" s="87">
        <f>8*3000</f>
        <v>24000</v>
      </c>
    </row>
    <row r="61" spans="1:32" ht="27" customHeight="1" thickBot="1">
      <c r="A61" s="528"/>
      <c r="B61" s="529"/>
      <c r="C61" s="283"/>
      <c r="D61" s="283"/>
      <c r="E61" s="283"/>
      <c r="F61" s="530"/>
      <c r="G61" s="531"/>
      <c r="H61" s="531"/>
      <c r="I61" s="531"/>
      <c r="J61" s="531"/>
      <c r="K61" s="531"/>
      <c r="L61" s="531"/>
      <c r="M61" s="532"/>
      <c r="N61" s="124"/>
      <c r="O61" s="114"/>
      <c r="P61" s="533"/>
      <c r="Q61" s="533"/>
      <c r="R61" s="533"/>
      <c r="S61" s="533"/>
      <c r="T61" s="533"/>
      <c r="U61" s="533"/>
      <c r="V61" s="534"/>
      <c r="W61" s="534"/>
      <c r="X61" s="534"/>
      <c r="Y61" s="534"/>
      <c r="Z61" s="534"/>
      <c r="AA61" s="534"/>
      <c r="AB61" s="534"/>
      <c r="AC61" s="534"/>
      <c r="AD61" s="535"/>
      <c r="AF61" s="87">
        <f>16*3000</f>
        <v>48000</v>
      </c>
    </row>
    <row r="62" spans="1:32" ht="27.75" thickBot="1">
      <c r="A62" s="522" t="s">
        <v>425</v>
      </c>
      <c r="B62" s="522"/>
      <c r="C62" s="522"/>
      <c r="D62" s="522"/>
      <c r="E62" s="52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523" t="s">
        <v>113</v>
      </c>
      <c r="B63" s="515"/>
      <c r="C63" s="280" t="s">
        <v>2</v>
      </c>
      <c r="D63" s="280" t="s">
        <v>37</v>
      </c>
      <c r="E63" s="280" t="s">
        <v>3</v>
      </c>
      <c r="F63" s="515" t="s">
        <v>110</v>
      </c>
      <c r="G63" s="515"/>
      <c r="H63" s="515"/>
      <c r="I63" s="515"/>
      <c r="J63" s="515"/>
      <c r="K63" s="515" t="s">
        <v>39</v>
      </c>
      <c r="L63" s="515"/>
      <c r="M63" s="280" t="s">
        <v>40</v>
      </c>
      <c r="N63" s="515" t="s">
        <v>41</v>
      </c>
      <c r="O63" s="515"/>
      <c r="P63" s="512" t="s">
        <v>42</v>
      </c>
      <c r="Q63" s="514"/>
      <c r="R63" s="512" t="s">
        <v>43</v>
      </c>
      <c r="S63" s="513"/>
      <c r="T63" s="513"/>
      <c r="U63" s="513"/>
      <c r="V63" s="513"/>
      <c r="W63" s="513"/>
      <c r="X63" s="513"/>
      <c r="Y63" s="513"/>
      <c r="Z63" s="513"/>
      <c r="AA63" s="514"/>
      <c r="AB63" s="515" t="s">
        <v>44</v>
      </c>
      <c r="AC63" s="515"/>
      <c r="AD63" s="516"/>
      <c r="AF63" s="87">
        <f>SUM(AF60:AF62)</f>
        <v>96000</v>
      </c>
    </row>
    <row r="64" spans="1:32" ht="25.5" customHeight="1">
      <c r="A64" s="498">
        <v>1</v>
      </c>
      <c r="B64" s="499"/>
      <c r="C64" s="117" t="s">
        <v>138</v>
      </c>
      <c r="D64" s="275"/>
      <c r="E64" s="278"/>
      <c r="F64" s="500" t="s">
        <v>426</v>
      </c>
      <c r="G64" s="492"/>
      <c r="H64" s="492"/>
      <c r="I64" s="492"/>
      <c r="J64" s="492"/>
      <c r="K64" s="492" t="s">
        <v>417</v>
      </c>
      <c r="L64" s="492"/>
      <c r="M64" s="51" t="s">
        <v>162</v>
      </c>
      <c r="N64" s="501" t="s">
        <v>179</v>
      </c>
      <c r="O64" s="501"/>
      <c r="P64" s="502"/>
      <c r="Q64" s="502"/>
      <c r="R64" s="503" t="s">
        <v>427</v>
      </c>
      <c r="S64" s="503"/>
      <c r="T64" s="503"/>
      <c r="U64" s="503"/>
      <c r="V64" s="503"/>
      <c r="W64" s="503"/>
      <c r="X64" s="503"/>
      <c r="Y64" s="503"/>
      <c r="Z64" s="503"/>
      <c r="AA64" s="503"/>
      <c r="AB64" s="507"/>
      <c r="AC64" s="520"/>
      <c r="AD64" s="521"/>
      <c r="AF64" s="50"/>
    </row>
    <row r="65" spans="1:32" ht="25.5" customHeight="1">
      <c r="A65" s="498">
        <v>2</v>
      </c>
      <c r="B65" s="499"/>
      <c r="C65" s="117" t="s">
        <v>114</v>
      </c>
      <c r="D65" s="275"/>
      <c r="E65" s="278" t="s">
        <v>125</v>
      </c>
      <c r="F65" s="504" t="s">
        <v>428</v>
      </c>
      <c r="G65" s="505"/>
      <c r="H65" s="505"/>
      <c r="I65" s="505"/>
      <c r="J65" s="506"/>
      <c r="K65" s="507" t="s">
        <v>206</v>
      </c>
      <c r="L65" s="499"/>
      <c r="M65" s="51" t="s">
        <v>162</v>
      </c>
      <c r="N65" s="501" t="s">
        <v>295</v>
      </c>
      <c r="O65" s="501"/>
      <c r="P65" s="510">
        <v>400</v>
      </c>
      <c r="Q65" s="511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3</v>
      </c>
      <c r="B66" s="499"/>
      <c r="C66" s="117" t="s">
        <v>124</v>
      </c>
      <c r="D66" s="275"/>
      <c r="E66" s="278" t="s">
        <v>135</v>
      </c>
      <c r="F66" s="504" t="s">
        <v>429</v>
      </c>
      <c r="G66" s="505"/>
      <c r="H66" s="505"/>
      <c r="I66" s="505"/>
      <c r="J66" s="506"/>
      <c r="K66" s="507" t="s">
        <v>133</v>
      </c>
      <c r="L66" s="499"/>
      <c r="M66" s="51" t="s">
        <v>162</v>
      </c>
      <c r="N66" s="501" t="s">
        <v>163</v>
      </c>
      <c r="O66" s="501"/>
      <c r="P66" s="510">
        <v>50</v>
      </c>
      <c r="Q66" s="511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4</v>
      </c>
      <c r="B67" s="499"/>
      <c r="C67" s="117"/>
      <c r="D67" s="275"/>
      <c r="E67" s="278"/>
      <c r="F67" s="504"/>
      <c r="G67" s="505"/>
      <c r="H67" s="505"/>
      <c r="I67" s="505"/>
      <c r="J67" s="506"/>
      <c r="K67" s="507"/>
      <c r="L67" s="499"/>
      <c r="M67" s="51"/>
      <c r="N67" s="508"/>
      <c r="O67" s="509"/>
      <c r="P67" s="510"/>
      <c r="Q67" s="511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5</v>
      </c>
      <c r="B68" s="499"/>
      <c r="C68" s="117"/>
      <c r="D68" s="275"/>
      <c r="E68" s="278"/>
      <c r="F68" s="504"/>
      <c r="G68" s="505"/>
      <c r="H68" s="505"/>
      <c r="I68" s="505"/>
      <c r="J68" s="506"/>
      <c r="K68" s="507"/>
      <c r="L68" s="499"/>
      <c r="M68" s="51"/>
      <c r="N68" s="508"/>
      <c r="O68" s="509"/>
      <c r="P68" s="510"/>
      <c r="Q68" s="511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6</v>
      </c>
      <c r="B69" s="499"/>
      <c r="C69" s="117"/>
      <c r="D69" s="275"/>
      <c r="E69" s="278"/>
      <c r="F69" s="500"/>
      <c r="G69" s="492"/>
      <c r="H69" s="492"/>
      <c r="I69" s="492"/>
      <c r="J69" s="492"/>
      <c r="K69" s="492"/>
      <c r="L69" s="492"/>
      <c r="M69" s="51"/>
      <c r="N69" s="508"/>
      <c r="O69" s="509"/>
      <c r="P69" s="510"/>
      <c r="Q69" s="511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7</v>
      </c>
      <c r="B70" s="499"/>
      <c r="C70" s="117"/>
      <c r="D70" s="275"/>
      <c r="E70" s="278"/>
      <c r="F70" s="500"/>
      <c r="G70" s="492"/>
      <c r="H70" s="492"/>
      <c r="I70" s="492"/>
      <c r="J70" s="492"/>
      <c r="K70" s="492"/>
      <c r="L70" s="492"/>
      <c r="M70" s="51"/>
      <c r="N70" s="508"/>
      <c r="O70" s="509"/>
      <c r="P70" s="510"/>
      <c r="Q70" s="511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5.5" customHeight="1">
      <c r="A71" s="498">
        <v>8</v>
      </c>
      <c r="B71" s="499"/>
      <c r="C71" s="117"/>
      <c r="D71" s="275"/>
      <c r="E71" s="278"/>
      <c r="F71" s="500"/>
      <c r="G71" s="492"/>
      <c r="H71" s="492"/>
      <c r="I71" s="492"/>
      <c r="J71" s="492"/>
      <c r="K71" s="492"/>
      <c r="L71" s="492"/>
      <c r="M71" s="51"/>
      <c r="N71" s="508"/>
      <c r="O71" s="509"/>
      <c r="P71" s="510"/>
      <c r="Q71" s="511"/>
      <c r="R71" s="503"/>
      <c r="S71" s="503"/>
      <c r="T71" s="503"/>
      <c r="U71" s="503"/>
      <c r="V71" s="503"/>
      <c r="W71" s="503"/>
      <c r="X71" s="503"/>
      <c r="Y71" s="503"/>
      <c r="Z71" s="503"/>
      <c r="AA71" s="503"/>
      <c r="AB71" s="492"/>
      <c r="AC71" s="492"/>
      <c r="AD71" s="493"/>
      <c r="AF71" s="50"/>
    </row>
    <row r="72" spans="1:32" ht="26.25" customHeight="1" thickBot="1">
      <c r="A72" s="472" t="s">
        <v>430</v>
      </c>
      <c r="B72" s="472"/>
      <c r="C72" s="472"/>
      <c r="D72" s="472"/>
      <c r="E72" s="472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73" t="s">
        <v>113</v>
      </c>
      <c r="B73" s="474"/>
      <c r="C73" s="277" t="s">
        <v>2</v>
      </c>
      <c r="D73" s="277" t="s">
        <v>37</v>
      </c>
      <c r="E73" s="277" t="s">
        <v>3</v>
      </c>
      <c r="F73" s="474" t="s">
        <v>38</v>
      </c>
      <c r="G73" s="474"/>
      <c r="H73" s="474"/>
      <c r="I73" s="474"/>
      <c r="J73" s="474"/>
      <c r="K73" s="494" t="s">
        <v>58</v>
      </c>
      <c r="L73" s="495"/>
      <c r="M73" s="495"/>
      <c r="N73" s="495"/>
      <c r="O73" s="495"/>
      <c r="P73" s="495"/>
      <c r="Q73" s="495"/>
      <c r="R73" s="495"/>
      <c r="S73" s="496"/>
      <c r="T73" s="474" t="s">
        <v>49</v>
      </c>
      <c r="U73" s="474"/>
      <c r="V73" s="494" t="s">
        <v>50</v>
      </c>
      <c r="W73" s="496"/>
      <c r="X73" s="495" t="s">
        <v>51</v>
      </c>
      <c r="Y73" s="495"/>
      <c r="Z73" s="495"/>
      <c r="AA73" s="495"/>
      <c r="AB73" s="495"/>
      <c r="AC73" s="495"/>
      <c r="AD73" s="497"/>
      <c r="AF73" s="50"/>
    </row>
    <row r="74" spans="1:32" ht="33.75" customHeight="1">
      <c r="A74" s="466">
        <v>1</v>
      </c>
      <c r="B74" s="467"/>
      <c r="C74" s="276" t="s">
        <v>114</v>
      </c>
      <c r="D74" s="276"/>
      <c r="E74" s="65" t="s">
        <v>119</v>
      </c>
      <c r="F74" s="481" t="s">
        <v>118</v>
      </c>
      <c r="G74" s="482"/>
      <c r="H74" s="482"/>
      <c r="I74" s="482"/>
      <c r="J74" s="483"/>
      <c r="K74" s="484" t="s">
        <v>130</v>
      </c>
      <c r="L74" s="485"/>
      <c r="M74" s="485"/>
      <c r="N74" s="485"/>
      <c r="O74" s="485"/>
      <c r="P74" s="485"/>
      <c r="Q74" s="485"/>
      <c r="R74" s="485"/>
      <c r="S74" s="486"/>
      <c r="T74" s="487">
        <v>43675</v>
      </c>
      <c r="U74" s="488"/>
      <c r="V74" s="489"/>
      <c r="W74" s="489"/>
      <c r="X74" s="490"/>
      <c r="Y74" s="490"/>
      <c r="Z74" s="490"/>
      <c r="AA74" s="490"/>
      <c r="AB74" s="490"/>
      <c r="AC74" s="490"/>
      <c r="AD74" s="491"/>
      <c r="AF74" s="50"/>
    </row>
    <row r="75" spans="1:32" ht="30" customHeight="1">
      <c r="A75" s="459">
        <f>A74+1</f>
        <v>2</v>
      </c>
      <c r="B75" s="460"/>
      <c r="C75" s="275"/>
      <c r="D75" s="275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ref="A76:A82" si="21">A75+1</f>
        <v>3</v>
      </c>
      <c r="B76" s="460"/>
      <c r="C76" s="275"/>
      <c r="D76" s="275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21"/>
        <v>4</v>
      </c>
      <c r="B77" s="460"/>
      <c r="C77" s="275"/>
      <c r="D77" s="275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21"/>
        <v>5</v>
      </c>
      <c r="B78" s="460"/>
      <c r="C78" s="275"/>
      <c r="D78" s="275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21"/>
        <v>6</v>
      </c>
      <c r="B79" s="460"/>
      <c r="C79" s="275"/>
      <c r="D79" s="275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21"/>
        <v>7</v>
      </c>
      <c r="B80" s="460"/>
      <c r="C80" s="275"/>
      <c r="D80" s="275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21"/>
        <v>8</v>
      </c>
      <c r="B81" s="460"/>
      <c r="C81" s="275"/>
      <c r="D81" s="275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0" customHeight="1">
      <c r="A82" s="459">
        <f t="shared" si="21"/>
        <v>9</v>
      </c>
      <c r="B82" s="460"/>
      <c r="C82" s="275"/>
      <c r="D82" s="275"/>
      <c r="E82" s="32"/>
      <c r="F82" s="460"/>
      <c r="G82" s="460"/>
      <c r="H82" s="460"/>
      <c r="I82" s="460"/>
      <c r="J82" s="460"/>
      <c r="K82" s="475"/>
      <c r="L82" s="476"/>
      <c r="M82" s="476"/>
      <c r="N82" s="476"/>
      <c r="O82" s="476"/>
      <c r="P82" s="476"/>
      <c r="Q82" s="476"/>
      <c r="R82" s="476"/>
      <c r="S82" s="477"/>
      <c r="T82" s="478"/>
      <c r="U82" s="478"/>
      <c r="V82" s="478"/>
      <c r="W82" s="478"/>
      <c r="X82" s="479"/>
      <c r="Y82" s="479"/>
      <c r="Z82" s="479"/>
      <c r="AA82" s="479"/>
      <c r="AB82" s="479"/>
      <c r="AC82" s="479"/>
      <c r="AD82" s="480"/>
      <c r="AF82" s="50"/>
    </row>
    <row r="83" spans="1:32" ht="36" thickBot="1">
      <c r="A83" s="472" t="s">
        <v>431</v>
      </c>
      <c r="B83" s="472"/>
      <c r="C83" s="472"/>
      <c r="D83" s="472"/>
      <c r="E83" s="472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3" t="s">
        <v>113</v>
      </c>
      <c r="B84" s="474"/>
      <c r="C84" s="464" t="s">
        <v>52</v>
      </c>
      <c r="D84" s="464"/>
      <c r="E84" s="464" t="s">
        <v>53</v>
      </c>
      <c r="F84" s="464"/>
      <c r="G84" s="464"/>
      <c r="H84" s="464"/>
      <c r="I84" s="464"/>
      <c r="J84" s="464"/>
      <c r="K84" s="464" t="s">
        <v>54</v>
      </c>
      <c r="L84" s="464"/>
      <c r="M84" s="464"/>
      <c r="N84" s="464"/>
      <c r="O84" s="464"/>
      <c r="P84" s="464"/>
      <c r="Q84" s="464"/>
      <c r="R84" s="464"/>
      <c r="S84" s="464"/>
      <c r="T84" s="464" t="s">
        <v>55</v>
      </c>
      <c r="U84" s="464"/>
      <c r="V84" s="464" t="s">
        <v>56</v>
      </c>
      <c r="W84" s="464"/>
      <c r="X84" s="464"/>
      <c r="Y84" s="464" t="s">
        <v>51</v>
      </c>
      <c r="Z84" s="464"/>
      <c r="AA84" s="464"/>
      <c r="AB84" s="464"/>
      <c r="AC84" s="464"/>
      <c r="AD84" s="465"/>
      <c r="AF84" s="50"/>
    </row>
    <row r="85" spans="1:32" ht="30.75" customHeight="1">
      <c r="A85" s="466">
        <v>1</v>
      </c>
      <c r="B85" s="467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8"/>
      <c r="U85" s="468"/>
      <c r="V85" s="469"/>
      <c r="W85" s="469"/>
      <c r="X85" s="469"/>
      <c r="Y85" s="470"/>
      <c r="Z85" s="470"/>
      <c r="AA85" s="470"/>
      <c r="AB85" s="470"/>
      <c r="AC85" s="470"/>
      <c r="AD85" s="471"/>
      <c r="AF85" s="50"/>
    </row>
    <row r="86" spans="1:32" ht="30.75" customHeight="1">
      <c r="A86" s="459">
        <v>2</v>
      </c>
      <c r="B86" s="460"/>
      <c r="C86" s="461"/>
      <c r="D86" s="461"/>
      <c r="E86" s="461"/>
      <c r="F86" s="461"/>
      <c r="G86" s="461"/>
      <c r="H86" s="461"/>
      <c r="I86" s="461"/>
      <c r="J86" s="461"/>
      <c r="K86" s="461"/>
      <c r="L86" s="461"/>
      <c r="M86" s="461"/>
      <c r="N86" s="461"/>
      <c r="O86" s="461"/>
      <c r="P86" s="461"/>
      <c r="Q86" s="461"/>
      <c r="R86" s="461"/>
      <c r="S86" s="461"/>
      <c r="T86" s="462"/>
      <c r="U86" s="462"/>
      <c r="V86" s="463"/>
      <c r="W86" s="463"/>
      <c r="X86" s="463"/>
      <c r="Y86" s="452"/>
      <c r="Z86" s="452"/>
      <c r="AA86" s="452"/>
      <c r="AB86" s="452"/>
      <c r="AC86" s="452"/>
      <c r="AD86" s="453"/>
      <c r="AF86" s="50"/>
    </row>
    <row r="87" spans="1:32" ht="30.75" customHeight="1" thickBot="1">
      <c r="A87" s="454">
        <v>3</v>
      </c>
      <c r="B87" s="455"/>
      <c r="C87" s="456"/>
      <c r="D87" s="456"/>
      <c r="E87" s="456"/>
      <c r="F87" s="456"/>
      <c r="G87" s="456"/>
      <c r="H87" s="456"/>
      <c r="I87" s="456"/>
      <c r="J87" s="456"/>
      <c r="K87" s="456"/>
      <c r="L87" s="456"/>
      <c r="M87" s="456"/>
      <c r="N87" s="456"/>
      <c r="O87" s="456"/>
      <c r="P87" s="456"/>
      <c r="Q87" s="456"/>
      <c r="R87" s="456"/>
      <c r="S87" s="456"/>
      <c r="T87" s="456"/>
      <c r="U87" s="456"/>
      <c r="V87" s="456"/>
      <c r="W87" s="456"/>
      <c r="X87" s="456"/>
      <c r="Y87" s="457"/>
      <c r="Z87" s="457"/>
      <c r="AA87" s="457"/>
      <c r="AB87" s="457"/>
      <c r="AC87" s="457"/>
      <c r="AD87" s="458"/>
      <c r="AF87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B56A-19D3-4D91-B42B-123E0D8903D2}"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432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286" t="s">
        <v>17</v>
      </c>
      <c r="L5" s="286" t="s">
        <v>18</v>
      </c>
      <c r="M5" s="286" t="s">
        <v>19</v>
      </c>
      <c r="N5" s="28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0.31111111111111106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0.31111111111111106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114</v>
      </c>
      <c r="D8" s="52" t="s">
        <v>119</v>
      </c>
      <c r="E8" s="53" t="s">
        <v>392</v>
      </c>
      <c r="F8" s="30" t="s">
        <v>248</v>
      </c>
      <c r="G8" s="33">
        <v>1</v>
      </c>
      <c r="H8" s="35">
        <v>24</v>
      </c>
      <c r="I8" s="7">
        <v>24000</v>
      </c>
      <c r="J8" s="14">
        <v>4872</v>
      </c>
      <c r="K8" s="15">
        <f>L8+2575+4800</f>
        <v>12247</v>
      </c>
      <c r="L8" s="15">
        <f>2494+2378</f>
        <v>4872</v>
      </c>
      <c r="M8" s="15">
        <f t="shared" si="1"/>
        <v>4872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0.31111111111111106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3795</v>
      </c>
      <c r="K9" s="15">
        <f>L9+1036+2500+4639+2951+2392+2902+2784+3566+4110+4299+4289+1910+4734+4854+3892+4611</f>
        <v>59264</v>
      </c>
      <c r="L9" s="15">
        <f>2621+1174</f>
        <v>3795</v>
      </c>
      <c r="M9" s="15">
        <f t="shared" si="1"/>
        <v>3795</v>
      </c>
      <c r="N9" s="15">
        <v>0</v>
      </c>
      <c r="O9" s="58">
        <f t="shared" si="2"/>
        <v>0</v>
      </c>
      <c r="P9" s="39">
        <f t="shared" si="3"/>
        <v>19</v>
      </c>
      <c r="Q9" s="40">
        <f t="shared" si="4"/>
        <v>5</v>
      </c>
      <c r="R9" s="7"/>
      <c r="S9" s="6">
        <v>5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0.79166666666666663</v>
      </c>
      <c r="AD9" s="10">
        <f t="shared" si="7"/>
        <v>0.79166666666666663</v>
      </c>
      <c r="AE9" s="36">
        <f t="shared" si="8"/>
        <v>0.31111111111111106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125</v>
      </c>
      <c r="E10" s="53" t="s">
        <v>323</v>
      </c>
      <c r="F10" s="30" t="s">
        <v>141</v>
      </c>
      <c r="G10" s="33">
        <v>1</v>
      </c>
      <c r="H10" s="35">
        <v>24</v>
      </c>
      <c r="I10" s="7">
        <v>8500</v>
      </c>
      <c r="J10" s="5">
        <v>2240</v>
      </c>
      <c r="K10" s="15">
        <f>L10+1002+1421</f>
        <v>4663</v>
      </c>
      <c r="L10" s="15">
        <f>2240</f>
        <v>2240</v>
      </c>
      <c r="M10" s="15">
        <f t="shared" si="1"/>
        <v>2240</v>
      </c>
      <c r="N10" s="15">
        <v>0</v>
      </c>
      <c r="O10" s="58">
        <f t="shared" si="2"/>
        <v>0</v>
      </c>
      <c r="P10" s="39">
        <f t="shared" si="3"/>
        <v>13</v>
      </c>
      <c r="Q10" s="40">
        <f t="shared" si="4"/>
        <v>11</v>
      </c>
      <c r="R10" s="7"/>
      <c r="S10" s="6">
        <v>11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0.54166666666666663</v>
      </c>
      <c r="AD10" s="10">
        <f>AC10*AB10*(1-O10)</f>
        <v>0.54166666666666663</v>
      </c>
      <c r="AE10" s="36">
        <f t="shared" si="8"/>
        <v>0.31111111111111106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300</v>
      </c>
      <c r="F11" s="30" t="s">
        <v>126</v>
      </c>
      <c r="G11" s="33">
        <v>1</v>
      </c>
      <c r="H11" s="35">
        <v>24</v>
      </c>
      <c r="I11" s="7">
        <v>62000</v>
      </c>
      <c r="J11" s="5">
        <v>490</v>
      </c>
      <c r="K11" s="15">
        <f>L11+2377+5493+2477+3963+2705+5485+4705</f>
        <v>27695</v>
      </c>
      <c r="L11" s="15">
        <v>490</v>
      </c>
      <c r="M11" s="15">
        <f t="shared" si="1"/>
        <v>490</v>
      </c>
      <c r="N11" s="15">
        <v>0</v>
      </c>
      <c r="O11" s="58">
        <f t="shared" si="2"/>
        <v>0</v>
      </c>
      <c r="P11" s="39">
        <f t="shared" si="3"/>
        <v>3</v>
      </c>
      <c r="Q11" s="40">
        <f t="shared" si="4"/>
        <v>21</v>
      </c>
      <c r="R11" s="7"/>
      <c r="S11" s="6">
        <v>21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0.125</v>
      </c>
      <c r="AD11" s="10">
        <f>AC11*AB11*(1-O11)</f>
        <v>0.125</v>
      </c>
      <c r="AE11" s="36">
        <f t="shared" si="8"/>
        <v>0.31111111111111106</v>
      </c>
      <c r="AF11" s="87">
        <f t="shared" si="9"/>
        <v>6</v>
      </c>
    </row>
    <row r="12" spans="1:32" ht="27" customHeight="1">
      <c r="A12" s="103">
        <v>6</v>
      </c>
      <c r="B12" s="11" t="s">
        <v>57</v>
      </c>
      <c r="C12" s="34" t="s">
        <v>138</v>
      </c>
      <c r="D12" s="52" t="s">
        <v>433</v>
      </c>
      <c r="E12" s="53" t="s">
        <v>424</v>
      </c>
      <c r="F12" s="30" t="s">
        <v>417</v>
      </c>
      <c r="G12" s="33" t="s">
        <v>136</v>
      </c>
      <c r="H12" s="35">
        <v>24</v>
      </c>
      <c r="I12" s="7">
        <v>7500</v>
      </c>
      <c r="J12" s="5">
        <v>490</v>
      </c>
      <c r="K12" s="15">
        <f>L12</f>
        <v>0</v>
      </c>
      <c r="L12" s="15">
        <v>0</v>
      </c>
      <c r="M12" s="15">
        <f t="shared" ref="M12" si="10">L12-N12</f>
        <v>0</v>
      </c>
      <c r="N12" s="15">
        <v>0</v>
      </c>
      <c r="O12" s="58" t="str">
        <f t="shared" ref="O12" si="11">IF(L12=0,"0",N12/L12)</f>
        <v>0</v>
      </c>
      <c r="P12" s="39" t="str">
        <f t="shared" ref="P12" si="12">IF(L12=0,"0",(24-Q12))</f>
        <v>0</v>
      </c>
      <c r="Q12" s="40">
        <f t="shared" ref="Q12" si="13">SUM(R12:AA12)</f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ref="AB12" si="14">IF(J12=0,"0",(L12/J12))</f>
        <v>0</v>
      </c>
      <c r="AC12" s="9">
        <f t="shared" ref="AC12" si="15">IF(P12=0,"0",(P12/24))</f>
        <v>0</v>
      </c>
      <c r="AD12" s="10">
        <f>AC12*AB12*(1-O12)</f>
        <v>0</v>
      </c>
      <c r="AE12" s="36">
        <f t="shared" si="8"/>
        <v>0.31111111111111106</v>
      </c>
      <c r="AF12" s="87">
        <f t="shared" ref="AF12" si="16">A12</f>
        <v>6</v>
      </c>
    </row>
    <row r="13" spans="1:32" ht="27" customHeight="1">
      <c r="A13" s="103">
        <v>7</v>
      </c>
      <c r="B13" s="11" t="s">
        <v>57</v>
      </c>
      <c r="C13" s="11" t="s">
        <v>114</v>
      </c>
      <c r="D13" s="52" t="s">
        <v>117</v>
      </c>
      <c r="E13" s="53" t="s">
        <v>144</v>
      </c>
      <c r="F13" s="30" t="s">
        <v>121</v>
      </c>
      <c r="G13" s="33">
        <v>1</v>
      </c>
      <c r="H13" s="35">
        <v>24</v>
      </c>
      <c r="I13" s="7">
        <v>70000</v>
      </c>
      <c r="J13" s="14">
        <v>870</v>
      </c>
      <c r="K13" s="15">
        <f>L13+2036+3193+2673+3958+1875+401+3155+4199+2859+2339+1952+1208+2933+3415+1960+4032</f>
        <v>43058</v>
      </c>
      <c r="L13" s="15">
        <f>272+598</f>
        <v>870</v>
      </c>
      <c r="M13" s="15">
        <f t="shared" si="1"/>
        <v>870</v>
      </c>
      <c r="N13" s="15">
        <v>0</v>
      </c>
      <c r="O13" s="58">
        <f t="shared" si="2"/>
        <v>0</v>
      </c>
      <c r="P13" s="39">
        <f t="shared" si="3"/>
        <v>5</v>
      </c>
      <c r="Q13" s="40">
        <f t="shared" si="4"/>
        <v>19</v>
      </c>
      <c r="R13" s="7"/>
      <c r="S13" s="6">
        <v>19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0.20833333333333334</v>
      </c>
      <c r="AD13" s="10">
        <f t="shared" ref="AD13:AD14" si="17">AC13*AB13*(1-O13)</f>
        <v>0.20833333333333334</v>
      </c>
      <c r="AE13" s="36">
        <f t="shared" si="8"/>
        <v>0.31111111111111106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138</v>
      </c>
      <c r="D14" s="52" t="s">
        <v>117</v>
      </c>
      <c r="E14" s="53" t="s">
        <v>416</v>
      </c>
      <c r="F14" s="30" t="s">
        <v>417</v>
      </c>
      <c r="G14" s="33">
        <v>1</v>
      </c>
      <c r="H14" s="35">
        <v>24</v>
      </c>
      <c r="I14" s="7">
        <v>2300</v>
      </c>
      <c r="J14" s="14">
        <v>1914</v>
      </c>
      <c r="K14" s="15">
        <f>L14+1914</f>
        <v>1914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17"/>
        <v>0</v>
      </c>
      <c r="AE14" s="36">
        <f t="shared" si="8"/>
        <v>0.31111111111111106</v>
      </c>
      <c r="AF14" s="87">
        <f t="shared" si="9"/>
        <v>8</v>
      </c>
    </row>
    <row r="15" spans="1:32" ht="27" customHeight="1">
      <c r="A15" s="118">
        <v>9</v>
      </c>
      <c r="B15" s="11" t="s">
        <v>57</v>
      </c>
      <c r="C15" s="34" t="s">
        <v>381</v>
      </c>
      <c r="D15" s="52"/>
      <c r="E15" s="53" t="s">
        <v>382</v>
      </c>
      <c r="F15" s="30" t="s">
        <v>383</v>
      </c>
      <c r="G15" s="33">
        <v>1</v>
      </c>
      <c r="H15" s="35">
        <v>24</v>
      </c>
      <c r="I15" s="7">
        <v>200</v>
      </c>
      <c r="J15" s="5">
        <v>318</v>
      </c>
      <c r="K15" s="15">
        <f>L15+318</f>
        <v>318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0.31111111111111106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128</v>
      </c>
      <c r="D16" s="52" t="s">
        <v>384</v>
      </c>
      <c r="E16" s="53" t="s">
        <v>337</v>
      </c>
      <c r="F16" s="12">
        <v>8301</v>
      </c>
      <c r="G16" s="12">
        <v>1</v>
      </c>
      <c r="H16" s="13">
        <v>24</v>
      </c>
      <c r="I16" s="31">
        <v>13000</v>
      </c>
      <c r="J16" s="14">
        <v>3622</v>
      </c>
      <c r="K16" s="15">
        <f>L16+5212+5747</f>
        <v>14581</v>
      </c>
      <c r="L16" s="15">
        <f>768+2854</f>
        <v>3622</v>
      </c>
      <c r="M16" s="15">
        <f t="shared" si="1"/>
        <v>3622</v>
      </c>
      <c r="N16" s="15">
        <v>0</v>
      </c>
      <c r="O16" s="58">
        <f t="shared" si="2"/>
        <v>0</v>
      </c>
      <c r="P16" s="39">
        <f t="shared" si="3"/>
        <v>17</v>
      </c>
      <c r="Q16" s="40">
        <f t="shared" si="4"/>
        <v>7</v>
      </c>
      <c r="R16" s="7"/>
      <c r="S16" s="6"/>
      <c r="T16" s="16"/>
      <c r="U16" s="16"/>
      <c r="V16" s="17"/>
      <c r="W16" s="5">
        <v>7</v>
      </c>
      <c r="X16" s="16"/>
      <c r="Y16" s="16"/>
      <c r="Z16" s="16"/>
      <c r="AA16" s="18"/>
      <c r="AB16" s="8">
        <f t="shared" si="5"/>
        <v>1</v>
      </c>
      <c r="AC16" s="9">
        <f t="shared" si="6"/>
        <v>0.70833333333333337</v>
      </c>
      <c r="AD16" s="10">
        <f t="shared" si="7"/>
        <v>0.70833333333333337</v>
      </c>
      <c r="AE16" s="36">
        <f t="shared" si="8"/>
        <v>0.31111111111111106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138</v>
      </c>
      <c r="D17" s="52"/>
      <c r="E17" s="53" t="s">
        <v>401</v>
      </c>
      <c r="F17" s="30" t="s">
        <v>141</v>
      </c>
      <c r="G17" s="12">
        <v>1</v>
      </c>
      <c r="H17" s="13">
        <v>28</v>
      </c>
      <c r="I17" s="7">
        <v>2300</v>
      </c>
      <c r="J17" s="14">
        <v>4310</v>
      </c>
      <c r="K17" s="15">
        <f>L17+4310</f>
        <v>4310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>
        <v>24</v>
      </c>
      <c r="T17" s="16"/>
      <c r="U17" s="16"/>
      <c r="V17" s="17"/>
      <c r="W17" s="5"/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0.31111111111111106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34" t="s">
        <v>138</v>
      </c>
      <c r="D18" s="52"/>
      <c r="E18" s="53" t="s">
        <v>408</v>
      </c>
      <c r="F18" s="30" t="s">
        <v>339</v>
      </c>
      <c r="G18" s="33">
        <v>1</v>
      </c>
      <c r="H18" s="35">
        <v>24</v>
      </c>
      <c r="I18" s="7">
        <v>2300</v>
      </c>
      <c r="J18" s="5">
        <v>1226</v>
      </c>
      <c r="K18" s="15">
        <f>L18+2598</f>
        <v>3824</v>
      </c>
      <c r="L18" s="15">
        <v>1226</v>
      </c>
      <c r="M18" s="15">
        <f t="shared" si="1"/>
        <v>1226</v>
      </c>
      <c r="N18" s="15">
        <v>0</v>
      </c>
      <c r="O18" s="58">
        <f t="shared" si="2"/>
        <v>0</v>
      </c>
      <c r="P18" s="39">
        <f t="shared" si="3"/>
        <v>7</v>
      </c>
      <c r="Q18" s="40">
        <f t="shared" si="4"/>
        <v>17</v>
      </c>
      <c r="R18" s="7"/>
      <c r="S18" s="6"/>
      <c r="T18" s="16"/>
      <c r="U18" s="16"/>
      <c r="V18" s="17"/>
      <c r="W18" s="5">
        <v>17</v>
      </c>
      <c r="X18" s="16"/>
      <c r="Y18" s="16"/>
      <c r="Z18" s="16"/>
      <c r="AA18" s="18"/>
      <c r="AB18" s="8">
        <f t="shared" si="5"/>
        <v>1</v>
      </c>
      <c r="AC18" s="9">
        <f t="shared" si="6"/>
        <v>0.29166666666666669</v>
      </c>
      <c r="AD18" s="10">
        <f t="shared" si="7"/>
        <v>0.29166666666666669</v>
      </c>
      <c r="AE18" s="36">
        <f t="shared" si="8"/>
        <v>0.31111111111111106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122</v>
      </c>
      <c r="E19" s="53" t="s">
        <v>147</v>
      </c>
      <c r="F19" s="30" t="s">
        <v>123</v>
      </c>
      <c r="G19" s="33">
        <v>1</v>
      </c>
      <c r="H19" s="35">
        <v>24</v>
      </c>
      <c r="I19" s="7">
        <v>60000</v>
      </c>
      <c r="J19" s="5">
        <v>3615</v>
      </c>
      <c r="K19" s="15">
        <f>L19+1915+5043+1754+4429+1736+4741+3615</f>
        <v>23233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>AC19*AB19*(1-O19)</f>
        <v>0</v>
      </c>
      <c r="AE19" s="36">
        <f t="shared" si="8"/>
        <v>0.31111111111111106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124</v>
      </c>
      <c r="D20" s="52" t="s">
        <v>117</v>
      </c>
      <c r="E20" s="53" t="s">
        <v>393</v>
      </c>
      <c r="F20" s="30" t="s">
        <v>121</v>
      </c>
      <c r="G20" s="33">
        <v>1</v>
      </c>
      <c r="H20" s="35">
        <v>24</v>
      </c>
      <c r="I20" s="7">
        <v>57000</v>
      </c>
      <c r="J20" s="14">
        <v>2357</v>
      </c>
      <c r="K20" s="15">
        <f>L20+2174+2357</f>
        <v>4531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0.31111111111111106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134</v>
      </c>
      <c r="F21" s="12" t="s">
        <v>116</v>
      </c>
      <c r="G21" s="12">
        <v>4</v>
      </c>
      <c r="H21" s="35">
        <v>20</v>
      </c>
      <c r="I21" s="7">
        <v>300000</v>
      </c>
      <c r="J21" s="14">
        <v>71684</v>
      </c>
      <c r="K21" s="15">
        <f>L21+69996+41020</f>
        <v>182700</v>
      </c>
      <c r="L21" s="15">
        <f>8083*4+9838*4</f>
        <v>71684</v>
      </c>
      <c r="M21" s="15">
        <f t="shared" si="1"/>
        <v>71684</v>
      </c>
      <c r="N21" s="15">
        <v>0</v>
      </c>
      <c r="O21" s="58">
        <f t="shared" si="2"/>
        <v>0</v>
      </c>
      <c r="P21" s="39">
        <f t="shared" si="3"/>
        <v>24</v>
      </c>
      <c r="Q21" s="40">
        <f t="shared" si="4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1</v>
      </c>
      <c r="AD21" s="10">
        <f t="shared" si="7"/>
        <v>1</v>
      </c>
      <c r="AE21" s="36">
        <f t="shared" si="8"/>
        <v>0.31111111111111106</v>
      </c>
      <c r="AF21" s="87">
        <f t="shared" si="9"/>
        <v>15</v>
      </c>
    </row>
    <row r="22" spans="1:32" ht="31.5" customHeight="1" thickBot="1">
      <c r="A22" s="541" t="s">
        <v>34</v>
      </c>
      <c r="B22" s="542"/>
      <c r="C22" s="542"/>
      <c r="D22" s="542"/>
      <c r="E22" s="542"/>
      <c r="F22" s="542"/>
      <c r="G22" s="542"/>
      <c r="H22" s="543"/>
      <c r="I22" s="22">
        <f t="shared" ref="I22:N22" si="18">SUM(I6:I21)</f>
        <v>700100</v>
      </c>
      <c r="J22" s="19">
        <f t="shared" si="18"/>
        <v>103864</v>
      </c>
      <c r="K22" s="20">
        <f t="shared" si="18"/>
        <v>393886</v>
      </c>
      <c r="L22" s="21">
        <f t="shared" si="18"/>
        <v>88799</v>
      </c>
      <c r="M22" s="20">
        <f t="shared" si="18"/>
        <v>88799</v>
      </c>
      <c r="N22" s="21">
        <f t="shared" si="18"/>
        <v>0</v>
      </c>
      <c r="O22" s="41">
        <f t="shared" si="2"/>
        <v>0</v>
      </c>
      <c r="P22" s="42">
        <f t="shared" ref="P22:AA22" si="19">SUM(P6:P21)</f>
        <v>112</v>
      </c>
      <c r="Q22" s="43">
        <f t="shared" si="19"/>
        <v>272</v>
      </c>
      <c r="R22" s="23">
        <f t="shared" si="19"/>
        <v>24</v>
      </c>
      <c r="S22" s="24">
        <f t="shared" si="19"/>
        <v>176</v>
      </c>
      <c r="T22" s="24">
        <f t="shared" si="19"/>
        <v>0</v>
      </c>
      <c r="U22" s="24">
        <f t="shared" si="19"/>
        <v>0</v>
      </c>
      <c r="V22" s="25">
        <f t="shared" si="19"/>
        <v>24</v>
      </c>
      <c r="W22" s="26">
        <f t="shared" si="19"/>
        <v>48</v>
      </c>
      <c r="X22" s="27">
        <f t="shared" si="19"/>
        <v>0</v>
      </c>
      <c r="Y22" s="27">
        <f t="shared" si="19"/>
        <v>0</v>
      </c>
      <c r="Z22" s="27">
        <f t="shared" si="19"/>
        <v>0</v>
      </c>
      <c r="AA22" s="27">
        <f t="shared" si="19"/>
        <v>0</v>
      </c>
      <c r="AB22" s="28">
        <f>SUM(AB6:AB21)/15</f>
        <v>0.53333333333333333</v>
      </c>
      <c r="AC22" s="4">
        <f>SUM(AC6:AC21)/15</f>
        <v>0.31111111111111106</v>
      </c>
      <c r="AD22" s="4">
        <f>SUM(AD6:AD21)/15</f>
        <v>0.31111111111111106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44" t="s">
        <v>45</v>
      </c>
      <c r="B49" s="544"/>
      <c r="C49" s="544"/>
      <c r="D49" s="544"/>
      <c r="E49" s="544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45" t="s">
        <v>434</v>
      </c>
      <c r="B50" s="546"/>
      <c r="C50" s="546"/>
      <c r="D50" s="546"/>
      <c r="E50" s="546"/>
      <c r="F50" s="546"/>
      <c r="G50" s="546"/>
      <c r="H50" s="546"/>
      <c r="I50" s="546"/>
      <c r="J50" s="546"/>
      <c r="K50" s="546"/>
      <c r="L50" s="546"/>
      <c r="M50" s="547"/>
      <c r="N50" s="548" t="s">
        <v>440</v>
      </c>
      <c r="O50" s="549"/>
      <c r="P50" s="549"/>
      <c r="Q50" s="549"/>
      <c r="R50" s="549"/>
      <c r="S50" s="549"/>
      <c r="T50" s="549"/>
      <c r="U50" s="549"/>
      <c r="V50" s="549"/>
      <c r="W50" s="549"/>
      <c r="X50" s="549"/>
      <c r="Y50" s="549"/>
      <c r="Z50" s="549"/>
      <c r="AA50" s="549"/>
      <c r="AB50" s="549"/>
      <c r="AC50" s="549"/>
      <c r="AD50" s="550"/>
    </row>
    <row r="51" spans="1:32" ht="27" customHeight="1">
      <c r="A51" s="551" t="s">
        <v>2</v>
      </c>
      <c r="B51" s="552"/>
      <c r="C51" s="287" t="s">
        <v>46</v>
      </c>
      <c r="D51" s="287" t="s">
        <v>47</v>
      </c>
      <c r="E51" s="287" t="s">
        <v>108</v>
      </c>
      <c r="F51" s="552" t="s">
        <v>107</v>
      </c>
      <c r="G51" s="552"/>
      <c r="H51" s="552"/>
      <c r="I51" s="552"/>
      <c r="J51" s="552"/>
      <c r="K51" s="552"/>
      <c r="L51" s="552"/>
      <c r="M51" s="553"/>
      <c r="N51" s="67" t="s">
        <v>112</v>
      </c>
      <c r="O51" s="287" t="s">
        <v>46</v>
      </c>
      <c r="P51" s="554" t="s">
        <v>47</v>
      </c>
      <c r="Q51" s="555"/>
      <c r="R51" s="554" t="s">
        <v>38</v>
      </c>
      <c r="S51" s="556"/>
      <c r="T51" s="556"/>
      <c r="U51" s="555"/>
      <c r="V51" s="554" t="s">
        <v>48</v>
      </c>
      <c r="W51" s="556"/>
      <c r="X51" s="556"/>
      <c r="Y51" s="556"/>
      <c r="Z51" s="556"/>
      <c r="AA51" s="556"/>
      <c r="AB51" s="556"/>
      <c r="AC51" s="556"/>
      <c r="AD51" s="557"/>
    </row>
    <row r="52" spans="1:32" ht="27" customHeight="1">
      <c r="A52" s="524" t="s">
        <v>114</v>
      </c>
      <c r="B52" s="525"/>
      <c r="C52" s="289" t="s">
        <v>131</v>
      </c>
      <c r="D52" s="289" t="s">
        <v>142</v>
      </c>
      <c r="E52" s="289" t="s">
        <v>404</v>
      </c>
      <c r="F52" s="517" t="s">
        <v>299</v>
      </c>
      <c r="G52" s="518"/>
      <c r="H52" s="518"/>
      <c r="I52" s="518"/>
      <c r="J52" s="518"/>
      <c r="K52" s="518"/>
      <c r="L52" s="518"/>
      <c r="M52" s="526"/>
      <c r="N52" s="288" t="s">
        <v>114</v>
      </c>
      <c r="O52" s="293" t="s">
        <v>150</v>
      </c>
      <c r="P52" s="536" t="s">
        <v>117</v>
      </c>
      <c r="Q52" s="537"/>
      <c r="R52" s="536" t="s">
        <v>144</v>
      </c>
      <c r="S52" s="538"/>
      <c r="T52" s="538"/>
      <c r="U52" s="537"/>
      <c r="V52" s="503" t="s">
        <v>157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124</v>
      </c>
      <c r="B53" s="525"/>
      <c r="C53" s="289" t="s">
        <v>155</v>
      </c>
      <c r="D53" s="289" t="s">
        <v>125</v>
      </c>
      <c r="E53" s="289" t="s">
        <v>323</v>
      </c>
      <c r="F53" s="517" t="s">
        <v>435</v>
      </c>
      <c r="G53" s="518"/>
      <c r="H53" s="518"/>
      <c r="I53" s="518"/>
      <c r="J53" s="518"/>
      <c r="K53" s="518"/>
      <c r="L53" s="518"/>
      <c r="M53" s="526"/>
      <c r="N53" s="288" t="s">
        <v>138</v>
      </c>
      <c r="O53" s="293" t="s">
        <v>132</v>
      </c>
      <c r="P53" s="536"/>
      <c r="Q53" s="537"/>
      <c r="R53" s="536" t="s">
        <v>424</v>
      </c>
      <c r="S53" s="538"/>
      <c r="T53" s="538"/>
      <c r="U53" s="537"/>
      <c r="V53" s="503" t="s">
        <v>157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124</v>
      </c>
      <c r="B54" s="525"/>
      <c r="C54" s="289" t="s">
        <v>132</v>
      </c>
      <c r="D54" s="289" t="s">
        <v>183</v>
      </c>
      <c r="E54" s="289" t="s">
        <v>300</v>
      </c>
      <c r="F54" s="517" t="s">
        <v>199</v>
      </c>
      <c r="G54" s="518"/>
      <c r="H54" s="518"/>
      <c r="I54" s="518"/>
      <c r="J54" s="518"/>
      <c r="K54" s="518"/>
      <c r="L54" s="518"/>
      <c r="M54" s="526"/>
      <c r="N54" s="288" t="s">
        <v>124</v>
      </c>
      <c r="O54" s="293" t="s">
        <v>171</v>
      </c>
      <c r="P54" s="536" t="s">
        <v>117</v>
      </c>
      <c r="Q54" s="537"/>
      <c r="R54" s="525" t="s">
        <v>393</v>
      </c>
      <c r="S54" s="525"/>
      <c r="T54" s="525"/>
      <c r="U54" s="525"/>
      <c r="V54" s="503" t="s">
        <v>157</v>
      </c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114</v>
      </c>
      <c r="B55" s="525"/>
      <c r="C55" s="289" t="s">
        <v>150</v>
      </c>
      <c r="D55" s="289" t="s">
        <v>117</v>
      </c>
      <c r="E55" s="289" t="s">
        <v>144</v>
      </c>
      <c r="F55" s="517" t="s">
        <v>436</v>
      </c>
      <c r="G55" s="518"/>
      <c r="H55" s="518"/>
      <c r="I55" s="518"/>
      <c r="J55" s="518"/>
      <c r="K55" s="518"/>
      <c r="L55" s="518"/>
      <c r="M55" s="526"/>
      <c r="N55" s="288" t="s">
        <v>114</v>
      </c>
      <c r="O55" s="293" t="s">
        <v>163</v>
      </c>
      <c r="P55" s="536" t="s">
        <v>237</v>
      </c>
      <c r="Q55" s="537"/>
      <c r="R55" s="536" t="s">
        <v>441</v>
      </c>
      <c r="S55" s="538"/>
      <c r="T55" s="538"/>
      <c r="U55" s="537"/>
      <c r="V55" s="503" t="s">
        <v>120</v>
      </c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 t="s">
        <v>138</v>
      </c>
      <c r="B56" s="525"/>
      <c r="C56" s="289" t="s">
        <v>179</v>
      </c>
      <c r="D56" s="289"/>
      <c r="E56" s="289" t="s">
        <v>416</v>
      </c>
      <c r="F56" s="517" t="s">
        <v>437</v>
      </c>
      <c r="G56" s="518"/>
      <c r="H56" s="518"/>
      <c r="I56" s="518"/>
      <c r="J56" s="518"/>
      <c r="K56" s="518"/>
      <c r="L56" s="518"/>
      <c r="M56" s="526"/>
      <c r="N56" s="288" t="s">
        <v>114</v>
      </c>
      <c r="O56" s="293" t="s">
        <v>234</v>
      </c>
      <c r="P56" s="536" t="s">
        <v>122</v>
      </c>
      <c r="Q56" s="537"/>
      <c r="R56" s="536" t="s">
        <v>147</v>
      </c>
      <c r="S56" s="538"/>
      <c r="T56" s="538"/>
      <c r="U56" s="537"/>
      <c r="V56" s="503" t="s">
        <v>157</v>
      </c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 t="s">
        <v>114</v>
      </c>
      <c r="B57" s="525"/>
      <c r="C57" s="289" t="s">
        <v>234</v>
      </c>
      <c r="D57" s="289" t="s">
        <v>122</v>
      </c>
      <c r="E57" s="289" t="s">
        <v>147</v>
      </c>
      <c r="F57" s="517" t="s">
        <v>438</v>
      </c>
      <c r="G57" s="518"/>
      <c r="H57" s="518"/>
      <c r="I57" s="518"/>
      <c r="J57" s="518"/>
      <c r="K57" s="518"/>
      <c r="L57" s="518"/>
      <c r="M57" s="526"/>
      <c r="N57" s="288"/>
      <c r="O57" s="293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 t="s">
        <v>138</v>
      </c>
      <c r="B58" s="525"/>
      <c r="C58" s="289" t="s">
        <v>132</v>
      </c>
      <c r="D58" s="289" t="s">
        <v>433</v>
      </c>
      <c r="E58" s="289" t="s">
        <v>424</v>
      </c>
      <c r="F58" s="517" t="s">
        <v>439</v>
      </c>
      <c r="G58" s="518"/>
      <c r="H58" s="518"/>
      <c r="I58" s="518"/>
      <c r="J58" s="518"/>
      <c r="K58" s="518"/>
      <c r="L58" s="518"/>
      <c r="M58" s="526"/>
      <c r="N58" s="288"/>
      <c r="O58" s="293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 t="s">
        <v>128</v>
      </c>
      <c r="B59" s="525"/>
      <c r="C59" s="289" t="s">
        <v>179</v>
      </c>
      <c r="D59" s="289" t="s">
        <v>117</v>
      </c>
      <c r="E59" s="289" t="s">
        <v>189</v>
      </c>
      <c r="F59" s="517" t="s">
        <v>120</v>
      </c>
      <c r="G59" s="518"/>
      <c r="H59" s="518"/>
      <c r="I59" s="518"/>
      <c r="J59" s="518"/>
      <c r="K59" s="518"/>
      <c r="L59" s="518"/>
      <c r="M59" s="526"/>
      <c r="N59" s="288"/>
      <c r="O59" s="293"/>
      <c r="P59" s="536"/>
      <c r="Q59" s="537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</row>
    <row r="60" spans="1:32" ht="27" customHeight="1">
      <c r="A60" s="524"/>
      <c r="B60" s="525"/>
      <c r="C60" s="289"/>
      <c r="D60" s="289"/>
      <c r="E60" s="289"/>
      <c r="F60" s="517"/>
      <c r="G60" s="518"/>
      <c r="H60" s="518"/>
      <c r="I60" s="518"/>
      <c r="J60" s="518"/>
      <c r="K60" s="518"/>
      <c r="L60" s="518"/>
      <c r="M60" s="526"/>
      <c r="N60" s="288"/>
      <c r="O60" s="293"/>
      <c r="P60" s="525"/>
      <c r="Q60" s="525"/>
      <c r="R60" s="525"/>
      <c r="S60" s="525"/>
      <c r="T60" s="525"/>
      <c r="U60" s="525"/>
      <c r="V60" s="503"/>
      <c r="W60" s="503"/>
      <c r="X60" s="503"/>
      <c r="Y60" s="503"/>
      <c r="Z60" s="503"/>
      <c r="AA60" s="503"/>
      <c r="AB60" s="503"/>
      <c r="AC60" s="503"/>
      <c r="AD60" s="527"/>
      <c r="AF60" s="87">
        <f>8*3000</f>
        <v>24000</v>
      </c>
    </row>
    <row r="61" spans="1:32" ht="27" customHeight="1" thickBot="1">
      <c r="A61" s="528"/>
      <c r="B61" s="529"/>
      <c r="C61" s="290"/>
      <c r="D61" s="290"/>
      <c r="E61" s="290"/>
      <c r="F61" s="530"/>
      <c r="G61" s="531"/>
      <c r="H61" s="531"/>
      <c r="I61" s="531"/>
      <c r="J61" s="531"/>
      <c r="K61" s="531"/>
      <c r="L61" s="531"/>
      <c r="M61" s="532"/>
      <c r="N61" s="124"/>
      <c r="O61" s="114"/>
      <c r="P61" s="533"/>
      <c r="Q61" s="533"/>
      <c r="R61" s="533"/>
      <c r="S61" s="533"/>
      <c r="T61" s="533"/>
      <c r="U61" s="533"/>
      <c r="V61" s="534"/>
      <c r="W61" s="534"/>
      <c r="X61" s="534"/>
      <c r="Y61" s="534"/>
      <c r="Z61" s="534"/>
      <c r="AA61" s="534"/>
      <c r="AB61" s="534"/>
      <c r="AC61" s="534"/>
      <c r="AD61" s="535"/>
      <c r="AF61" s="87">
        <f>16*3000</f>
        <v>48000</v>
      </c>
    </row>
    <row r="62" spans="1:32" ht="27.75" thickBot="1">
      <c r="A62" s="522" t="s">
        <v>442</v>
      </c>
      <c r="B62" s="522"/>
      <c r="C62" s="522"/>
      <c r="D62" s="522"/>
      <c r="E62" s="52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523" t="s">
        <v>113</v>
      </c>
      <c r="B63" s="515"/>
      <c r="C63" s="291" t="s">
        <v>2</v>
      </c>
      <c r="D63" s="291" t="s">
        <v>37</v>
      </c>
      <c r="E63" s="291" t="s">
        <v>3</v>
      </c>
      <c r="F63" s="515" t="s">
        <v>110</v>
      </c>
      <c r="G63" s="515"/>
      <c r="H63" s="515"/>
      <c r="I63" s="515"/>
      <c r="J63" s="515"/>
      <c r="K63" s="515" t="s">
        <v>39</v>
      </c>
      <c r="L63" s="515"/>
      <c r="M63" s="291" t="s">
        <v>40</v>
      </c>
      <c r="N63" s="515" t="s">
        <v>41</v>
      </c>
      <c r="O63" s="515"/>
      <c r="P63" s="512" t="s">
        <v>42</v>
      </c>
      <c r="Q63" s="514"/>
      <c r="R63" s="512" t="s">
        <v>43</v>
      </c>
      <c r="S63" s="513"/>
      <c r="T63" s="513"/>
      <c r="U63" s="513"/>
      <c r="V63" s="513"/>
      <c r="W63" s="513"/>
      <c r="X63" s="513"/>
      <c r="Y63" s="513"/>
      <c r="Z63" s="513"/>
      <c r="AA63" s="514"/>
      <c r="AB63" s="515" t="s">
        <v>44</v>
      </c>
      <c r="AC63" s="515"/>
      <c r="AD63" s="516"/>
      <c r="AF63" s="87">
        <f>SUM(AF60:AF62)</f>
        <v>96000</v>
      </c>
    </row>
    <row r="64" spans="1:32" ht="25.5" customHeight="1">
      <c r="A64" s="498">
        <v>1</v>
      </c>
      <c r="B64" s="499"/>
      <c r="C64" s="117" t="s">
        <v>124</v>
      </c>
      <c r="D64" s="295"/>
      <c r="E64" s="292" t="s">
        <v>443</v>
      </c>
      <c r="F64" s="500" t="s">
        <v>444</v>
      </c>
      <c r="G64" s="492"/>
      <c r="H64" s="492"/>
      <c r="I64" s="492"/>
      <c r="J64" s="492"/>
      <c r="K64" s="492" t="s">
        <v>141</v>
      </c>
      <c r="L64" s="492"/>
      <c r="M64" s="51" t="s">
        <v>162</v>
      </c>
      <c r="N64" s="501" t="s">
        <v>132</v>
      </c>
      <c r="O64" s="501"/>
      <c r="P64" s="502">
        <v>50</v>
      </c>
      <c r="Q64" s="502"/>
      <c r="R64" s="503" t="s">
        <v>445</v>
      </c>
      <c r="S64" s="503"/>
      <c r="T64" s="503"/>
      <c r="U64" s="503"/>
      <c r="V64" s="503"/>
      <c r="W64" s="503"/>
      <c r="X64" s="503"/>
      <c r="Y64" s="503"/>
      <c r="Z64" s="503"/>
      <c r="AA64" s="503"/>
      <c r="AB64" s="507"/>
      <c r="AC64" s="520"/>
      <c r="AD64" s="521"/>
      <c r="AF64" s="50"/>
    </row>
    <row r="65" spans="1:32" ht="25.5" customHeight="1">
      <c r="A65" s="498">
        <v>2</v>
      </c>
      <c r="B65" s="499"/>
      <c r="C65" s="117" t="s">
        <v>124</v>
      </c>
      <c r="D65" s="295"/>
      <c r="E65" s="292" t="s">
        <v>159</v>
      </c>
      <c r="F65" s="504" t="s">
        <v>160</v>
      </c>
      <c r="G65" s="505"/>
      <c r="H65" s="505"/>
      <c r="I65" s="505"/>
      <c r="J65" s="506"/>
      <c r="K65" s="507" t="s">
        <v>161</v>
      </c>
      <c r="L65" s="499"/>
      <c r="M65" s="51" t="s">
        <v>162</v>
      </c>
      <c r="N65" s="501" t="s">
        <v>163</v>
      </c>
      <c r="O65" s="501"/>
      <c r="P65" s="510">
        <v>50</v>
      </c>
      <c r="Q65" s="511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3</v>
      </c>
      <c r="B66" s="499"/>
      <c r="C66" s="117" t="s">
        <v>124</v>
      </c>
      <c r="D66" s="295"/>
      <c r="E66" s="292" t="s">
        <v>135</v>
      </c>
      <c r="F66" s="504" t="s">
        <v>143</v>
      </c>
      <c r="G66" s="505"/>
      <c r="H66" s="505"/>
      <c r="I66" s="505"/>
      <c r="J66" s="506"/>
      <c r="K66" s="507" t="s">
        <v>133</v>
      </c>
      <c r="L66" s="499"/>
      <c r="M66" s="51" t="s">
        <v>162</v>
      </c>
      <c r="N66" s="501" t="s">
        <v>163</v>
      </c>
      <c r="O66" s="501"/>
      <c r="P66" s="510">
        <v>50</v>
      </c>
      <c r="Q66" s="511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4</v>
      </c>
      <c r="B67" s="499"/>
      <c r="C67" s="117"/>
      <c r="D67" s="295"/>
      <c r="E67" s="292"/>
      <c r="F67" s="504"/>
      <c r="G67" s="505"/>
      <c r="H67" s="505"/>
      <c r="I67" s="505"/>
      <c r="J67" s="506"/>
      <c r="K67" s="507"/>
      <c r="L67" s="499"/>
      <c r="M67" s="51"/>
      <c r="N67" s="508"/>
      <c r="O67" s="509"/>
      <c r="P67" s="510"/>
      <c r="Q67" s="511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5</v>
      </c>
      <c r="B68" s="499"/>
      <c r="C68" s="117"/>
      <c r="D68" s="295"/>
      <c r="E68" s="292"/>
      <c r="F68" s="504"/>
      <c r="G68" s="505"/>
      <c r="H68" s="505"/>
      <c r="I68" s="505"/>
      <c r="J68" s="506"/>
      <c r="K68" s="507"/>
      <c r="L68" s="499"/>
      <c r="M68" s="51"/>
      <c r="N68" s="508"/>
      <c r="O68" s="509"/>
      <c r="P68" s="510"/>
      <c r="Q68" s="511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6</v>
      </c>
      <c r="B69" s="499"/>
      <c r="C69" s="117"/>
      <c r="D69" s="295"/>
      <c r="E69" s="292"/>
      <c r="F69" s="500"/>
      <c r="G69" s="492"/>
      <c r="H69" s="492"/>
      <c r="I69" s="492"/>
      <c r="J69" s="492"/>
      <c r="K69" s="492"/>
      <c r="L69" s="492"/>
      <c r="M69" s="51"/>
      <c r="N69" s="508"/>
      <c r="O69" s="509"/>
      <c r="P69" s="510"/>
      <c r="Q69" s="511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7</v>
      </c>
      <c r="B70" s="499"/>
      <c r="C70" s="117"/>
      <c r="D70" s="295"/>
      <c r="E70" s="292"/>
      <c r="F70" s="500"/>
      <c r="G70" s="492"/>
      <c r="H70" s="492"/>
      <c r="I70" s="492"/>
      <c r="J70" s="492"/>
      <c r="K70" s="492"/>
      <c r="L70" s="492"/>
      <c r="M70" s="51"/>
      <c r="N70" s="508"/>
      <c r="O70" s="509"/>
      <c r="P70" s="510"/>
      <c r="Q70" s="511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5.5" customHeight="1">
      <c r="A71" s="498">
        <v>8</v>
      </c>
      <c r="B71" s="499"/>
      <c r="C71" s="117"/>
      <c r="D71" s="295"/>
      <c r="E71" s="292"/>
      <c r="F71" s="500"/>
      <c r="G71" s="492"/>
      <c r="H71" s="492"/>
      <c r="I71" s="492"/>
      <c r="J71" s="492"/>
      <c r="K71" s="492"/>
      <c r="L71" s="492"/>
      <c r="M71" s="51"/>
      <c r="N71" s="508"/>
      <c r="O71" s="509"/>
      <c r="P71" s="510"/>
      <c r="Q71" s="511"/>
      <c r="R71" s="503"/>
      <c r="S71" s="503"/>
      <c r="T71" s="503"/>
      <c r="U71" s="503"/>
      <c r="V71" s="503"/>
      <c r="W71" s="503"/>
      <c r="X71" s="503"/>
      <c r="Y71" s="503"/>
      <c r="Z71" s="503"/>
      <c r="AA71" s="503"/>
      <c r="AB71" s="492"/>
      <c r="AC71" s="492"/>
      <c r="AD71" s="493"/>
      <c r="AF71" s="50"/>
    </row>
    <row r="72" spans="1:32" ht="26.25" customHeight="1" thickBot="1">
      <c r="A72" s="472" t="s">
        <v>446</v>
      </c>
      <c r="B72" s="472"/>
      <c r="C72" s="472"/>
      <c r="D72" s="472"/>
      <c r="E72" s="472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73" t="s">
        <v>113</v>
      </c>
      <c r="B73" s="474"/>
      <c r="C73" s="294" t="s">
        <v>2</v>
      </c>
      <c r="D73" s="294" t="s">
        <v>37</v>
      </c>
      <c r="E73" s="294" t="s">
        <v>3</v>
      </c>
      <c r="F73" s="474" t="s">
        <v>38</v>
      </c>
      <c r="G73" s="474"/>
      <c r="H73" s="474"/>
      <c r="I73" s="474"/>
      <c r="J73" s="474"/>
      <c r="K73" s="494" t="s">
        <v>58</v>
      </c>
      <c r="L73" s="495"/>
      <c r="M73" s="495"/>
      <c r="N73" s="495"/>
      <c r="O73" s="495"/>
      <c r="P73" s="495"/>
      <c r="Q73" s="495"/>
      <c r="R73" s="495"/>
      <c r="S73" s="496"/>
      <c r="T73" s="474" t="s">
        <v>49</v>
      </c>
      <c r="U73" s="474"/>
      <c r="V73" s="494" t="s">
        <v>50</v>
      </c>
      <c r="W73" s="496"/>
      <c r="X73" s="495" t="s">
        <v>51</v>
      </c>
      <c r="Y73" s="495"/>
      <c r="Z73" s="495"/>
      <c r="AA73" s="495"/>
      <c r="AB73" s="495"/>
      <c r="AC73" s="495"/>
      <c r="AD73" s="497"/>
      <c r="AF73" s="50"/>
    </row>
    <row r="74" spans="1:32" ht="33.75" customHeight="1">
      <c r="A74" s="466">
        <v>1</v>
      </c>
      <c r="B74" s="467"/>
      <c r="C74" s="296" t="s">
        <v>114</v>
      </c>
      <c r="D74" s="296"/>
      <c r="E74" s="65" t="s">
        <v>119</v>
      </c>
      <c r="F74" s="481" t="s">
        <v>118</v>
      </c>
      <c r="G74" s="482"/>
      <c r="H74" s="482"/>
      <c r="I74" s="482"/>
      <c r="J74" s="483"/>
      <c r="K74" s="484" t="s">
        <v>130</v>
      </c>
      <c r="L74" s="485"/>
      <c r="M74" s="485"/>
      <c r="N74" s="485"/>
      <c r="O74" s="485"/>
      <c r="P74" s="485"/>
      <c r="Q74" s="485"/>
      <c r="R74" s="485"/>
      <c r="S74" s="486"/>
      <c r="T74" s="487">
        <v>43675</v>
      </c>
      <c r="U74" s="488"/>
      <c r="V74" s="489"/>
      <c r="W74" s="489"/>
      <c r="X74" s="490"/>
      <c r="Y74" s="490"/>
      <c r="Z74" s="490"/>
      <c r="AA74" s="490"/>
      <c r="AB74" s="490"/>
      <c r="AC74" s="490"/>
      <c r="AD74" s="491"/>
      <c r="AF74" s="50"/>
    </row>
    <row r="75" spans="1:32" ht="30" customHeight="1">
      <c r="A75" s="459">
        <f>A74+1</f>
        <v>2</v>
      </c>
      <c r="B75" s="460"/>
      <c r="C75" s="295"/>
      <c r="D75" s="295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ref="A76:A82" si="20">A75+1</f>
        <v>3</v>
      </c>
      <c r="B76" s="460"/>
      <c r="C76" s="295"/>
      <c r="D76" s="295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20"/>
        <v>4</v>
      </c>
      <c r="B77" s="460"/>
      <c r="C77" s="295"/>
      <c r="D77" s="295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20"/>
        <v>5</v>
      </c>
      <c r="B78" s="460"/>
      <c r="C78" s="295"/>
      <c r="D78" s="295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20"/>
        <v>6</v>
      </c>
      <c r="B79" s="460"/>
      <c r="C79" s="295"/>
      <c r="D79" s="295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20"/>
        <v>7</v>
      </c>
      <c r="B80" s="460"/>
      <c r="C80" s="295"/>
      <c r="D80" s="295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20"/>
        <v>8</v>
      </c>
      <c r="B81" s="460"/>
      <c r="C81" s="295"/>
      <c r="D81" s="295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0" customHeight="1">
      <c r="A82" s="459">
        <f t="shared" si="20"/>
        <v>9</v>
      </c>
      <c r="B82" s="460"/>
      <c r="C82" s="295"/>
      <c r="D82" s="295"/>
      <c r="E82" s="32"/>
      <c r="F82" s="460"/>
      <c r="G82" s="460"/>
      <c r="H82" s="460"/>
      <c r="I82" s="460"/>
      <c r="J82" s="460"/>
      <c r="K82" s="475"/>
      <c r="L82" s="476"/>
      <c r="M82" s="476"/>
      <c r="N82" s="476"/>
      <c r="O82" s="476"/>
      <c r="P82" s="476"/>
      <c r="Q82" s="476"/>
      <c r="R82" s="476"/>
      <c r="S82" s="477"/>
      <c r="T82" s="478"/>
      <c r="U82" s="478"/>
      <c r="V82" s="478"/>
      <c r="W82" s="478"/>
      <c r="X82" s="479"/>
      <c r="Y82" s="479"/>
      <c r="Z82" s="479"/>
      <c r="AA82" s="479"/>
      <c r="AB82" s="479"/>
      <c r="AC82" s="479"/>
      <c r="AD82" s="480"/>
      <c r="AF82" s="50"/>
    </row>
    <row r="83" spans="1:32" ht="36" thickBot="1">
      <c r="A83" s="472" t="s">
        <v>447</v>
      </c>
      <c r="B83" s="472"/>
      <c r="C83" s="472"/>
      <c r="D83" s="472"/>
      <c r="E83" s="472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3" t="s">
        <v>113</v>
      </c>
      <c r="B84" s="474"/>
      <c r="C84" s="464" t="s">
        <v>52</v>
      </c>
      <c r="D84" s="464"/>
      <c r="E84" s="464" t="s">
        <v>53</v>
      </c>
      <c r="F84" s="464"/>
      <c r="G84" s="464"/>
      <c r="H84" s="464"/>
      <c r="I84" s="464"/>
      <c r="J84" s="464"/>
      <c r="K84" s="464" t="s">
        <v>54</v>
      </c>
      <c r="L84" s="464"/>
      <c r="M84" s="464"/>
      <c r="N84" s="464"/>
      <c r="O84" s="464"/>
      <c r="P84" s="464"/>
      <c r="Q84" s="464"/>
      <c r="R84" s="464"/>
      <c r="S84" s="464"/>
      <c r="T84" s="464" t="s">
        <v>55</v>
      </c>
      <c r="U84" s="464"/>
      <c r="V84" s="464" t="s">
        <v>56</v>
      </c>
      <c r="W84" s="464"/>
      <c r="X84" s="464"/>
      <c r="Y84" s="464" t="s">
        <v>51</v>
      </c>
      <c r="Z84" s="464"/>
      <c r="AA84" s="464"/>
      <c r="AB84" s="464"/>
      <c r="AC84" s="464"/>
      <c r="AD84" s="465"/>
      <c r="AF84" s="50"/>
    </row>
    <row r="85" spans="1:32" ht="30.75" customHeight="1">
      <c r="A85" s="466">
        <v>1</v>
      </c>
      <c r="B85" s="467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8"/>
      <c r="U85" s="468"/>
      <c r="V85" s="469"/>
      <c r="W85" s="469"/>
      <c r="X85" s="469"/>
      <c r="Y85" s="470"/>
      <c r="Z85" s="470"/>
      <c r="AA85" s="470"/>
      <c r="AB85" s="470"/>
      <c r="AC85" s="470"/>
      <c r="AD85" s="471"/>
      <c r="AF85" s="50"/>
    </row>
    <row r="86" spans="1:32" ht="30.75" customHeight="1">
      <c r="A86" s="459">
        <v>2</v>
      </c>
      <c r="B86" s="460"/>
      <c r="C86" s="461"/>
      <c r="D86" s="461"/>
      <c r="E86" s="461"/>
      <c r="F86" s="461"/>
      <c r="G86" s="461"/>
      <c r="H86" s="461"/>
      <c r="I86" s="461"/>
      <c r="J86" s="461"/>
      <c r="K86" s="461"/>
      <c r="L86" s="461"/>
      <c r="M86" s="461"/>
      <c r="N86" s="461"/>
      <c r="O86" s="461"/>
      <c r="P86" s="461"/>
      <c r="Q86" s="461"/>
      <c r="R86" s="461"/>
      <c r="S86" s="461"/>
      <c r="T86" s="462"/>
      <c r="U86" s="462"/>
      <c r="V86" s="463"/>
      <c r="W86" s="463"/>
      <c r="X86" s="463"/>
      <c r="Y86" s="452"/>
      <c r="Z86" s="452"/>
      <c r="AA86" s="452"/>
      <c r="AB86" s="452"/>
      <c r="AC86" s="452"/>
      <c r="AD86" s="453"/>
      <c r="AF86" s="50"/>
    </row>
    <row r="87" spans="1:32" ht="30.75" customHeight="1" thickBot="1">
      <c r="A87" s="454">
        <v>3</v>
      </c>
      <c r="B87" s="455"/>
      <c r="C87" s="456"/>
      <c r="D87" s="456"/>
      <c r="E87" s="456"/>
      <c r="F87" s="456"/>
      <c r="G87" s="456"/>
      <c r="H87" s="456"/>
      <c r="I87" s="456"/>
      <c r="J87" s="456"/>
      <c r="K87" s="456"/>
      <c r="L87" s="456"/>
      <c r="M87" s="456"/>
      <c r="N87" s="456"/>
      <c r="O87" s="456"/>
      <c r="P87" s="456"/>
      <c r="Q87" s="456"/>
      <c r="R87" s="456"/>
      <c r="S87" s="456"/>
      <c r="T87" s="456"/>
      <c r="U87" s="456"/>
      <c r="V87" s="456"/>
      <c r="W87" s="456"/>
      <c r="X87" s="456"/>
      <c r="Y87" s="457"/>
      <c r="Z87" s="457"/>
      <c r="AA87" s="457"/>
      <c r="AB87" s="457"/>
      <c r="AC87" s="457"/>
      <c r="AD87" s="458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FF91-3940-48A7-AEA6-E6F6BDA323F6}">
  <dimension ref="A1:AF86"/>
  <sheetViews>
    <sheetView topLeftCell="A4" zoomScale="72" zoomScaleNormal="72" zoomScaleSheetLayoutView="70" workbookViewId="0">
      <selection activeCell="F64" sqref="F64:J6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448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307" t="s">
        <v>17</v>
      </c>
      <c r="L5" s="307" t="s">
        <v>18</v>
      </c>
      <c r="M5" s="307" t="s">
        <v>19</v>
      </c>
      <c r="N5" s="30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0.42222222222222222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0.42222222222222222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114</v>
      </c>
      <c r="D8" s="52" t="s">
        <v>119</v>
      </c>
      <c r="E8" s="53" t="s">
        <v>392</v>
      </c>
      <c r="F8" s="30" t="s">
        <v>248</v>
      </c>
      <c r="G8" s="33">
        <v>1</v>
      </c>
      <c r="H8" s="35">
        <v>24</v>
      </c>
      <c r="I8" s="7">
        <v>24000</v>
      </c>
      <c r="J8" s="14">
        <v>4866</v>
      </c>
      <c r="K8" s="15">
        <f>L8+2575+4800+4872</f>
        <v>17113</v>
      </c>
      <c r="L8" s="15">
        <f>2181+2685</f>
        <v>4866</v>
      </c>
      <c r="M8" s="15">
        <f t="shared" si="1"/>
        <v>4866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0.42222222222222222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5160</v>
      </c>
      <c r="K9" s="15">
        <f>L9+1036+2500+4639+2951+2392+2902+2784+3566+4110+4299+4289+1910+4734+4854+3892+4611+3795</f>
        <v>64424</v>
      </c>
      <c r="L9" s="15">
        <f>2312+2848</f>
        <v>5160</v>
      </c>
      <c r="M9" s="15">
        <f t="shared" si="1"/>
        <v>5160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0.42222222222222222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125</v>
      </c>
      <c r="E10" s="53" t="s">
        <v>323</v>
      </c>
      <c r="F10" s="30" t="s">
        <v>141</v>
      </c>
      <c r="G10" s="33">
        <v>1</v>
      </c>
      <c r="H10" s="35">
        <v>24</v>
      </c>
      <c r="I10" s="7">
        <v>8500</v>
      </c>
      <c r="J10" s="5">
        <v>5035</v>
      </c>
      <c r="K10" s="15">
        <f>L10+1002+1421+2240</f>
        <v>9698</v>
      </c>
      <c r="L10" s="15">
        <f>2246+2789</f>
        <v>5035</v>
      </c>
      <c r="M10" s="15">
        <f t="shared" si="1"/>
        <v>5035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0.42222222222222222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138</v>
      </c>
      <c r="D11" s="52" t="s">
        <v>433</v>
      </c>
      <c r="E11" s="53" t="s">
        <v>424</v>
      </c>
      <c r="F11" s="30" t="s">
        <v>417</v>
      </c>
      <c r="G11" s="33" t="s">
        <v>136</v>
      </c>
      <c r="H11" s="35">
        <v>24</v>
      </c>
      <c r="I11" s="7">
        <v>7500</v>
      </c>
      <c r="J11" s="5">
        <v>589</v>
      </c>
      <c r="K11" s="15">
        <f>L11</f>
        <v>589</v>
      </c>
      <c r="L11" s="15">
        <v>589</v>
      </c>
      <c r="M11" s="15">
        <f t="shared" si="1"/>
        <v>589</v>
      </c>
      <c r="N11" s="15">
        <v>0</v>
      </c>
      <c r="O11" s="58">
        <f t="shared" si="2"/>
        <v>0</v>
      </c>
      <c r="P11" s="39">
        <f t="shared" si="3"/>
        <v>4</v>
      </c>
      <c r="Q11" s="40">
        <f t="shared" si="4"/>
        <v>20</v>
      </c>
      <c r="R11" s="7"/>
      <c r="S11" s="6">
        <v>20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0.16666666666666666</v>
      </c>
      <c r="AD11" s="10">
        <f>AC11*AB11*(1-O11)</f>
        <v>0.16666666666666666</v>
      </c>
      <c r="AE11" s="36">
        <f t="shared" si="8"/>
        <v>0.42222222222222222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144</v>
      </c>
      <c r="F12" s="30" t="s">
        <v>121</v>
      </c>
      <c r="G12" s="33">
        <v>1</v>
      </c>
      <c r="H12" s="35">
        <v>24</v>
      </c>
      <c r="I12" s="7">
        <v>70000</v>
      </c>
      <c r="J12" s="14">
        <v>1602</v>
      </c>
      <c r="K12" s="15">
        <f>L12+2036+3193+2673+3958+1875+401+3155+4199+2859+2339+1952+1208+2933+3415+1960+4032+870</f>
        <v>44660</v>
      </c>
      <c r="L12" s="15">
        <f>757+845</f>
        <v>1602</v>
      </c>
      <c r="M12" s="15">
        <f t="shared" si="1"/>
        <v>1602</v>
      </c>
      <c r="N12" s="15">
        <v>0</v>
      </c>
      <c r="O12" s="58">
        <f t="shared" si="2"/>
        <v>0</v>
      </c>
      <c r="P12" s="39">
        <f t="shared" si="3"/>
        <v>8</v>
      </c>
      <c r="Q12" s="40">
        <f t="shared" si="4"/>
        <v>16</v>
      </c>
      <c r="R12" s="7"/>
      <c r="S12" s="6">
        <v>16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0.33333333333333331</v>
      </c>
      <c r="AD12" s="10">
        <f t="shared" ref="AD12:AD13" si="10">AC12*AB12*(1-O12)</f>
        <v>0.33333333333333331</v>
      </c>
      <c r="AE12" s="36">
        <f t="shared" si="8"/>
        <v>0.42222222222222222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128</v>
      </c>
      <c r="D13" s="52" t="s">
        <v>117</v>
      </c>
      <c r="E13" s="53" t="s">
        <v>189</v>
      </c>
      <c r="F13" s="30" t="s">
        <v>190</v>
      </c>
      <c r="G13" s="33">
        <v>2</v>
      </c>
      <c r="H13" s="35">
        <v>24</v>
      </c>
      <c r="I13" s="7">
        <v>30000</v>
      </c>
      <c r="J13" s="14">
        <v>8032</v>
      </c>
      <c r="K13" s="15">
        <f>L13</f>
        <v>8032</v>
      </c>
      <c r="L13" s="15">
        <f>2227*2+1789*2</f>
        <v>8032</v>
      </c>
      <c r="M13" s="15">
        <f t="shared" si="1"/>
        <v>8032</v>
      </c>
      <c r="N13" s="15">
        <v>0</v>
      </c>
      <c r="O13" s="58">
        <f t="shared" si="2"/>
        <v>0</v>
      </c>
      <c r="P13" s="39">
        <f t="shared" si="3"/>
        <v>21</v>
      </c>
      <c r="Q13" s="40">
        <f t="shared" si="4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0.875</v>
      </c>
      <c r="AD13" s="10">
        <f t="shared" si="10"/>
        <v>0.875</v>
      </c>
      <c r="AE13" s="36">
        <f t="shared" si="8"/>
        <v>0.42222222222222222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381</v>
      </c>
      <c r="D14" s="52"/>
      <c r="E14" s="53" t="s">
        <v>382</v>
      </c>
      <c r="F14" s="30" t="s">
        <v>383</v>
      </c>
      <c r="G14" s="33">
        <v>1</v>
      </c>
      <c r="H14" s="35">
        <v>24</v>
      </c>
      <c r="I14" s="7">
        <v>200</v>
      </c>
      <c r="J14" s="5">
        <v>318</v>
      </c>
      <c r="K14" s="15">
        <f>L14+318</f>
        <v>318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0.42222222222222222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128</v>
      </c>
      <c r="D15" s="52" t="s">
        <v>384</v>
      </c>
      <c r="E15" s="53" t="s">
        <v>337</v>
      </c>
      <c r="F15" s="12">
        <v>8301</v>
      </c>
      <c r="G15" s="12">
        <v>1</v>
      </c>
      <c r="H15" s="13">
        <v>24</v>
      </c>
      <c r="I15" s="31">
        <v>13000</v>
      </c>
      <c r="J15" s="14">
        <v>3622</v>
      </c>
      <c r="K15" s="15">
        <f>L15+5212+5747+3622</f>
        <v>14581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0.42222222222222222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138</v>
      </c>
      <c r="D16" s="52"/>
      <c r="E16" s="53" t="s">
        <v>401</v>
      </c>
      <c r="F16" s="30" t="s">
        <v>141</v>
      </c>
      <c r="G16" s="12">
        <v>1</v>
      </c>
      <c r="H16" s="13">
        <v>28</v>
      </c>
      <c r="I16" s="7">
        <v>2300</v>
      </c>
      <c r="J16" s="14">
        <v>4310</v>
      </c>
      <c r="K16" s="15">
        <f>L16+4310</f>
        <v>4310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0.42222222222222222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449</v>
      </c>
      <c r="E17" s="53" t="s">
        <v>441</v>
      </c>
      <c r="F17" s="30" t="s">
        <v>249</v>
      </c>
      <c r="G17" s="33">
        <v>1</v>
      </c>
      <c r="H17" s="35">
        <v>24</v>
      </c>
      <c r="I17" s="7">
        <v>24000</v>
      </c>
      <c r="J17" s="5">
        <v>5168</v>
      </c>
      <c r="K17" s="15">
        <f>L17</f>
        <v>5168</v>
      </c>
      <c r="L17" s="15">
        <f>2498+2670</f>
        <v>5168</v>
      </c>
      <c r="M17" s="15">
        <f t="shared" si="1"/>
        <v>5168</v>
      </c>
      <c r="N17" s="15">
        <v>0</v>
      </c>
      <c r="O17" s="58">
        <f t="shared" si="2"/>
        <v>0</v>
      </c>
      <c r="P17" s="39">
        <f t="shared" si="3"/>
        <v>23</v>
      </c>
      <c r="Q17" s="40">
        <f t="shared" si="4"/>
        <v>1</v>
      </c>
      <c r="R17" s="7"/>
      <c r="S17" s="6">
        <v>1</v>
      </c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0.95833333333333337</v>
      </c>
      <c r="AD17" s="10">
        <f t="shared" si="7"/>
        <v>0.95833333333333337</v>
      </c>
      <c r="AE17" s="36">
        <f t="shared" si="8"/>
        <v>0.42222222222222222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122</v>
      </c>
      <c r="E18" s="53" t="s">
        <v>147</v>
      </c>
      <c r="F18" s="30" t="s">
        <v>123</v>
      </c>
      <c r="G18" s="33">
        <v>1</v>
      </c>
      <c r="H18" s="35">
        <v>24</v>
      </c>
      <c r="I18" s="7">
        <v>60000</v>
      </c>
      <c r="J18" s="5">
        <v>3615</v>
      </c>
      <c r="K18" s="15">
        <f>L18+1915+5043+1754+4429+1736+4741+3615</f>
        <v>23233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>
        <v>24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>AC18*AB18*(1-O18)</f>
        <v>0</v>
      </c>
      <c r="AE18" s="36">
        <f t="shared" si="8"/>
        <v>0.42222222222222222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393</v>
      </c>
      <c r="F19" s="30" t="s">
        <v>121</v>
      </c>
      <c r="G19" s="33">
        <v>1</v>
      </c>
      <c r="H19" s="35">
        <v>24</v>
      </c>
      <c r="I19" s="7">
        <v>57000</v>
      </c>
      <c r="J19" s="14">
        <v>2357</v>
      </c>
      <c r="K19" s="15">
        <f>L19+2174+2357</f>
        <v>4531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 t="shared" si="7"/>
        <v>0</v>
      </c>
      <c r="AE19" s="36">
        <f t="shared" si="8"/>
        <v>0.42222222222222222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134</v>
      </c>
      <c r="F20" s="12" t="s">
        <v>116</v>
      </c>
      <c r="G20" s="12">
        <v>4</v>
      </c>
      <c r="H20" s="35">
        <v>20</v>
      </c>
      <c r="I20" s="7">
        <v>300000</v>
      </c>
      <c r="J20" s="14">
        <v>75200</v>
      </c>
      <c r="K20" s="15">
        <f>L20+69996+41020+71684</f>
        <v>257900</v>
      </c>
      <c r="L20" s="15">
        <f>8722*4+10078*4</f>
        <v>75200</v>
      </c>
      <c r="M20" s="15">
        <f t="shared" si="1"/>
        <v>75200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 t="shared" si="7"/>
        <v>1</v>
      </c>
      <c r="AE20" s="36">
        <f t="shared" si="8"/>
        <v>0.42222222222222222</v>
      </c>
      <c r="AF20" s="87">
        <f t="shared" si="9"/>
        <v>15</v>
      </c>
    </row>
    <row r="21" spans="1:32" ht="31.5" customHeight="1" thickBot="1">
      <c r="A21" s="541" t="s">
        <v>34</v>
      </c>
      <c r="B21" s="542"/>
      <c r="C21" s="542"/>
      <c r="D21" s="542"/>
      <c r="E21" s="542"/>
      <c r="F21" s="542"/>
      <c r="G21" s="542"/>
      <c r="H21" s="543"/>
      <c r="I21" s="22">
        <f t="shared" ref="I21:N21" si="11">SUM(I6:I20)</f>
        <v>687500</v>
      </c>
      <c r="J21" s="19">
        <f t="shared" si="11"/>
        <v>121935</v>
      </c>
      <c r="K21" s="20">
        <f t="shared" si="11"/>
        <v>466105</v>
      </c>
      <c r="L21" s="21">
        <f t="shared" si="11"/>
        <v>105652</v>
      </c>
      <c r="M21" s="20">
        <f t="shared" si="11"/>
        <v>105652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152</v>
      </c>
      <c r="Q21" s="43">
        <f t="shared" si="12"/>
        <v>208</v>
      </c>
      <c r="R21" s="23">
        <f t="shared" si="12"/>
        <v>24</v>
      </c>
      <c r="S21" s="24">
        <f t="shared" si="12"/>
        <v>112</v>
      </c>
      <c r="T21" s="24">
        <f t="shared" si="12"/>
        <v>0</v>
      </c>
      <c r="U21" s="24">
        <f t="shared" si="12"/>
        <v>0</v>
      </c>
      <c r="V21" s="25">
        <f t="shared" si="12"/>
        <v>24</v>
      </c>
      <c r="W21" s="26">
        <f t="shared" si="12"/>
        <v>48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0.53333333333333333</v>
      </c>
      <c r="AC21" s="4">
        <f>SUM(AC6:AC20)/15</f>
        <v>0.42222222222222222</v>
      </c>
      <c r="AD21" s="4">
        <f>SUM(AD6:AD20)/15</f>
        <v>0.42222222222222222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44" t="s">
        <v>45</v>
      </c>
      <c r="B48" s="544"/>
      <c r="C48" s="544"/>
      <c r="D48" s="544"/>
      <c r="E48" s="54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45" t="s">
        <v>450</v>
      </c>
      <c r="B49" s="546"/>
      <c r="C49" s="546"/>
      <c r="D49" s="546"/>
      <c r="E49" s="546"/>
      <c r="F49" s="546"/>
      <c r="G49" s="546"/>
      <c r="H49" s="546"/>
      <c r="I49" s="546"/>
      <c r="J49" s="546"/>
      <c r="K49" s="546"/>
      <c r="L49" s="546"/>
      <c r="M49" s="547"/>
      <c r="N49" s="548" t="s">
        <v>455</v>
      </c>
      <c r="O49" s="549"/>
      <c r="P49" s="549"/>
      <c r="Q49" s="549"/>
      <c r="R49" s="549"/>
      <c r="S49" s="549"/>
      <c r="T49" s="549"/>
      <c r="U49" s="549"/>
      <c r="V49" s="549"/>
      <c r="W49" s="549"/>
      <c r="X49" s="549"/>
      <c r="Y49" s="549"/>
      <c r="Z49" s="549"/>
      <c r="AA49" s="549"/>
      <c r="AB49" s="549"/>
      <c r="AC49" s="549"/>
      <c r="AD49" s="550"/>
    </row>
    <row r="50" spans="1:32" ht="27" customHeight="1">
      <c r="A50" s="551" t="s">
        <v>2</v>
      </c>
      <c r="B50" s="552"/>
      <c r="C50" s="306" t="s">
        <v>46</v>
      </c>
      <c r="D50" s="306" t="s">
        <v>47</v>
      </c>
      <c r="E50" s="306" t="s">
        <v>108</v>
      </c>
      <c r="F50" s="552" t="s">
        <v>107</v>
      </c>
      <c r="G50" s="552"/>
      <c r="H50" s="552"/>
      <c r="I50" s="552"/>
      <c r="J50" s="552"/>
      <c r="K50" s="552"/>
      <c r="L50" s="552"/>
      <c r="M50" s="553"/>
      <c r="N50" s="67" t="s">
        <v>112</v>
      </c>
      <c r="O50" s="306" t="s">
        <v>46</v>
      </c>
      <c r="P50" s="554" t="s">
        <v>47</v>
      </c>
      <c r="Q50" s="555"/>
      <c r="R50" s="554" t="s">
        <v>38</v>
      </c>
      <c r="S50" s="556"/>
      <c r="T50" s="556"/>
      <c r="U50" s="555"/>
      <c r="V50" s="554" t="s">
        <v>48</v>
      </c>
      <c r="W50" s="556"/>
      <c r="X50" s="556"/>
      <c r="Y50" s="556"/>
      <c r="Z50" s="556"/>
      <c r="AA50" s="556"/>
      <c r="AB50" s="556"/>
      <c r="AC50" s="556"/>
      <c r="AD50" s="557"/>
    </row>
    <row r="51" spans="1:32" ht="27" customHeight="1">
      <c r="A51" s="524" t="s">
        <v>138</v>
      </c>
      <c r="B51" s="525"/>
      <c r="C51" s="304" t="s">
        <v>132</v>
      </c>
      <c r="D51" s="304" t="s">
        <v>433</v>
      </c>
      <c r="E51" s="304" t="s">
        <v>424</v>
      </c>
      <c r="F51" s="517" t="s">
        <v>451</v>
      </c>
      <c r="G51" s="518"/>
      <c r="H51" s="518"/>
      <c r="I51" s="518"/>
      <c r="J51" s="518"/>
      <c r="K51" s="518"/>
      <c r="L51" s="518"/>
      <c r="M51" s="526"/>
      <c r="N51" s="303" t="s">
        <v>114</v>
      </c>
      <c r="O51" s="301" t="s">
        <v>150</v>
      </c>
      <c r="P51" s="536" t="s">
        <v>117</v>
      </c>
      <c r="Q51" s="537"/>
      <c r="R51" s="536" t="s">
        <v>144</v>
      </c>
      <c r="S51" s="538"/>
      <c r="T51" s="538"/>
      <c r="U51" s="537"/>
      <c r="V51" s="503" t="s">
        <v>157</v>
      </c>
      <c r="W51" s="503"/>
      <c r="X51" s="503"/>
      <c r="Y51" s="503"/>
      <c r="Z51" s="503"/>
      <c r="AA51" s="503"/>
      <c r="AB51" s="503"/>
      <c r="AC51" s="503"/>
      <c r="AD51" s="527"/>
    </row>
    <row r="52" spans="1:32" ht="27" customHeight="1">
      <c r="A52" s="524" t="s">
        <v>114</v>
      </c>
      <c r="B52" s="525"/>
      <c r="C52" s="304" t="s">
        <v>150</v>
      </c>
      <c r="D52" s="304" t="s">
        <v>117</v>
      </c>
      <c r="E52" s="304" t="s">
        <v>144</v>
      </c>
      <c r="F52" s="517" t="s">
        <v>452</v>
      </c>
      <c r="G52" s="518"/>
      <c r="H52" s="518"/>
      <c r="I52" s="518"/>
      <c r="J52" s="518"/>
      <c r="K52" s="518"/>
      <c r="L52" s="518"/>
      <c r="M52" s="526"/>
      <c r="N52" s="303" t="s">
        <v>138</v>
      </c>
      <c r="O52" s="301" t="s">
        <v>132</v>
      </c>
      <c r="P52" s="536"/>
      <c r="Q52" s="537"/>
      <c r="R52" s="536" t="s">
        <v>424</v>
      </c>
      <c r="S52" s="538"/>
      <c r="T52" s="538"/>
      <c r="U52" s="537"/>
      <c r="V52" s="503" t="s">
        <v>157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128</v>
      </c>
      <c r="B53" s="525"/>
      <c r="C53" s="304" t="s">
        <v>179</v>
      </c>
      <c r="D53" s="304" t="s">
        <v>117</v>
      </c>
      <c r="E53" s="304" t="s">
        <v>189</v>
      </c>
      <c r="F53" s="517" t="s">
        <v>453</v>
      </c>
      <c r="G53" s="518"/>
      <c r="H53" s="518"/>
      <c r="I53" s="518"/>
      <c r="J53" s="518"/>
      <c r="K53" s="518"/>
      <c r="L53" s="518"/>
      <c r="M53" s="526"/>
      <c r="N53" s="303" t="s">
        <v>114</v>
      </c>
      <c r="O53" s="301" t="s">
        <v>234</v>
      </c>
      <c r="P53" s="536" t="s">
        <v>122</v>
      </c>
      <c r="Q53" s="537"/>
      <c r="R53" s="536" t="s">
        <v>147</v>
      </c>
      <c r="S53" s="538"/>
      <c r="T53" s="538"/>
      <c r="U53" s="537"/>
      <c r="V53" s="503" t="s">
        <v>157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114</v>
      </c>
      <c r="B54" s="525"/>
      <c r="C54" s="304" t="s">
        <v>234</v>
      </c>
      <c r="D54" s="304" t="s">
        <v>122</v>
      </c>
      <c r="E54" s="304" t="s">
        <v>147</v>
      </c>
      <c r="F54" s="517" t="s">
        <v>454</v>
      </c>
      <c r="G54" s="518"/>
      <c r="H54" s="518"/>
      <c r="I54" s="518"/>
      <c r="J54" s="518"/>
      <c r="K54" s="518"/>
      <c r="L54" s="518"/>
      <c r="M54" s="526"/>
      <c r="N54" s="303"/>
      <c r="O54" s="301"/>
      <c r="P54" s="536"/>
      <c r="Q54" s="537"/>
      <c r="R54" s="536"/>
      <c r="S54" s="538"/>
      <c r="T54" s="538"/>
      <c r="U54" s="537"/>
      <c r="V54" s="503"/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114</v>
      </c>
      <c r="B55" s="525"/>
      <c r="C55" s="304" t="s">
        <v>163</v>
      </c>
      <c r="D55" s="304" t="s">
        <v>237</v>
      </c>
      <c r="E55" s="304" t="s">
        <v>441</v>
      </c>
      <c r="F55" s="517" t="s">
        <v>120</v>
      </c>
      <c r="G55" s="518"/>
      <c r="H55" s="518"/>
      <c r="I55" s="518"/>
      <c r="J55" s="518"/>
      <c r="K55" s="518"/>
      <c r="L55" s="518"/>
      <c r="M55" s="526"/>
      <c r="N55" s="303"/>
      <c r="O55" s="301"/>
      <c r="P55" s="536"/>
      <c r="Q55" s="537"/>
      <c r="R55" s="536"/>
      <c r="S55" s="538"/>
      <c r="T55" s="538"/>
      <c r="U55" s="537"/>
      <c r="V55" s="503"/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/>
      <c r="B56" s="525"/>
      <c r="C56" s="304"/>
      <c r="D56" s="304"/>
      <c r="E56" s="304"/>
      <c r="F56" s="517"/>
      <c r="G56" s="518"/>
      <c r="H56" s="518"/>
      <c r="I56" s="518"/>
      <c r="J56" s="518"/>
      <c r="K56" s="518"/>
      <c r="L56" s="518"/>
      <c r="M56" s="526"/>
      <c r="N56" s="303"/>
      <c r="O56" s="301"/>
      <c r="P56" s="536"/>
      <c r="Q56" s="537"/>
      <c r="R56" s="525"/>
      <c r="S56" s="525"/>
      <c r="T56" s="525"/>
      <c r="U56" s="525"/>
      <c r="V56" s="503"/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/>
      <c r="B57" s="525"/>
      <c r="C57" s="304"/>
      <c r="D57" s="304"/>
      <c r="E57" s="304"/>
      <c r="F57" s="517"/>
      <c r="G57" s="518"/>
      <c r="H57" s="518"/>
      <c r="I57" s="518"/>
      <c r="J57" s="518"/>
      <c r="K57" s="518"/>
      <c r="L57" s="518"/>
      <c r="M57" s="526"/>
      <c r="N57" s="303"/>
      <c r="O57" s="301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/>
      <c r="B58" s="525"/>
      <c r="C58" s="304"/>
      <c r="D58" s="304"/>
      <c r="E58" s="304"/>
      <c r="F58" s="517"/>
      <c r="G58" s="518"/>
      <c r="H58" s="518"/>
      <c r="I58" s="518"/>
      <c r="J58" s="518"/>
      <c r="K58" s="518"/>
      <c r="L58" s="518"/>
      <c r="M58" s="526"/>
      <c r="N58" s="303"/>
      <c r="O58" s="301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/>
      <c r="B59" s="525"/>
      <c r="C59" s="304"/>
      <c r="D59" s="304"/>
      <c r="E59" s="304"/>
      <c r="F59" s="517"/>
      <c r="G59" s="518"/>
      <c r="H59" s="518"/>
      <c r="I59" s="518"/>
      <c r="J59" s="518"/>
      <c r="K59" s="518"/>
      <c r="L59" s="518"/>
      <c r="M59" s="526"/>
      <c r="N59" s="303"/>
      <c r="O59" s="301"/>
      <c r="P59" s="525"/>
      <c r="Q59" s="525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  <c r="AF59" s="87">
        <f>8*3000</f>
        <v>24000</v>
      </c>
    </row>
    <row r="60" spans="1:32" ht="27" customHeight="1" thickBot="1">
      <c r="A60" s="528"/>
      <c r="B60" s="529"/>
      <c r="C60" s="305"/>
      <c r="D60" s="305"/>
      <c r="E60" s="305"/>
      <c r="F60" s="530"/>
      <c r="G60" s="531"/>
      <c r="H60" s="531"/>
      <c r="I60" s="531"/>
      <c r="J60" s="531"/>
      <c r="K60" s="531"/>
      <c r="L60" s="531"/>
      <c r="M60" s="532"/>
      <c r="N60" s="124"/>
      <c r="O60" s="114"/>
      <c r="P60" s="533"/>
      <c r="Q60" s="533"/>
      <c r="R60" s="533"/>
      <c r="S60" s="533"/>
      <c r="T60" s="533"/>
      <c r="U60" s="533"/>
      <c r="V60" s="534"/>
      <c r="W60" s="534"/>
      <c r="X60" s="534"/>
      <c r="Y60" s="534"/>
      <c r="Z60" s="534"/>
      <c r="AA60" s="534"/>
      <c r="AB60" s="534"/>
      <c r="AC60" s="534"/>
      <c r="AD60" s="535"/>
      <c r="AF60" s="87">
        <f>16*3000</f>
        <v>48000</v>
      </c>
    </row>
    <row r="61" spans="1:32" ht="27.75" thickBot="1">
      <c r="A61" s="522" t="s">
        <v>456</v>
      </c>
      <c r="B61" s="522"/>
      <c r="C61" s="522"/>
      <c r="D61" s="522"/>
      <c r="E61" s="522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523" t="s">
        <v>113</v>
      </c>
      <c r="B62" s="515"/>
      <c r="C62" s="302" t="s">
        <v>2</v>
      </c>
      <c r="D62" s="302" t="s">
        <v>37</v>
      </c>
      <c r="E62" s="302" t="s">
        <v>3</v>
      </c>
      <c r="F62" s="515" t="s">
        <v>110</v>
      </c>
      <c r="G62" s="515"/>
      <c r="H62" s="515"/>
      <c r="I62" s="515"/>
      <c r="J62" s="515"/>
      <c r="K62" s="515" t="s">
        <v>39</v>
      </c>
      <c r="L62" s="515"/>
      <c r="M62" s="302" t="s">
        <v>40</v>
      </c>
      <c r="N62" s="515" t="s">
        <v>41</v>
      </c>
      <c r="O62" s="515"/>
      <c r="P62" s="512" t="s">
        <v>42</v>
      </c>
      <c r="Q62" s="514"/>
      <c r="R62" s="512" t="s">
        <v>43</v>
      </c>
      <c r="S62" s="513"/>
      <c r="T62" s="513"/>
      <c r="U62" s="513"/>
      <c r="V62" s="513"/>
      <c r="W62" s="513"/>
      <c r="X62" s="513"/>
      <c r="Y62" s="513"/>
      <c r="Z62" s="513"/>
      <c r="AA62" s="514"/>
      <c r="AB62" s="515" t="s">
        <v>44</v>
      </c>
      <c r="AC62" s="515"/>
      <c r="AD62" s="516"/>
      <c r="AF62" s="87">
        <f>SUM(AF59:AF61)</f>
        <v>96000</v>
      </c>
    </row>
    <row r="63" spans="1:32" ht="25.5" customHeight="1">
      <c r="A63" s="498">
        <v>1</v>
      </c>
      <c r="B63" s="499"/>
      <c r="C63" s="117" t="s">
        <v>114</v>
      </c>
      <c r="D63" s="297"/>
      <c r="E63" s="300" t="s">
        <v>117</v>
      </c>
      <c r="F63" s="500" t="s">
        <v>472</v>
      </c>
      <c r="G63" s="492"/>
      <c r="H63" s="492"/>
      <c r="I63" s="492"/>
      <c r="J63" s="492"/>
      <c r="K63" s="492" t="s">
        <v>457</v>
      </c>
      <c r="L63" s="492"/>
      <c r="M63" s="51" t="s">
        <v>162</v>
      </c>
      <c r="N63" s="501" t="s">
        <v>137</v>
      </c>
      <c r="O63" s="501"/>
      <c r="P63" s="502"/>
      <c r="Q63" s="502"/>
      <c r="R63" s="503" t="s">
        <v>228</v>
      </c>
      <c r="S63" s="503"/>
      <c r="T63" s="503"/>
      <c r="U63" s="503"/>
      <c r="V63" s="503"/>
      <c r="W63" s="503"/>
      <c r="X63" s="503"/>
      <c r="Y63" s="503"/>
      <c r="Z63" s="503"/>
      <c r="AA63" s="503"/>
      <c r="AB63" s="507"/>
      <c r="AC63" s="520"/>
      <c r="AD63" s="521"/>
      <c r="AF63" s="50"/>
    </row>
    <row r="64" spans="1:32" ht="25.5" customHeight="1">
      <c r="A64" s="498">
        <v>2</v>
      </c>
      <c r="B64" s="499"/>
      <c r="C64" s="117" t="s">
        <v>114</v>
      </c>
      <c r="D64" s="297"/>
      <c r="E64" s="300" t="s">
        <v>125</v>
      </c>
      <c r="F64" s="504" t="s">
        <v>428</v>
      </c>
      <c r="G64" s="505"/>
      <c r="H64" s="505"/>
      <c r="I64" s="505"/>
      <c r="J64" s="506"/>
      <c r="K64" s="507" t="s">
        <v>206</v>
      </c>
      <c r="L64" s="499"/>
      <c r="M64" s="51" t="s">
        <v>162</v>
      </c>
      <c r="N64" s="501" t="s">
        <v>295</v>
      </c>
      <c r="O64" s="501"/>
      <c r="P64" s="510">
        <v>400</v>
      </c>
      <c r="Q64" s="511"/>
      <c r="R64" s="503"/>
      <c r="S64" s="503"/>
      <c r="T64" s="503"/>
      <c r="U64" s="503"/>
      <c r="V64" s="503"/>
      <c r="W64" s="503"/>
      <c r="X64" s="503"/>
      <c r="Y64" s="503"/>
      <c r="Z64" s="503"/>
      <c r="AA64" s="503"/>
      <c r="AB64" s="492"/>
      <c r="AC64" s="492"/>
      <c r="AD64" s="493"/>
      <c r="AF64" s="50"/>
    </row>
    <row r="65" spans="1:32" ht="25.5" customHeight="1">
      <c r="A65" s="498">
        <v>3</v>
      </c>
      <c r="B65" s="499"/>
      <c r="C65" s="117"/>
      <c r="D65" s="297"/>
      <c r="E65" s="300"/>
      <c r="F65" s="504"/>
      <c r="G65" s="505"/>
      <c r="H65" s="505"/>
      <c r="I65" s="505"/>
      <c r="J65" s="506"/>
      <c r="K65" s="507"/>
      <c r="L65" s="499"/>
      <c r="M65" s="51"/>
      <c r="N65" s="501"/>
      <c r="O65" s="501"/>
      <c r="P65" s="510"/>
      <c r="Q65" s="511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4</v>
      </c>
      <c r="B66" s="499"/>
      <c r="C66" s="117"/>
      <c r="D66" s="297"/>
      <c r="E66" s="300"/>
      <c r="F66" s="504"/>
      <c r="G66" s="505"/>
      <c r="H66" s="505"/>
      <c r="I66" s="505"/>
      <c r="J66" s="506"/>
      <c r="K66" s="507"/>
      <c r="L66" s="499"/>
      <c r="M66" s="51"/>
      <c r="N66" s="508"/>
      <c r="O66" s="509"/>
      <c r="P66" s="510"/>
      <c r="Q66" s="511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5</v>
      </c>
      <c r="B67" s="499"/>
      <c r="C67" s="117"/>
      <c r="D67" s="297"/>
      <c r="E67" s="300"/>
      <c r="F67" s="504"/>
      <c r="G67" s="505"/>
      <c r="H67" s="505"/>
      <c r="I67" s="505"/>
      <c r="J67" s="506"/>
      <c r="K67" s="507"/>
      <c r="L67" s="499"/>
      <c r="M67" s="51"/>
      <c r="N67" s="508"/>
      <c r="O67" s="509"/>
      <c r="P67" s="510"/>
      <c r="Q67" s="511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6</v>
      </c>
      <c r="B68" s="499"/>
      <c r="C68" s="117"/>
      <c r="D68" s="297"/>
      <c r="E68" s="300"/>
      <c r="F68" s="500"/>
      <c r="G68" s="492"/>
      <c r="H68" s="492"/>
      <c r="I68" s="492"/>
      <c r="J68" s="492"/>
      <c r="K68" s="492"/>
      <c r="L68" s="492"/>
      <c r="M68" s="51"/>
      <c r="N68" s="508"/>
      <c r="O68" s="509"/>
      <c r="P68" s="510"/>
      <c r="Q68" s="511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7</v>
      </c>
      <c r="B69" s="499"/>
      <c r="C69" s="117"/>
      <c r="D69" s="297"/>
      <c r="E69" s="300"/>
      <c r="F69" s="500"/>
      <c r="G69" s="492"/>
      <c r="H69" s="492"/>
      <c r="I69" s="492"/>
      <c r="J69" s="492"/>
      <c r="K69" s="492"/>
      <c r="L69" s="492"/>
      <c r="M69" s="51"/>
      <c r="N69" s="508"/>
      <c r="O69" s="509"/>
      <c r="P69" s="510"/>
      <c r="Q69" s="511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8</v>
      </c>
      <c r="B70" s="499"/>
      <c r="C70" s="117"/>
      <c r="D70" s="297"/>
      <c r="E70" s="300"/>
      <c r="F70" s="500"/>
      <c r="G70" s="492"/>
      <c r="H70" s="492"/>
      <c r="I70" s="492"/>
      <c r="J70" s="492"/>
      <c r="K70" s="492"/>
      <c r="L70" s="492"/>
      <c r="M70" s="51"/>
      <c r="N70" s="508"/>
      <c r="O70" s="509"/>
      <c r="P70" s="510"/>
      <c r="Q70" s="511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6.25" customHeight="1" thickBot="1">
      <c r="A71" s="472" t="s">
        <v>459</v>
      </c>
      <c r="B71" s="472"/>
      <c r="C71" s="472"/>
      <c r="D71" s="472"/>
      <c r="E71" s="47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73" t="s">
        <v>113</v>
      </c>
      <c r="B72" s="474"/>
      <c r="C72" s="299" t="s">
        <v>2</v>
      </c>
      <c r="D72" s="299" t="s">
        <v>37</v>
      </c>
      <c r="E72" s="299" t="s">
        <v>3</v>
      </c>
      <c r="F72" s="474" t="s">
        <v>38</v>
      </c>
      <c r="G72" s="474"/>
      <c r="H72" s="474"/>
      <c r="I72" s="474"/>
      <c r="J72" s="474"/>
      <c r="K72" s="494" t="s">
        <v>58</v>
      </c>
      <c r="L72" s="495"/>
      <c r="M72" s="495"/>
      <c r="N72" s="495"/>
      <c r="O72" s="495"/>
      <c r="P72" s="495"/>
      <c r="Q72" s="495"/>
      <c r="R72" s="495"/>
      <c r="S72" s="496"/>
      <c r="T72" s="474" t="s">
        <v>49</v>
      </c>
      <c r="U72" s="474"/>
      <c r="V72" s="494" t="s">
        <v>50</v>
      </c>
      <c r="W72" s="496"/>
      <c r="X72" s="495" t="s">
        <v>51</v>
      </c>
      <c r="Y72" s="495"/>
      <c r="Z72" s="495"/>
      <c r="AA72" s="495"/>
      <c r="AB72" s="495"/>
      <c r="AC72" s="495"/>
      <c r="AD72" s="497"/>
      <c r="AF72" s="50"/>
    </row>
    <row r="73" spans="1:32" ht="33.75" customHeight="1">
      <c r="A73" s="466">
        <v>1</v>
      </c>
      <c r="B73" s="467"/>
      <c r="C73" s="298" t="s">
        <v>114</v>
      </c>
      <c r="D73" s="298"/>
      <c r="E73" s="65" t="s">
        <v>119</v>
      </c>
      <c r="F73" s="481" t="s">
        <v>118</v>
      </c>
      <c r="G73" s="482"/>
      <c r="H73" s="482"/>
      <c r="I73" s="482"/>
      <c r="J73" s="483"/>
      <c r="K73" s="484" t="s">
        <v>130</v>
      </c>
      <c r="L73" s="485"/>
      <c r="M73" s="485"/>
      <c r="N73" s="485"/>
      <c r="O73" s="485"/>
      <c r="P73" s="485"/>
      <c r="Q73" s="485"/>
      <c r="R73" s="485"/>
      <c r="S73" s="486"/>
      <c r="T73" s="487">
        <v>43675</v>
      </c>
      <c r="U73" s="488"/>
      <c r="V73" s="489"/>
      <c r="W73" s="489"/>
      <c r="X73" s="490"/>
      <c r="Y73" s="490"/>
      <c r="Z73" s="490"/>
      <c r="AA73" s="490"/>
      <c r="AB73" s="490"/>
      <c r="AC73" s="490"/>
      <c r="AD73" s="491"/>
      <c r="AF73" s="50"/>
    </row>
    <row r="74" spans="1:32" ht="30" customHeight="1">
      <c r="A74" s="459">
        <f>A73+1</f>
        <v>2</v>
      </c>
      <c r="B74" s="460"/>
      <c r="C74" s="297"/>
      <c r="D74" s="297"/>
      <c r="E74" s="32"/>
      <c r="F74" s="460"/>
      <c r="G74" s="460"/>
      <c r="H74" s="460"/>
      <c r="I74" s="460"/>
      <c r="J74" s="460"/>
      <c r="K74" s="475"/>
      <c r="L74" s="476"/>
      <c r="M74" s="476"/>
      <c r="N74" s="476"/>
      <c r="O74" s="476"/>
      <c r="P74" s="476"/>
      <c r="Q74" s="476"/>
      <c r="R74" s="476"/>
      <c r="S74" s="477"/>
      <c r="T74" s="478"/>
      <c r="U74" s="478"/>
      <c r="V74" s="478"/>
      <c r="W74" s="478"/>
      <c r="X74" s="479"/>
      <c r="Y74" s="479"/>
      <c r="Z74" s="479"/>
      <c r="AA74" s="479"/>
      <c r="AB74" s="479"/>
      <c r="AC74" s="479"/>
      <c r="AD74" s="480"/>
      <c r="AF74" s="50"/>
    </row>
    <row r="75" spans="1:32" ht="30" customHeight="1">
      <c r="A75" s="459">
        <f t="shared" ref="A75:A81" si="13">A74+1</f>
        <v>3</v>
      </c>
      <c r="B75" s="460"/>
      <c r="C75" s="297"/>
      <c r="D75" s="297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si="13"/>
        <v>4</v>
      </c>
      <c r="B76" s="460"/>
      <c r="C76" s="297"/>
      <c r="D76" s="297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13"/>
        <v>5</v>
      </c>
      <c r="B77" s="460"/>
      <c r="C77" s="297"/>
      <c r="D77" s="297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13"/>
        <v>6</v>
      </c>
      <c r="B78" s="460"/>
      <c r="C78" s="297"/>
      <c r="D78" s="297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13"/>
        <v>7</v>
      </c>
      <c r="B79" s="460"/>
      <c r="C79" s="297"/>
      <c r="D79" s="297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13"/>
        <v>8</v>
      </c>
      <c r="B80" s="460"/>
      <c r="C80" s="297"/>
      <c r="D80" s="297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13"/>
        <v>9</v>
      </c>
      <c r="B81" s="460"/>
      <c r="C81" s="297"/>
      <c r="D81" s="297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6" thickBot="1">
      <c r="A82" s="472" t="s">
        <v>458</v>
      </c>
      <c r="B82" s="472"/>
      <c r="C82" s="472"/>
      <c r="D82" s="472"/>
      <c r="E82" s="47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73" t="s">
        <v>113</v>
      </c>
      <c r="B83" s="474"/>
      <c r="C83" s="464" t="s">
        <v>52</v>
      </c>
      <c r="D83" s="464"/>
      <c r="E83" s="464" t="s">
        <v>53</v>
      </c>
      <c r="F83" s="464"/>
      <c r="G83" s="464"/>
      <c r="H83" s="464"/>
      <c r="I83" s="464"/>
      <c r="J83" s="464"/>
      <c r="K83" s="464" t="s">
        <v>54</v>
      </c>
      <c r="L83" s="464"/>
      <c r="M83" s="464"/>
      <c r="N83" s="464"/>
      <c r="O83" s="464"/>
      <c r="P83" s="464"/>
      <c r="Q83" s="464"/>
      <c r="R83" s="464"/>
      <c r="S83" s="464"/>
      <c r="T83" s="464" t="s">
        <v>55</v>
      </c>
      <c r="U83" s="464"/>
      <c r="V83" s="464" t="s">
        <v>56</v>
      </c>
      <c r="W83" s="464"/>
      <c r="X83" s="464"/>
      <c r="Y83" s="464" t="s">
        <v>51</v>
      </c>
      <c r="Z83" s="464"/>
      <c r="AA83" s="464"/>
      <c r="AB83" s="464"/>
      <c r="AC83" s="464"/>
      <c r="AD83" s="465"/>
      <c r="AF83" s="50"/>
    </row>
    <row r="84" spans="1:32" ht="30.75" customHeight="1">
      <c r="A84" s="466">
        <v>1</v>
      </c>
      <c r="B84" s="467"/>
      <c r="C84" s="468"/>
      <c r="D84" s="468"/>
      <c r="E84" s="468"/>
      <c r="F84" s="468"/>
      <c r="G84" s="468"/>
      <c r="H84" s="468"/>
      <c r="I84" s="468"/>
      <c r="J84" s="468"/>
      <c r="K84" s="468"/>
      <c r="L84" s="468"/>
      <c r="M84" s="468"/>
      <c r="N84" s="468"/>
      <c r="O84" s="468"/>
      <c r="P84" s="468"/>
      <c r="Q84" s="468"/>
      <c r="R84" s="468"/>
      <c r="S84" s="468"/>
      <c r="T84" s="468"/>
      <c r="U84" s="468"/>
      <c r="V84" s="469"/>
      <c r="W84" s="469"/>
      <c r="X84" s="469"/>
      <c r="Y84" s="470"/>
      <c r="Z84" s="470"/>
      <c r="AA84" s="470"/>
      <c r="AB84" s="470"/>
      <c r="AC84" s="470"/>
      <c r="AD84" s="471"/>
      <c r="AF84" s="50"/>
    </row>
    <row r="85" spans="1:32" ht="30.75" customHeight="1">
      <c r="A85" s="459">
        <v>2</v>
      </c>
      <c r="B85" s="460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2"/>
      <c r="Z85" s="452"/>
      <c r="AA85" s="452"/>
      <c r="AB85" s="452"/>
      <c r="AC85" s="452"/>
      <c r="AD85" s="453"/>
      <c r="AF85" s="50"/>
    </row>
    <row r="86" spans="1:32" ht="30.75" customHeight="1" thickBot="1">
      <c r="A86" s="454">
        <v>3</v>
      </c>
      <c r="B86" s="455"/>
      <c r="C86" s="456"/>
      <c r="D86" s="456"/>
      <c r="E86" s="456"/>
      <c r="F86" s="456"/>
      <c r="G86" s="456"/>
      <c r="H86" s="456"/>
      <c r="I86" s="456"/>
      <c r="J86" s="456"/>
      <c r="K86" s="456"/>
      <c r="L86" s="456"/>
      <c r="M86" s="456"/>
      <c r="N86" s="456"/>
      <c r="O86" s="456"/>
      <c r="P86" s="456"/>
      <c r="Q86" s="456"/>
      <c r="R86" s="456"/>
      <c r="S86" s="456"/>
      <c r="T86" s="456"/>
      <c r="U86" s="456"/>
      <c r="V86" s="456"/>
      <c r="W86" s="456"/>
      <c r="X86" s="456"/>
      <c r="Y86" s="457"/>
      <c r="Z86" s="457"/>
      <c r="AA86" s="457"/>
      <c r="AB86" s="457"/>
      <c r="AC86" s="457"/>
      <c r="AD86" s="458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5E5D-CA44-40D0-BA31-559E153E9079}">
  <dimension ref="A1:AF86"/>
  <sheetViews>
    <sheetView zoomScale="72" zoomScaleNormal="72" zoomScaleSheetLayoutView="70" workbookViewId="0">
      <selection activeCell="L15" sqref="L1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460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308" t="s">
        <v>17</v>
      </c>
      <c r="L5" s="308" t="s">
        <v>18</v>
      </c>
      <c r="M5" s="308" t="s">
        <v>19</v>
      </c>
      <c r="N5" s="30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0.17222222222222222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0.17222222222222222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114</v>
      </c>
      <c r="D8" s="52" t="s">
        <v>119</v>
      </c>
      <c r="E8" s="53" t="s">
        <v>392</v>
      </c>
      <c r="F8" s="30" t="s">
        <v>248</v>
      </c>
      <c r="G8" s="33">
        <v>1</v>
      </c>
      <c r="H8" s="35">
        <v>24</v>
      </c>
      <c r="I8" s="7">
        <v>24000</v>
      </c>
      <c r="J8" s="14">
        <v>2204</v>
      </c>
      <c r="K8" s="15">
        <f>L8+2575+4800+4872+4866</f>
        <v>19317</v>
      </c>
      <c r="L8" s="15">
        <f>2204</f>
        <v>2204</v>
      </c>
      <c r="M8" s="15">
        <f t="shared" si="1"/>
        <v>2204</v>
      </c>
      <c r="N8" s="15">
        <v>0</v>
      </c>
      <c r="O8" s="58">
        <f t="shared" si="2"/>
        <v>0</v>
      </c>
      <c r="P8" s="39">
        <f t="shared" si="3"/>
        <v>10</v>
      </c>
      <c r="Q8" s="40">
        <f t="shared" si="4"/>
        <v>14</v>
      </c>
      <c r="R8" s="7"/>
      <c r="S8" s="6"/>
      <c r="T8" s="16"/>
      <c r="U8" s="16"/>
      <c r="V8" s="17">
        <v>14</v>
      </c>
      <c r="W8" s="5"/>
      <c r="X8" s="16"/>
      <c r="Y8" s="16"/>
      <c r="Z8" s="16"/>
      <c r="AA8" s="18"/>
      <c r="AB8" s="8">
        <f t="shared" si="5"/>
        <v>1</v>
      </c>
      <c r="AC8" s="9">
        <f t="shared" si="6"/>
        <v>0.41666666666666669</v>
      </c>
      <c r="AD8" s="10">
        <f t="shared" si="7"/>
        <v>0.41666666666666669</v>
      </c>
      <c r="AE8" s="36">
        <f t="shared" si="8"/>
        <v>0.17222222222222222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1762</v>
      </c>
      <c r="K9" s="15">
        <f>L9+1036+2500+4639+2951+2392+2902+2784+3566+4110+4299+4289+1910+4734+4854+3892+4611+3795+5160</f>
        <v>66186</v>
      </c>
      <c r="L9" s="15">
        <v>1762</v>
      </c>
      <c r="M9" s="15">
        <f t="shared" si="1"/>
        <v>1762</v>
      </c>
      <c r="N9" s="15">
        <v>0</v>
      </c>
      <c r="O9" s="58">
        <f t="shared" si="2"/>
        <v>0</v>
      </c>
      <c r="P9" s="39">
        <f t="shared" si="3"/>
        <v>8</v>
      </c>
      <c r="Q9" s="40">
        <f t="shared" si="4"/>
        <v>16</v>
      </c>
      <c r="R9" s="7"/>
      <c r="S9" s="6">
        <v>2</v>
      </c>
      <c r="T9" s="16"/>
      <c r="U9" s="16"/>
      <c r="V9" s="17">
        <v>14</v>
      </c>
      <c r="W9" s="5"/>
      <c r="X9" s="16"/>
      <c r="Y9" s="16"/>
      <c r="Z9" s="16"/>
      <c r="AA9" s="18"/>
      <c r="AB9" s="8">
        <f t="shared" si="5"/>
        <v>1</v>
      </c>
      <c r="AC9" s="9">
        <f t="shared" si="6"/>
        <v>0.33333333333333331</v>
      </c>
      <c r="AD9" s="10">
        <f t="shared" si="7"/>
        <v>0.33333333333333331</v>
      </c>
      <c r="AE9" s="36">
        <f t="shared" si="8"/>
        <v>0.17222222222222222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125</v>
      </c>
      <c r="E10" s="53" t="s">
        <v>323</v>
      </c>
      <c r="F10" s="30" t="s">
        <v>141</v>
      </c>
      <c r="G10" s="33">
        <v>1</v>
      </c>
      <c r="H10" s="35">
        <v>24</v>
      </c>
      <c r="I10" s="7">
        <v>8500</v>
      </c>
      <c r="J10" s="5">
        <v>1297</v>
      </c>
      <c r="K10" s="15">
        <f>L10+1002+1421+2240+5035</f>
        <v>10995</v>
      </c>
      <c r="L10" s="15">
        <v>1297</v>
      </c>
      <c r="M10" s="15">
        <f t="shared" si="1"/>
        <v>1297</v>
      </c>
      <c r="N10" s="15">
        <v>0</v>
      </c>
      <c r="O10" s="58">
        <f t="shared" si="2"/>
        <v>0</v>
      </c>
      <c r="P10" s="39">
        <f t="shared" si="3"/>
        <v>7</v>
      </c>
      <c r="Q10" s="40">
        <f t="shared" si="4"/>
        <v>17</v>
      </c>
      <c r="R10" s="7"/>
      <c r="S10" s="6"/>
      <c r="T10" s="16"/>
      <c r="U10" s="16"/>
      <c r="V10" s="17"/>
      <c r="W10" s="5">
        <v>17</v>
      </c>
      <c r="X10" s="16"/>
      <c r="Y10" s="16"/>
      <c r="Z10" s="16"/>
      <c r="AA10" s="18"/>
      <c r="AB10" s="8">
        <f t="shared" si="5"/>
        <v>1</v>
      </c>
      <c r="AC10" s="9">
        <f t="shared" si="6"/>
        <v>0.29166666666666669</v>
      </c>
      <c r="AD10" s="10">
        <f>AC10*AB10*(1-O10)</f>
        <v>0.29166666666666669</v>
      </c>
      <c r="AE10" s="36">
        <f t="shared" si="8"/>
        <v>0.17222222222222222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138</v>
      </c>
      <c r="D11" s="52" t="s">
        <v>461</v>
      </c>
      <c r="E11" s="53" t="s">
        <v>462</v>
      </c>
      <c r="F11" s="30" t="s">
        <v>417</v>
      </c>
      <c r="G11" s="33">
        <v>1</v>
      </c>
      <c r="H11" s="35">
        <v>24</v>
      </c>
      <c r="I11" s="7">
        <v>7500</v>
      </c>
      <c r="J11" s="5">
        <v>1007</v>
      </c>
      <c r="K11" s="15">
        <f>L11+589</f>
        <v>1596</v>
      </c>
      <c r="L11" s="15">
        <f>1007</f>
        <v>1007</v>
      </c>
      <c r="M11" s="15">
        <f t="shared" si="1"/>
        <v>1007</v>
      </c>
      <c r="N11" s="15">
        <v>0</v>
      </c>
      <c r="O11" s="58">
        <f t="shared" si="2"/>
        <v>0</v>
      </c>
      <c r="P11" s="39">
        <f t="shared" si="3"/>
        <v>7</v>
      </c>
      <c r="Q11" s="40">
        <f t="shared" si="4"/>
        <v>17</v>
      </c>
      <c r="R11" s="7"/>
      <c r="S11" s="6">
        <v>3</v>
      </c>
      <c r="T11" s="16"/>
      <c r="U11" s="16"/>
      <c r="V11" s="17">
        <v>14</v>
      </c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0.29166666666666669</v>
      </c>
      <c r="AD11" s="10">
        <f>AC11*AB11*(1-O11)</f>
        <v>0.29166666666666669</v>
      </c>
      <c r="AE11" s="36">
        <f t="shared" si="8"/>
        <v>0.17222222222222222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144</v>
      </c>
      <c r="F12" s="30" t="s">
        <v>121</v>
      </c>
      <c r="G12" s="33">
        <v>1</v>
      </c>
      <c r="H12" s="35">
        <v>24</v>
      </c>
      <c r="I12" s="7">
        <v>70000</v>
      </c>
      <c r="J12" s="14">
        <v>872</v>
      </c>
      <c r="K12" s="15">
        <f>L12+2036+3193+2673+3958+1875+401+3155+4199+2859+2339+1952+1208+2933+3415+1960+4032+870+1602</f>
        <v>45532</v>
      </c>
      <c r="L12" s="15">
        <f>872</f>
        <v>872</v>
      </c>
      <c r="M12" s="15">
        <f t="shared" si="1"/>
        <v>872</v>
      </c>
      <c r="N12" s="15">
        <v>0</v>
      </c>
      <c r="O12" s="58">
        <f t="shared" si="2"/>
        <v>0</v>
      </c>
      <c r="P12" s="39">
        <f t="shared" si="3"/>
        <v>5</v>
      </c>
      <c r="Q12" s="40">
        <f t="shared" si="4"/>
        <v>19</v>
      </c>
      <c r="R12" s="7"/>
      <c r="S12" s="6">
        <v>5</v>
      </c>
      <c r="T12" s="16"/>
      <c r="U12" s="16"/>
      <c r="V12" s="17">
        <v>14</v>
      </c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0.20833333333333334</v>
      </c>
      <c r="AD12" s="10">
        <f t="shared" ref="AD12:AD13" si="10">AC12*AB12*(1-O12)</f>
        <v>0.20833333333333334</v>
      </c>
      <c r="AE12" s="36">
        <f t="shared" si="8"/>
        <v>0.17222222222222222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128</v>
      </c>
      <c r="D13" s="52" t="s">
        <v>117</v>
      </c>
      <c r="E13" s="53" t="s">
        <v>189</v>
      </c>
      <c r="F13" s="30" t="s">
        <v>190</v>
      </c>
      <c r="G13" s="33">
        <v>2</v>
      </c>
      <c r="H13" s="35">
        <v>24</v>
      </c>
      <c r="I13" s="7">
        <v>30000</v>
      </c>
      <c r="J13" s="14">
        <v>4920</v>
      </c>
      <c r="K13" s="15">
        <f>L13+8032</f>
        <v>12952</v>
      </c>
      <c r="L13" s="15">
        <f>2460*2</f>
        <v>4920</v>
      </c>
      <c r="M13" s="15">
        <f t="shared" si="1"/>
        <v>4920</v>
      </c>
      <c r="N13" s="15">
        <v>0</v>
      </c>
      <c r="O13" s="58">
        <f t="shared" si="2"/>
        <v>0</v>
      </c>
      <c r="P13" s="39">
        <f t="shared" si="3"/>
        <v>10</v>
      </c>
      <c r="Q13" s="40">
        <f t="shared" si="4"/>
        <v>14</v>
      </c>
      <c r="R13" s="7"/>
      <c r="S13" s="6"/>
      <c r="T13" s="16"/>
      <c r="U13" s="16"/>
      <c r="V13" s="17">
        <v>14</v>
      </c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0.41666666666666669</v>
      </c>
      <c r="AD13" s="10">
        <f t="shared" si="10"/>
        <v>0.41666666666666669</v>
      </c>
      <c r="AE13" s="36">
        <f t="shared" si="8"/>
        <v>0.17222222222222222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381</v>
      </c>
      <c r="D14" s="52"/>
      <c r="E14" s="53" t="s">
        <v>382</v>
      </c>
      <c r="F14" s="30" t="s">
        <v>383</v>
      </c>
      <c r="G14" s="33">
        <v>1</v>
      </c>
      <c r="H14" s="35">
        <v>24</v>
      </c>
      <c r="I14" s="7">
        <v>200</v>
      </c>
      <c r="J14" s="5">
        <v>318</v>
      </c>
      <c r="K14" s="15">
        <f>L14+318</f>
        <v>318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0.17222222222222222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128</v>
      </c>
      <c r="D15" s="52" t="s">
        <v>384</v>
      </c>
      <c r="E15" s="53" t="s">
        <v>337</v>
      </c>
      <c r="F15" s="12">
        <v>8301</v>
      </c>
      <c r="G15" s="12">
        <v>1</v>
      </c>
      <c r="H15" s="13">
        <v>24</v>
      </c>
      <c r="I15" s="31">
        <v>13000</v>
      </c>
      <c r="J15" s="14">
        <v>3622</v>
      </c>
      <c r="K15" s="15">
        <f>L15+5212+5747+3622</f>
        <v>14581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0.17222222222222222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138</v>
      </c>
      <c r="D16" s="52"/>
      <c r="E16" s="53" t="s">
        <v>401</v>
      </c>
      <c r="F16" s="30" t="s">
        <v>141</v>
      </c>
      <c r="G16" s="12">
        <v>1</v>
      </c>
      <c r="H16" s="13">
        <v>28</v>
      </c>
      <c r="I16" s="7">
        <v>2300</v>
      </c>
      <c r="J16" s="14">
        <v>4310</v>
      </c>
      <c r="K16" s="15">
        <f>L16+4310</f>
        <v>4310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0.17222222222222222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449</v>
      </c>
      <c r="E17" s="53" t="s">
        <v>441</v>
      </c>
      <c r="F17" s="30" t="s">
        <v>249</v>
      </c>
      <c r="G17" s="33">
        <v>1</v>
      </c>
      <c r="H17" s="35">
        <v>24</v>
      </c>
      <c r="I17" s="7">
        <v>24000</v>
      </c>
      <c r="J17" s="5">
        <v>2206</v>
      </c>
      <c r="K17" s="15">
        <f>L17+5168</f>
        <v>7374</v>
      </c>
      <c r="L17" s="15">
        <v>2206</v>
      </c>
      <c r="M17" s="15">
        <f t="shared" si="1"/>
        <v>2206</v>
      </c>
      <c r="N17" s="15">
        <v>0</v>
      </c>
      <c r="O17" s="58">
        <f t="shared" si="2"/>
        <v>0</v>
      </c>
      <c r="P17" s="39">
        <f t="shared" si="3"/>
        <v>10</v>
      </c>
      <c r="Q17" s="40">
        <f t="shared" si="4"/>
        <v>14</v>
      </c>
      <c r="R17" s="7"/>
      <c r="S17" s="6"/>
      <c r="T17" s="16"/>
      <c r="U17" s="16"/>
      <c r="V17" s="17">
        <v>14</v>
      </c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0.41666666666666669</v>
      </c>
      <c r="AD17" s="10">
        <f t="shared" si="7"/>
        <v>0.41666666666666669</v>
      </c>
      <c r="AE17" s="36">
        <f t="shared" si="8"/>
        <v>0.17222222222222222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122</v>
      </c>
      <c r="E18" s="53" t="s">
        <v>147</v>
      </c>
      <c r="F18" s="30" t="s">
        <v>123</v>
      </c>
      <c r="G18" s="33">
        <v>1</v>
      </c>
      <c r="H18" s="35">
        <v>24</v>
      </c>
      <c r="I18" s="7">
        <v>60000</v>
      </c>
      <c r="J18" s="5">
        <v>930</v>
      </c>
      <c r="K18" s="15">
        <f>L18+1915+5043+1754+4429+1736+4741+3615</f>
        <v>24163</v>
      </c>
      <c r="L18" s="15">
        <v>930</v>
      </c>
      <c r="M18" s="15">
        <f t="shared" si="1"/>
        <v>930</v>
      </c>
      <c r="N18" s="15">
        <v>0</v>
      </c>
      <c r="O18" s="58">
        <f t="shared" si="2"/>
        <v>0</v>
      </c>
      <c r="P18" s="39">
        <f t="shared" si="3"/>
        <v>5</v>
      </c>
      <c r="Q18" s="40">
        <f t="shared" si="4"/>
        <v>19</v>
      </c>
      <c r="R18" s="7"/>
      <c r="S18" s="6">
        <v>5</v>
      </c>
      <c r="T18" s="16"/>
      <c r="U18" s="16"/>
      <c r="V18" s="17">
        <v>14</v>
      </c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0.20833333333333334</v>
      </c>
      <c r="AD18" s="10">
        <f>AC18*AB18*(1-O18)</f>
        <v>0.20833333333333334</v>
      </c>
      <c r="AE18" s="36">
        <f t="shared" si="8"/>
        <v>0.17222222222222222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393</v>
      </c>
      <c r="F19" s="30" t="s">
        <v>121</v>
      </c>
      <c r="G19" s="33">
        <v>1</v>
      </c>
      <c r="H19" s="35">
        <v>24</v>
      </c>
      <c r="I19" s="7">
        <v>57000</v>
      </c>
      <c r="J19" s="14">
        <v>2357</v>
      </c>
      <c r="K19" s="15">
        <f>L19+2174+2357</f>
        <v>4531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 t="shared" si="7"/>
        <v>0</v>
      </c>
      <c r="AE19" s="36">
        <f t="shared" si="8"/>
        <v>0.17222222222222222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134</v>
      </c>
      <c r="F20" s="12" t="s">
        <v>116</v>
      </c>
      <c r="G20" s="12">
        <v>4</v>
      </c>
      <c r="H20" s="35">
        <v>20</v>
      </c>
      <c r="I20" s="7">
        <v>300000</v>
      </c>
      <c r="J20" s="14">
        <v>75200</v>
      </c>
      <c r="K20" s="15">
        <f>L20+69996+41020+71684+75200</f>
        <v>257900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0.17222222222222222</v>
      </c>
      <c r="AF20" s="87">
        <f t="shared" si="9"/>
        <v>15</v>
      </c>
    </row>
    <row r="21" spans="1:32" ht="31.5" customHeight="1" thickBot="1">
      <c r="A21" s="541" t="s">
        <v>34</v>
      </c>
      <c r="B21" s="542"/>
      <c r="C21" s="542"/>
      <c r="D21" s="542"/>
      <c r="E21" s="542"/>
      <c r="F21" s="542"/>
      <c r="G21" s="542"/>
      <c r="H21" s="543"/>
      <c r="I21" s="22">
        <f t="shared" ref="I21:N21" si="11">SUM(I6:I20)</f>
        <v>687500</v>
      </c>
      <c r="J21" s="19">
        <f t="shared" si="11"/>
        <v>103066</v>
      </c>
      <c r="K21" s="20">
        <f t="shared" si="11"/>
        <v>481303</v>
      </c>
      <c r="L21" s="21">
        <f t="shared" si="11"/>
        <v>15198</v>
      </c>
      <c r="M21" s="20">
        <f t="shared" si="11"/>
        <v>15198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62</v>
      </c>
      <c r="Q21" s="43">
        <f t="shared" si="12"/>
        <v>298</v>
      </c>
      <c r="R21" s="23">
        <f t="shared" si="12"/>
        <v>24</v>
      </c>
      <c r="S21" s="24">
        <f t="shared" si="12"/>
        <v>39</v>
      </c>
      <c r="T21" s="24">
        <f t="shared" si="12"/>
        <v>0</v>
      </c>
      <c r="U21" s="24">
        <f t="shared" si="12"/>
        <v>0</v>
      </c>
      <c r="V21" s="25">
        <f t="shared" si="12"/>
        <v>146</v>
      </c>
      <c r="W21" s="26">
        <f t="shared" si="12"/>
        <v>89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0.53333333333333333</v>
      </c>
      <c r="AC21" s="4">
        <f>SUM(AC6:AC20)/15</f>
        <v>0.17222222222222222</v>
      </c>
      <c r="AD21" s="4">
        <f>SUM(AD6:AD20)/15</f>
        <v>0.17222222222222222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44" t="s">
        <v>45</v>
      </c>
      <c r="B48" s="544"/>
      <c r="C48" s="544"/>
      <c r="D48" s="544"/>
      <c r="E48" s="54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45" t="s">
        <v>463</v>
      </c>
      <c r="B49" s="546"/>
      <c r="C49" s="546"/>
      <c r="D49" s="546"/>
      <c r="E49" s="546"/>
      <c r="F49" s="546"/>
      <c r="G49" s="546"/>
      <c r="H49" s="546"/>
      <c r="I49" s="546"/>
      <c r="J49" s="546"/>
      <c r="K49" s="546"/>
      <c r="L49" s="546"/>
      <c r="M49" s="547"/>
      <c r="N49" s="548" t="s">
        <v>469</v>
      </c>
      <c r="O49" s="549"/>
      <c r="P49" s="549"/>
      <c r="Q49" s="549"/>
      <c r="R49" s="549"/>
      <c r="S49" s="549"/>
      <c r="T49" s="549"/>
      <c r="U49" s="549"/>
      <c r="V49" s="549"/>
      <c r="W49" s="549"/>
      <c r="X49" s="549"/>
      <c r="Y49" s="549"/>
      <c r="Z49" s="549"/>
      <c r="AA49" s="549"/>
      <c r="AB49" s="549"/>
      <c r="AC49" s="549"/>
      <c r="AD49" s="550"/>
    </row>
    <row r="50" spans="1:32" ht="27" customHeight="1">
      <c r="A50" s="551" t="s">
        <v>2</v>
      </c>
      <c r="B50" s="552"/>
      <c r="C50" s="309" t="s">
        <v>46</v>
      </c>
      <c r="D50" s="309" t="s">
        <v>47</v>
      </c>
      <c r="E50" s="309" t="s">
        <v>108</v>
      </c>
      <c r="F50" s="552" t="s">
        <v>107</v>
      </c>
      <c r="G50" s="552"/>
      <c r="H50" s="552"/>
      <c r="I50" s="552"/>
      <c r="J50" s="552"/>
      <c r="K50" s="552"/>
      <c r="L50" s="552"/>
      <c r="M50" s="553"/>
      <c r="N50" s="67" t="s">
        <v>112</v>
      </c>
      <c r="O50" s="309" t="s">
        <v>46</v>
      </c>
      <c r="P50" s="554" t="s">
        <v>47</v>
      </c>
      <c r="Q50" s="555"/>
      <c r="R50" s="554" t="s">
        <v>38</v>
      </c>
      <c r="S50" s="556"/>
      <c r="T50" s="556"/>
      <c r="U50" s="555"/>
      <c r="V50" s="554" t="s">
        <v>48</v>
      </c>
      <c r="W50" s="556"/>
      <c r="X50" s="556"/>
      <c r="Y50" s="556"/>
      <c r="Z50" s="556"/>
      <c r="AA50" s="556"/>
      <c r="AB50" s="556"/>
      <c r="AC50" s="556"/>
      <c r="AD50" s="557"/>
    </row>
    <row r="51" spans="1:32" ht="27" customHeight="1">
      <c r="A51" s="524" t="s">
        <v>138</v>
      </c>
      <c r="B51" s="525"/>
      <c r="C51" s="311" t="s">
        <v>132</v>
      </c>
      <c r="D51" s="311" t="s">
        <v>461</v>
      </c>
      <c r="E51" s="311" t="s">
        <v>462</v>
      </c>
      <c r="F51" s="517" t="s">
        <v>464</v>
      </c>
      <c r="G51" s="518"/>
      <c r="H51" s="518"/>
      <c r="I51" s="518"/>
      <c r="J51" s="518"/>
      <c r="K51" s="518"/>
      <c r="L51" s="518"/>
      <c r="M51" s="526"/>
      <c r="N51" s="310" t="s">
        <v>114</v>
      </c>
      <c r="O51" s="315" t="s">
        <v>131</v>
      </c>
      <c r="P51" s="536" t="s">
        <v>142</v>
      </c>
      <c r="Q51" s="537"/>
      <c r="R51" s="536" t="s">
        <v>145</v>
      </c>
      <c r="S51" s="538"/>
      <c r="T51" s="538"/>
      <c r="U51" s="537"/>
      <c r="V51" s="503" t="s">
        <v>157</v>
      </c>
      <c r="W51" s="503"/>
      <c r="X51" s="503"/>
      <c r="Y51" s="503"/>
      <c r="Z51" s="503"/>
      <c r="AA51" s="503"/>
      <c r="AB51" s="503"/>
      <c r="AC51" s="503"/>
      <c r="AD51" s="527"/>
    </row>
    <row r="52" spans="1:32" ht="27" customHeight="1">
      <c r="A52" s="524" t="s">
        <v>114</v>
      </c>
      <c r="B52" s="525"/>
      <c r="C52" s="311" t="s">
        <v>150</v>
      </c>
      <c r="D52" s="311" t="s">
        <v>117</v>
      </c>
      <c r="E52" s="311" t="s">
        <v>144</v>
      </c>
      <c r="F52" s="517" t="s">
        <v>465</v>
      </c>
      <c r="G52" s="518"/>
      <c r="H52" s="518"/>
      <c r="I52" s="518"/>
      <c r="J52" s="518"/>
      <c r="K52" s="518"/>
      <c r="L52" s="518"/>
      <c r="M52" s="526"/>
      <c r="N52" s="310" t="s">
        <v>124</v>
      </c>
      <c r="O52" s="315" t="s">
        <v>155</v>
      </c>
      <c r="P52" s="536" t="s">
        <v>285</v>
      </c>
      <c r="Q52" s="537"/>
      <c r="R52" s="536" t="s">
        <v>470</v>
      </c>
      <c r="S52" s="538"/>
      <c r="T52" s="538"/>
      <c r="U52" s="537"/>
      <c r="V52" s="503" t="s">
        <v>120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114</v>
      </c>
      <c r="B53" s="525"/>
      <c r="C53" s="311" t="s">
        <v>131</v>
      </c>
      <c r="D53" s="311" t="s">
        <v>142</v>
      </c>
      <c r="E53" s="311" t="s">
        <v>145</v>
      </c>
      <c r="F53" s="517" t="s">
        <v>466</v>
      </c>
      <c r="G53" s="518"/>
      <c r="H53" s="518"/>
      <c r="I53" s="518"/>
      <c r="J53" s="518"/>
      <c r="K53" s="518"/>
      <c r="L53" s="518"/>
      <c r="M53" s="526"/>
      <c r="N53" s="310" t="s">
        <v>124</v>
      </c>
      <c r="O53" s="315" t="s">
        <v>171</v>
      </c>
      <c r="P53" s="536" t="s">
        <v>117</v>
      </c>
      <c r="Q53" s="537"/>
      <c r="R53" s="536" t="s">
        <v>235</v>
      </c>
      <c r="S53" s="538"/>
      <c r="T53" s="538"/>
      <c r="U53" s="537"/>
      <c r="V53" s="503" t="s">
        <v>157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114</v>
      </c>
      <c r="B54" s="525"/>
      <c r="C54" s="311" t="s">
        <v>234</v>
      </c>
      <c r="D54" s="311" t="s">
        <v>122</v>
      </c>
      <c r="E54" s="311" t="s">
        <v>147</v>
      </c>
      <c r="F54" s="517" t="s">
        <v>467</v>
      </c>
      <c r="G54" s="518"/>
      <c r="H54" s="518"/>
      <c r="I54" s="518"/>
      <c r="J54" s="518"/>
      <c r="K54" s="518"/>
      <c r="L54" s="518"/>
      <c r="M54" s="526"/>
      <c r="N54" s="310"/>
      <c r="O54" s="315"/>
      <c r="P54" s="536"/>
      <c r="Q54" s="537"/>
      <c r="R54" s="536"/>
      <c r="S54" s="538"/>
      <c r="T54" s="538"/>
      <c r="U54" s="537"/>
      <c r="V54" s="503"/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114</v>
      </c>
      <c r="B55" s="525"/>
      <c r="C55" s="311" t="s">
        <v>163</v>
      </c>
      <c r="D55" s="311" t="s">
        <v>237</v>
      </c>
      <c r="E55" s="311" t="s">
        <v>441</v>
      </c>
      <c r="F55" s="517" t="s">
        <v>468</v>
      </c>
      <c r="G55" s="518"/>
      <c r="H55" s="518"/>
      <c r="I55" s="518"/>
      <c r="J55" s="518"/>
      <c r="K55" s="518"/>
      <c r="L55" s="518"/>
      <c r="M55" s="526"/>
      <c r="N55" s="310"/>
      <c r="O55" s="315"/>
      <c r="P55" s="536"/>
      <c r="Q55" s="537"/>
      <c r="R55" s="536"/>
      <c r="S55" s="538"/>
      <c r="T55" s="538"/>
      <c r="U55" s="537"/>
      <c r="V55" s="503"/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/>
      <c r="B56" s="525"/>
      <c r="C56" s="311"/>
      <c r="D56" s="311"/>
      <c r="E56" s="311"/>
      <c r="F56" s="517"/>
      <c r="G56" s="518"/>
      <c r="H56" s="518"/>
      <c r="I56" s="518"/>
      <c r="J56" s="518"/>
      <c r="K56" s="518"/>
      <c r="L56" s="518"/>
      <c r="M56" s="526"/>
      <c r="N56" s="310"/>
      <c r="O56" s="315"/>
      <c r="P56" s="536"/>
      <c r="Q56" s="537"/>
      <c r="R56" s="525"/>
      <c r="S56" s="525"/>
      <c r="T56" s="525"/>
      <c r="U56" s="525"/>
      <c r="V56" s="503"/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/>
      <c r="B57" s="525"/>
      <c r="C57" s="311"/>
      <c r="D57" s="311"/>
      <c r="E57" s="311"/>
      <c r="F57" s="517"/>
      <c r="G57" s="518"/>
      <c r="H57" s="518"/>
      <c r="I57" s="518"/>
      <c r="J57" s="518"/>
      <c r="K57" s="518"/>
      <c r="L57" s="518"/>
      <c r="M57" s="526"/>
      <c r="N57" s="310"/>
      <c r="O57" s="315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/>
      <c r="B58" s="525"/>
      <c r="C58" s="311"/>
      <c r="D58" s="311"/>
      <c r="E58" s="311"/>
      <c r="F58" s="517"/>
      <c r="G58" s="518"/>
      <c r="H58" s="518"/>
      <c r="I58" s="518"/>
      <c r="J58" s="518"/>
      <c r="K58" s="518"/>
      <c r="L58" s="518"/>
      <c r="M58" s="526"/>
      <c r="N58" s="310"/>
      <c r="O58" s="315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/>
      <c r="B59" s="525"/>
      <c r="C59" s="311"/>
      <c r="D59" s="311"/>
      <c r="E59" s="311"/>
      <c r="F59" s="517"/>
      <c r="G59" s="518"/>
      <c r="H59" s="518"/>
      <c r="I59" s="518"/>
      <c r="J59" s="518"/>
      <c r="K59" s="518"/>
      <c r="L59" s="518"/>
      <c r="M59" s="526"/>
      <c r="N59" s="310"/>
      <c r="O59" s="315"/>
      <c r="P59" s="525"/>
      <c r="Q59" s="525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  <c r="AF59" s="87">
        <f>8*3000</f>
        <v>24000</v>
      </c>
    </row>
    <row r="60" spans="1:32" ht="27" customHeight="1" thickBot="1">
      <c r="A60" s="528"/>
      <c r="B60" s="529"/>
      <c r="C60" s="312"/>
      <c r="D60" s="312"/>
      <c r="E60" s="312"/>
      <c r="F60" s="530"/>
      <c r="G60" s="531"/>
      <c r="H60" s="531"/>
      <c r="I60" s="531"/>
      <c r="J60" s="531"/>
      <c r="K60" s="531"/>
      <c r="L60" s="531"/>
      <c r="M60" s="532"/>
      <c r="N60" s="124"/>
      <c r="O60" s="114"/>
      <c r="P60" s="533"/>
      <c r="Q60" s="533"/>
      <c r="R60" s="533"/>
      <c r="S60" s="533"/>
      <c r="T60" s="533"/>
      <c r="U60" s="533"/>
      <c r="V60" s="534"/>
      <c r="W60" s="534"/>
      <c r="X60" s="534"/>
      <c r="Y60" s="534"/>
      <c r="Z60" s="534"/>
      <c r="AA60" s="534"/>
      <c r="AB60" s="534"/>
      <c r="AC60" s="534"/>
      <c r="AD60" s="535"/>
      <c r="AF60" s="87">
        <f>16*3000</f>
        <v>48000</v>
      </c>
    </row>
    <row r="61" spans="1:32" ht="27.75" thickBot="1">
      <c r="A61" s="522" t="s">
        <v>471</v>
      </c>
      <c r="B61" s="522"/>
      <c r="C61" s="522"/>
      <c r="D61" s="522"/>
      <c r="E61" s="522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523" t="s">
        <v>113</v>
      </c>
      <c r="B62" s="515"/>
      <c r="C62" s="313" t="s">
        <v>2</v>
      </c>
      <c r="D62" s="313" t="s">
        <v>37</v>
      </c>
      <c r="E62" s="313" t="s">
        <v>3</v>
      </c>
      <c r="F62" s="515" t="s">
        <v>110</v>
      </c>
      <c r="G62" s="515"/>
      <c r="H62" s="515"/>
      <c r="I62" s="515"/>
      <c r="J62" s="515"/>
      <c r="K62" s="515" t="s">
        <v>39</v>
      </c>
      <c r="L62" s="515"/>
      <c r="M62" s="313" t="s">
        <v>40</v>
      </c>
      <c r="N62" s="515" t="s">
        <v>41</v>
      </c>
      <c r="O62" s="515"/>
      <c r="P62" s="512" t="s">
        <v>42</v>
      </c>
      <c r="Q62" s="514"/>
      <c r="R62" s="512" t="s">
        <v>43</v>
      </c>
      <c r="S62" s="513"/>
      <c r="T62" s="513"/>
      <c r="U62" s="513"/>
      <c r="V62" s="513"/>
      <c r="W62" s="513"/>
      <c r="X62" s="513"/>
      <c r="Y62" s="513"/>
      <c r="Z62" s="513"/>
      <c r="AA62" s="514"/>
      <c r="AB62" s="515" t="s">
        <v>44</v>
      </c>
      <c r="AC62" s="515"/>
      <c r="AD62" s="516"/>
      <c r="AF62" s="87">
        <f>SUM(AF59:AF61)</f>
        <v>96000</v>
      </c>
    </row>
    <row r="63" spans="1:32" ht="25.5" customHeight="1">
      <c r="A63" s="498">
        <v>1</v>
      </c>
      <c r="B63" s="499"/>
      <c r="C63" s="117" t="s">
        <v>114</v>
      </c>
      <c r="D63" s="317"/>
      <c r="E63" s="314" t="s">
        <v>117</v>
      </c>
      <c r="F63" s="500" t="s">
        <v>472</v>
      </c>
      <c r="G63" s="492"/>
      <c r="H63" s="492"/>
      <c r="I63" s="492"/>
      <c r="J63" s="492"/>
      <c r="K63" s="492" t="s">
        <v>457</v>
      </c>
      <c r="L63" s="492"/>
      <c r="M63" s="51" t="s">
        <v>162</v>
      </c>
      <c r="N63" s="501" t="s">
        <v>137</v>
      </c>
      <c r="O63" s="501"/>
      <c r="P63" s="502">
        <v>15</v>
      </c>
      <c r="Q63" s="502"/>
      <c r="R63" s="503" t="s">
        <v>228</v>
      </c>
      <c r="S63" s="503"/>
      <c r="T63" s="503"/>
      <c r="U63" s="503"/>
      <c r="V63" s="503"/>
      <c r="W63" s="503"/>
      <c r="X63" s="503"/>
      <c r="Y63" s="503"/>
      <c r="Z63" s="503"/>
      <c r="AA63" s="503"/>
      <c r="AB63" s="507"/>
      <c r="AC63" s="520"/>
      <c r="AD63" s="521"/>
      <c r="AF63" s="50"/>
    </row>
    <row r="64" spans="1:32" ht="25.5" customHeight="1">
      <c r="A64" s="498">
        <v>2</v>
      </c>
      <c r="B64" s="499"/>
      <c r="C64" s="117" t="s">
        <v>138</v>
      </c>
      <c r="D64" s="317"/>
      <c r="E64" s="314"/>
      <c r="F64" s="504" t="s">
        <v>426</v>
      </c>
      <c r="G64" s="505"/>
      <c r="H64" s="505"/>
      <c r="I64" s="505"/>
      <c r="J64" s="506"/>
      <c r="K64" s="507" t="s">
        <v>417</v>
      </c>
      <c r="L64" s="499"/>
      <c r="M64" s="51" t="s">
        <v>162</v>
      </c>
      <c r="N64" s="501" t="s">
        <v>171</v>
      </c>
      <c r="O64" s="501"/>
      <c r="P64" s="510">
        <v>100</v>
      </c>
      <c r="Q64" s="511"/>
      <c r="R64" s="503" t="s">
        <v>473</v>
      </c>
      <c r="S64" s="503"/>
      <c r="T64" s="503"/>
      <c r="U64" s="503"/>
      <c r="V64" s="503"/>
      <c r="W64" s="503"/>
      <c r="X64" s="503"/>
      <c r="Y64" s="503"/>
      <c r="Z64" s="503"/>
      <c r="AA64" s="503"/>
      <c r="AB64" s="492"/>
      <c r="AC64" s="492"/>
      <c r="AD64" s="493"/>
      <c r="AF64" s="50"/>
    </row>
    <row r="65" spans="1:32" ht="25.5" customHeight="1">
      <c r="A65" s="498">
        <v>3</v>
      </c>
      <c r="B65" s="499"/>
      <c r="C65" s="117"/>
      <c r="D65" s="317"/>
      <c r="E65" s="314"/>
      <c r="F65" s="504"/>
      <c r="G65" s="505"/>
      <c r="H65" s="505"/>
      <c r="I65" s="505"/>
      <c r="J65" s="506"/>
      <c r="K65" s="507"/>
      <c r="L65" s="499"/>
      <c r="M65" s="51"/>
      <c r="N65" s="501"/>
      <c r="O65" s="501"/>
      <c r="P65" s="510"/>
      <c r="Q65" s="511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4</v>
      </c>
      <c r="B66" s="499"/>
      <c r="C66" s="117"/>
      <c r="D66" s="317"/>
      <c r="E66" s="314"/>
      <c r="F66" s="504"/>
      <c r="G66" s="505"/>
      <c r="H66" s="505"/>
      <c r="I66" s="505"/>
      <c r="J66" s="506"/>
      <c r="K66" s="507"/>
      <c r="L66" s="499"/>
      <c r="M66" s="51"/>
      <c r="N66" s="508"/>
      <c r="O66" s="509"/>
      <c r="P66" s="510"/>
      <c r="Q66" s="511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5</v>
      </c>
      <c r="B67" s="499"/>
      <c r="C67" s="117"/>
      <c r="D67" s="317"/>
      <c r="E67" s="314"/>
      <c r="F67" s="504"/>
      <c r="G67" s="505"/>
      <c r="H67" s="505"/>
      <c r="I67" s="505"/>
      <c r="J67" s="506"/>
      <c r="K67" s="507"/>
      <c r="L67" s="499"/>
      <c r="M67" s="51"/>
      <c r="N67" s="508"/>
      <c r="O67" s="509"/>
      <c r="P67" s="510"/>
      <c r="Q67" s="511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6</v>
      </c>
      <c r="B68" s="499"/>
      <c r="C68" s="117"/>
      <c r="D68" s="317"/>
      <c r="E68" s="314"/>
      <c r="F68" s="500"/>
      <c r="G68" s="492"/>
      <c r="H68" s="492"/>
      <c r="I68" s="492"/>
      <c r="J68" s="492"/>
      <c r="K68" s="492"/>
      <c r="L68" s="492"/>
      <c r="M68" s="51"/>
      <c r="N68" s="508"/>
      <c r="O68" s="509"/>
      <c r="P68" s="510"/>
      <c r="Q68" s="511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7</v>
      </c>
      <c r="B69" s="499"/>
      <c r="C69" s="117"/>
      <c r="D69" s="317"/>
      <c r="E69" s="314"/>
      <c r="F69" s="500"/>
      <c r="G69" s="492"/>
      <c r="H69" s="492"/>
      <c r="I69" s="492"/>
      <c r="J69" s="492"/>
      <c r="K69" s="492"/>
      <c r="L69" s="492"/>
      <c r="M69" s="51"/>
      <c r="N69" s="508"/>
      <c r="O69" s="509"/>
      <c r="P69" s="510"/>
      <c r="Q69" s="511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8</v>
      </c>
      <c r="B70" s="499"/>
      <c r="C70" s="117"/>
      <c r="D70" s="317"/>
      <c r="E70" s="314"/>
      <c r="F70" s="500"/>
      <c r="G70" s="492"/>
      <c r="H70" s="492"/>
      <c r="I70" s="492"/>
      <c r="J70" s="492"/>
      <c r="K70" s="492"/>
      <c r="L70" s="492"/>
      <c r="M70" s="51"/>
      <c r="N70" s="508"/>
      <c r="O70" s="509"/>
      <c r="P70" s="510"/>
      <c r="Q70" s="511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6.25" customHeight="1" thickBot="1">
      <c r="A71" s="472" t="s">
        <v>474</v>
      </c>
      <c r="B71" s="472"/>
      <c r="C71" s="472"/>
      <c r="D71" s="472"/>
      <c r="E71" s="47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73" t="s">
        <v>113</v>
      </c>
      <c r="B72" s="474"/>
      <c r="C72" s="316" t="s">
        <v>2</v>
      </c>
      <c r="D72" s="316" t="s">
        <v>37</v>
      </c>
      <c r="E72" s="316" t="s">
        <v>3</v>
      </c>
      <c r="F72" s="474" t="s">
        <v>38</v>
      </c>
      <c r="G72" s="474"/>
      <c r="H72" s="474"/>
      <c r="I72" s="474"/>
      <c r="J72" s="474"/>
      <c r="K72" s="494" t="s">
        <v>58</v>
      </c>
      <c r="L72" s="495"/>
      <c r="M72" s="495"/>
      <c r="N72" s="495"/>
      <c r="O72" s="495"/>
      <c r="P72" s="495"/>
      <c r="Q72" s="495"/>
      <c r="R72" s="495"/>
      <c r="S72" s="496"/>
      <c r="T72" s="474" t="s">
        <v>49</v>
      </c>
      <c r="U72" s="474"/>
      <c r="V72" s="494" t="s">
        <v>50</v>
      </c>
      <c r="W72" s="496"/>
      <c r="X72" s="495" t="s">
        <v>51</v>
      </c>
      <c r="Y72" s="495"/>
      <c r="Z72" s="495"/>
      <c r="AA72" s="495"/>
      <c r="AB72" s="495"/>
      <c r="AC72" s="495"/>
      <c r="AD72" s="497"/>
      <c r="AF72" s="50"/>
    </row>
    <row r="73" spans="1:32" ht="33.75" customHeight="1">
      <c r="A73" s="466">
        <v>1</v>
      </c>
      <c r="B73" s="467"/>
      <c r="C73" s="318" t="s">
        <v>114</v>
      </c>
      <c r="D73" s="318"/>
      <c r="E73" s="65" t="s">
        <v>119</v>
      </c>
      <c r="F73" s="481" t="s">
        <v>118</v>
      </c>
      <c r="G73" s="482"/>
      <c r="H73" s="482"/>
      <c r="I73" s="482"/>
      <c r="J73" s="483"/>
      <c r="K73" s="484" t="s">
        <v>130</v>
      </c>
      <c r="L73" s="485"/>
      <c r="M73" s="485"/>
      <c r="N73" s="485"/>
      <c r="O73" s="485"/>
      <c r="P73" s="485"/>
      <c r="Q73" s="485"/>
      <c r="R73" s="485"/>
      <c r="S73" s="486"/>
      <c r="T73" s="487">
        <v>43675</v>
      </c>
      <c r="U73" s="488"/>
      <c r="V73" s="489"/>
      <c r="W73" s="489"/>
      <c r="X73" s="490"/>
      <c r="Y73" s="490"/>
      <c r="Z73" s="490"/>
      <c r="AA73" s="490"/>
      <c r="AB73" s="490"/>
      <c r="AC73" s="490"/>
      <c r="AD73" s="491"/>
      <c r="AF73" s="50"/>
    </row>
    <row r="74" spans="1:32" ht="30" customHeight="1">
      <c r="A74" s="459">
        <f>A73+1</f>
        <v>2</v>
      </c>
      <c r="B74" s="460"/>
      <c r="C74" s="317"/>
      <c r="D74" s="317"/>
      <c r="E74" s="32"/>
      <c r="F74" s="460"/>
      <c r="G74" s="460"/>
      <c r="H74" s="460"/>
      <c r="I74" s="460"/>
      <c r="J74" s="460"/>
      <c r="K74" s="475"/>
      <c r="L74" s="476"/>
      <c r="M74" s="476"/>
      <c r="N74" s="476"/>
      <c r="O74" s="476"/>
      <c r="P74" s="476"/>
      <c r="Q74" s="476"/>
      <c r="R74" s="476"/>
      <c r="S74" s="477"/>
      <c r="T74" s="478"/>
      <c r="U74" s="478"/>
      <c r="V74" s="478"/>
      <c r="W74" s="478"/>
      <c r="X74" s="479"/>
      <c r="Y74" s="479"/>
      <c r="Z74" s="479"/>
      <c r="AA74" s="479"/>
      <c r="AB74" s="479"/>
      <c r="AC74" s="479"/>
      <c r="AD74" s="480"/>
      <c r="AF74" s="50"/>
    </row>
    <row r="75" spans="1:32" ht="30" customHeight="1">
      <c r="A75" s="459">
        <f t="shared" ref="A75:A81" si="13">A74+1</f>
        <v>3</v>
      </c>
      <c r="B75" s="460"/>
      <c r="C75" s="317"/>
      <c r="D75" s="317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si="13"/>
        <v>4</v>
      </c>
      <c r="B76" s="460"/>
      <c r="C76" s="317"/>
      <c r="D76" s="317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13"/>
        <v>5</v>
      </c>
      <c r="B77" s="460"/>
      <c r="C77" s="317"/>
      <c r="D77" s="317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13"/>
        <v>6</v>
      </c>
      <c r="B78" s="460"/>
      <c r="C78" s="317"/>
      <c r="D78" s="317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13"/>
        <v>7</v>
      </c>
      <c r="B79" s="460"/>
      <c r="C79" s="317"/>
      <c r="D79" s="317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13"/>
        <v>8</v>
      </c>
      <c r="B80" s="460"/>
      <c r="C80" s="317"/>
      <c r="D80" s="317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13"/>
        <v>9</v>
      </c>
      <c r="B81" s="460"/>
      <c r="C81" s="317"/>
      <c r="D81" s="317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6" thickBot="1">
      <c r="A82" s="472" t="s">
        <v>475</v>
      </c>
      <c r="B82" s="472"/>
      <c r="C82" s="472"/>
      <c r="D82" s="472"/>
      <c r="E82" s="47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73" t="s">
        <v>113</v>
      </c>
      <c r="B83" s="474"/>
      <c r="C83" s="464" t="s">
        <v>52</v>
      </c>
      <c r="D83" s="464"/>
      <c r="E83" s="464" t="s">
        <v>53</v>
      </c>
      <c r="F83" s="464"/>
      <c r="G83" s="464"/>
      <c r="H83" s="464"/>
      <c r="I83" s="464"/>
      <c r="J83" s="464"/>
      <c r="K83" s="464" t="s">
        <v>54</v>
      </c>
      <c r="L83" s="464"/>
      <c r="M83" s="464"/>
      <c r="N83" s="464"/>
      <c r="O83" s="464"/>
      <c r="P83" s="464"/>
      <c r="Q83" s="464"/>
      <c r="R83" s="464"/>
      <c r="S83" s="464"/>
      <c r="T83" s="464" t="s">
        <v>55</v>
      </c>
      <c r="U83" s="464"/>
      <c r="V83" s="464" t="s">
        <v>56</v>
      </c>
      <c r="W83" s="464"/>
      <c r="X83" s="464"/>
      <c r="Y83" s="464" t="s">
        <v>51</v>
      </c>
      <c r="Z83" s="464"/>
      <c r="AA83" s="464"/>
      <c r="AB83" s="464"/>
      <c r="AC83" s="464"/>
      <c r="AD83" s="465"/>
      <c r="AF83" s="50"/>
    </row>
    <row r="84" spans="1:32" ht="30.75" customHeight="1">
      <c r="A84" s="466">
        <v>1</v>
      </c>
      <c r="B84" s="467"/>
      <c r="C84" s="468"/>
      <c r="D84" s="468"/>
      <c r="E84" s="468"/>
      <c r="F84" s="468"/>
      <c r="G84" s="468"/>
      <c r="H84" s="468"/>
      <c r="I84" s="468"/>
      <c r="J84" s="468"/>
      <c r="K84" s="468"/>
      <c r="L84" s="468"/>
      <c r="M84" s="468"/>
      <c r="N84" s="468"/>
      <c r="O84" s="468"/>
      <c r="P84" s="468"/>
      <c r="Q84" s="468"/>
      <c r="R84" s="468"/>
      <c r="S84" s="468"/>
      <c r="T84" s="468"/>
      <c r="U84" s="468"/>
      <c r="V84" s="469"/>
      <c r="W84" s="469"/>
      <c r="X84" s="469"/>
      <c r="Y84" s="470"/>
      <c r="Z84" s="470"/>
      <c r="AA84" s="470"/>
      <c r="AB84" s="470"/>
      <c r="AC84" s="470"/>
      <c r="AD84" s="471"/>
      <c r="AF84" s="50"/>
    </row>
    <row r="85" spans="1:32" ht="30.75" customHeight="1">
      <c r="A85" s="459">
        <v>2</v>
      </c>
      <c r="B85" s="460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2"/>
      <c r="Z85" s="452"/>
      <c r="AA85" s="452"/>
      <c r="AB85" s="452"/>
      <c r="AC85" s="452"/>
      <c r="AD85" s="453"/>
      <c r="AF85" s="50"/>
    </row>
    <row r="86" spans="1:32" ht="30.75" customHeight="1" thickBot="1">
      <c r="A86" s="454">
        <v>3</v>
      </c>
      <c r="B86" s="455"/>
      <c r="C86" s="456"/>
      <c r="D86" s="456"/>
      <c r="E86" s="456"/>
      <c r="F86" s="456"/>
      <c r="G86" s="456"/>
      <c r="H86" s="456"/>
      <c r="I86" s="456"/>
      <c r="J86" s="456"/>
      <c r="K86" s="456"/>
      <c r="L86" s="456"/>
      <c r="M86" s="456"/>
      <c r="N86" s="456"/>
      <c r="O86" s="456"/>
      <c r="P86" s="456"/>
      <c r="Q86" s="456"/>
      <c r="R86" s="456"/>
      <c r="S86" s="456"/>
      <c r="T86" s="456"/>
      <c r="U86" s="456"/>
      <c r="V86" s="456"/>
      <c r="W86" s="456"/>
      <c r="X86" s="456"/>
      <c r="Y86" s="457"/>
      <c r="Z86" s="457"/>
      <c r="AA86" s="457"/>
      <c r="AB86" s="457"/>
      <c r="AC86" s="457"/>
      <c r="AD86" s="458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50F2-5AF0-4079-900C-535EDE8E43E2}"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476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329" t="s">
        <v>17</v>
      </c>
      <c r="L5" s="329" t="s">
        <v>18</v>
      </c>
      <c r="M5" s="329" t="s">
        <v>19</v>
      </c>
      <c r="N5" s="32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0.51388888888888884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0.51388888888888884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114</v>
      </c>
      <c r="D8" s="52" t="s">
        <v>119</v>
      </c>
      <c r="E8" s="53" t="s">
        <v>392</v>
      </c>
      <c r="F8" s="30" t="s">
        <v>248</v>
      </c>
      <c r="G8" s="33">
        <v>1</v>
      </c>
      <c r="H8" s="35">
        <v>24</v>
      </c>
      <c r="I8" s="7">
        <v>24000</v>
      </c>
      <c r="J8" s="14">
        <v>4262</v>
      </c>
      <c r="K8" s="15">
        <f>L8+2575+4800+4872+4866+2204</f>
        <v>23579</v>
      </c>
      <c r="L8" s="15">
        <f>2100+2162</f>
        <v>4262</v>
      </c>
      <c r="M8" s="15">
        <f t="shared" si="1"/>
        <v>4262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0.51388888888888884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3528</v>
      </c>
      <c r="K9" s="15">
        <f>L9+1036+2500+4639+2951+2392+2902+2784+3566+4110+4299+4289+1910+4734+4854+3892+4611+3795+5160+1762</f>
        <v>69714</v>
      </c>
      <c r="L9" s="15">
        <f>2502+1026</f>
        <v>3528</v>
      </c>
      <c r="M9" s="15">
        <f t="shared" si="1"/>
        <v>3528</v>
      </c>
      <c r="N9" s="15">
        <v>0</v>
      </c>
      <c r="O9" s="58">
        <f t="shared" si="2"/>
        <v>0</v>
      </c>
      <c r="P9" s="39">
        <f t="shared" si="3"/>
        <v>18</v>
      </c>
      <c r="Q9" s="40">
        <f t="shared" si="4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0.75</v>
      </c>
      <c r="AD9" s="10">
        <f t="shared" si="7"/>
        <v>0.75</v>
      </c>
      <c r="AE9" s="36">
        <f t="shared" si="8"/>
        <v>0.51388888888888884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285</v>
      </c>
      <c r="E10" s="53" t="s">
        <v>470</v>
      </c>
      <c r="F10" s="30" t="s">
        <v>477</v>
      </c>
      <c r="G10" s="33">
        <v>16</v>
      </c>
      <c r="H10" s="35">
        <v>24</v>
      </c>
      <c r="I10" s="7">
        <v>300000</v>
      </c>
      <c r="J10" s="5">
        <v>92704</v>
      </c>
      <c r="K10" s="15">
        <f>L10</f>
        <v>92704</v>
      </c>
      <c r="L10" s="15">
        <f>2449*16+3345*16</f>
        <v>92704</v>
      </c>
      <c r="M10" s="15">
        <f t="shared" si="1"/>
        <v>92704</v>
      </c>
      <c r="N10" s="15">
        <v>0</v>
      </c>
      <c r="O10" s="58">
        <f t="shared" si="2"/>
        <v>0</v>
      </c>
      <c r="P10" s="39">
        <f t="shared" si="3"/>
        <v>22</v>
      </c>
      <c r="Q10" s="40">
        <f t="shared" si="4"/>
        <v>2</v>
      </c>
      <c r="R10" s="7"/>
      <c r="S10" s="6"/>
      <c r="T10" s="16">
        <v>2</v>
      </c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0.91666666666666663</v>
      </c>
      <c r="AD10" s="10">
        <f>AC10*AB10*(1-O10)</f>
        <v>0.91666666666666663</v>
      </c>
      <c r="AE10" s="36">
        <f t="shared" si="8"/>
        <v>0.51388888888888884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138</v>
      </c>
      <c r="D11" s="52" t="s">
        <v>461</v>
      </c>
      <c r="E11" s="53" t="s">
        <v>462</v>
      </c>
      <c r="F11" s="30" t="s">
        <v>417</v>
      </c>
      <c r="G11" s="33">
        <v>1</v>
      </c>
      <c r="H11" s="35">
        <v>24</v>
      </c>
      <c r="I11" s="7">
        <v>7500</v>
      </c>
      <c r="J11" s="5">
        <v>5932</v>
      </c>
      <c r="K11" s="15">
        <f>L11+589+1007</f>
        <v>7528</v>
      </c>
      <c r="L11" s="15">
        <f>3249+2683</f>
        <v>5932</v>
      </c>
      <c r="M11" s="15">
        <f t="shared" si="1"/>
        <v>5932</v>
      </c>
      <c r="N11" s="15">
        <v>0</v>
      </c>
      <c r="O11" s="58">
        <f t="shared" si="2"/>
        <v>0</v>
      </c>
      <c r="P11" s="39">
        <f t="shared" si="3"/>
        <v>24</v>
      </c>
      <c r="Q11" s="40">
        <f t="shared" si="4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1</v>
      </c>
      <c r="AD11" s="10">
        <f>AC11*AB11*(1-O11)</f>
        <v>1</v>
      </c>
      <c r="AE11" s="36">
        <f t="shared" si="8"/>
        <v>0.51388888888888884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144</v>
      </c>
      <c r="F12" s="30" t="s">
        <v>121</v>
      </c>
      <c r="G12" s="33">
        <v>1</v>
      </c>
      <c r="H12" s="35">
        <v>24</v>
      </c>
      <c r="I12" s="7">
        <v>70000</v>
      </c>
      <c r="J12" s="14">
        <v>2860</v>
      </c>
      <c r="K12" s="15">
        <f>L12+2036+3193+2673+3958+1875+401+3155+4199+2859+2339+1952+1208+2933+3415+1960+4032+870+1602+872</f>
        <v>48392</v>
      </c>
      <c r="L12" s="15">
        <f>1153+1707</f>
        <v>2860</v>
      </c>
      <c r="M12" s="15">
        <f t="shared" si="1"/>
        <v>2860</v>
      </c>
      <c r="N12" s="15">
        <v>0</v>
      </c>
      <c r="O12" s="58">
        <f t="shared" si="2"/>
        <v>0</v>
      </c>
      <c r="P12" s="39">
        <f t="shared" si="3"/>
        <v>15</v>
      </c>
      <c r="Q12" s="40">
        <f t="shared" si="4"/>
        <v>9</v>
      </c>
      <c r="R12" s="7"/>
      <c r="S12" s="6">
        <v>9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0.625</v>
      </c>
      <c r="AD12" s="10">
        <f t="shared" ref="AD12:AD13" si="10">AC12*AB12*(1-O12)</f>
        <v>0.625</v>
      </c>
      <c r="AE12" s="36">
        <f t="shared" si="8"/>
        <v>0.51388888888888884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128</v>
      </c>
      <c r="D13" s="52" t="s">
        <v>117</v>
      </c>
      <c r="E13" s="53" t="s">
        <v>189</v>
      </c>
      <c r="F13" s="30" t="s">
        <v>190</v>
      </c>
      <c r="G13" s="33">
        <v>2</v>
      </c>
      <c r="H13" s="35">
        <v>24</v>
      </c>
      <c r="I13" s="7">
        <v>30000</v>
      </c>
      <c r="J13" s="14">
        <v>5646</v>
      </c>
      <c r="K13" s="15">
        <f>L13+8032+4920</f>
        <v>18598</v>
      </c>
      <c r="L13" s="15">
        <f>1607*2+1216*2</f>
        <v>5646</v>
      </c>
      <c r="M13" s="15">
        <f t="shared" si="1"/>
        <v>5646</v>
      </c>
      <c r="N13" s="15">
        <v>0</v>
      </c>
      <c r="O13" s="58">
        <f t="shared" si="2"/>
        <v>0</v>
      </c>
      <c r="P13" s="39">
        <f t="shared" si="3"/>
        <v>15</v>
      </c>
      <c r="Q13" s="40">
        <f t="shared" si="4"/>
        <v>9</v>
      </c>
      <c r="R13" s="7"/>
      <c r="S13" s="6">
        <v>9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0.625</v>
      </c>
      <c r="AD13" s="10">
        <f t="shared" si="10"/>
        <v>0.625</v>
      </c>
      <c r="AE13" s="36">
        <f t="shared" si="8"/>
        <v>0.51388888888888884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381</v>
      </c>
      <c r="D14" s="52"/>
      <c r="E14" s="53" t="s">
        <v>382</v>
      </c>
      <c r="F14" s="30" t="s">
        <v>383</v>
      </c>
      <c r="G14" s="33">
        <v>1</v>
      </c>
      <c r="H14" s="35">
        <v>24</v>
      </c>
      <c r="I14" s="7">
        <v>200</v>
      </c>
      <c r="J14" s="5">
        <v>318</v>
      </c>
      <c r="K14" s="15">
        <f>L14+318</f>
        <v>318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0.51388888888888884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128</v>
      </c>
      <c r="D15" s="52" t="s">
        <v>384</v>
      </c>
      <c r="E15" s="53" t="s">
        <v>337</v>
      </c>
      <c r="F15" s="12">
        <v>8301</v>
      </c>
      <c r="G15" s="12">
        <v>1</v>
      </c>
      <c r="H15" s="13">
        <v>24</v>
      </c>
      <c r="I15" s="31">
        <v>13000</v>
      </c>
      <c r="J15" s="14">
        <v>3622</v>
      </c>
      <c r="K15" s="15">
        <f>L15+5212+5747+3622</f>
        <v>14581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0.51388888888888884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478</v>
      </c>
      <c r="D16" s="52"/>
      <c r="E16" s="53" t="s">
        <v>479</v>
      </c>
      <c r="F16" s="30" t="s">
        <v>126</v>
      </c>
      <c r="G16" s="12">
        <v>1</v>
      </c>
      <c r="H16" s="13">
        <v>28</v>
      </c>
      <c r="I16" s="7">
        <v>500</v>
      </c>
      <c r="J16" s="14">
        <v>686</v>
      </c>
      <c r="K16" s="15">
        <f>L16</f>
        <v>686</v>
      </c>
      <c r="L16" s="15">
        <f>286+400</f>
        <v>686</v>
      </c>
      <c r="M16" s="15">
        <f t="shared" si="1"/>
        <v>686</v>
      </c>
      <c r="N16" s="15">
        <v>0</v>
      </c>
      <c r="O16" s="58">
        <f t="shared" si="2"/>
        <v>0</v>
      </c>
      <c r="P16" s="39">
        <f t="shared" si="3"/>
        <v>6</v>
      </c>
      <c r="Q16" s="40">
        <f t="shared" si="4"/>
        <v>18</v>
      </c>
      <c r="R16" s="7"/>
      <c r="S16" s="6"/>
      <c r="T16" s="16"/>
      <c r="U16" s="16"/>
      <c r="V16" s="17"/>
      <c r="W16" s="5">
        <v>18</v>
      </c>
      <c r="X16" s="16"/>
      <c r="Y16" s="16"/>
      <c r="Z16" s="16"/>
      <c r="AA16" s="18"/>
      <c r="AB16" s="8">
        <f t="shared" si="5"/>
        <v>1</v>
      </c>
      <c r="AC16" s="9">
        <f t="shared" si="6"/>
        <v>0.25</v>
      </c>
      <c r="AD16" s="10">
        <f t="shared" si="7"/>
        <v>0.25</v>
      </c>
      <c r="AE16" s="36">
        <f t="shared" si="8"/>
        <v>0.51388888888888884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449</v>
      </c>
      <c r="E17" s="53" t="s">
        <v>441</v>
      </c>
      <c r="F17" s="30" t="s">
        <v>249</v>
      </c>
      <c r="G17" s="33">
        <v>1</v>
      </c>
      <c r="H17" s="35">
        <v>24</v>
      </c>
      <c r="I17" s="7">
        <v>24000</v>
      </c>
      <c r="J17" s="5">
        <v>4833</v>
      </c>
      <c r="K17" s="15">
        <f>L17+5168+2206</f>
        <v>12207</v>
      </c>
      <c r="L17" s="15">
        <f>3042+1791</f>
        <v>4833</v>
      </c>
      <c r="M17" s="15">
        <f t="shared" si="1"/>
        <v>4833</v>
      </c>
      <c r="N17" s="15">
        <v>0</v>
      </c>
      <c r="O17" s="58">
        <f t="shared" si="2"/>
        <v>0</v>
      </c>
      <c r="P17" s="39">
        <f t="shared" si="3"/>
        <v>20</v>
      </c>
      <c r="Q17" s="40">
        <f t="shared" si="4"/>
        <v>4</v>
      </c>
      <c r="R17" s="7"/>
      <c r="S17" s="6">
        <v>4</v>
      </c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0.83333333333333337</v>
      </c>
      <c r="AD17" s="10">
        <f t="shared" si="7"/>
        <v>0.83333333333333337</v>
      </c>
      <c r="AE17" s="36">
        <f t="shared" si="8"/>
        <v>0.51388888888888884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122</v>
      </c>
      <c r="E18" s="53" t="s">
        <v>147</v>
      </c>
      <c r="F18" s="30" t="s">
        <v>123</v>
      </c>
      <c r="G18" s="33">
        <v>1</v>
      </c>
      <c r="H18" s="35">
        <v>24</v>
      </c>
      <c r="I18" s="7">
        <v>60000</v>
      </c>
      <c r="J18" s="5">
        <v>3442</v>
      </c>
      <c r="K18" s="15">
        <f>L18+1915+5043+1754+4429+1736+4741+3615+930</f>
        <v>27605</v>
      </c>
      <c r="L18" s="15">
        <f>2027+1415</f>
        <v>3442</v>
      </c>
      <c r="M18" s="15">
        <f t="shared" si="1"/>
        <v>3442</v>
      </c>
      <c r="N18" s="15">
        <v>0</v>
      </c>
      <c r="O18" s="58">
        <f t="shared" si="2"/>
        <v>0</v>
      </c>
      <c r="P18" s="39">
        <f t="shared" si="3"/>
        <v>19</v>
      </c>
      <c r="Q18" s="40">
        <f t="shared" si="4"/>
        <v>5</v>
      </c>
      <c r="R18" s="7"/>
      <c r="S18" s="6">
        <v>5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0.79166666666666663</v>
      </c>
      <c r="AD18" s="10">
        <f>AC18*AB18*(1-O18)</f>
        <v>0.79166666666666663</v>
      </c>
      <c r="AE18" s="36">
        <f t="shared" si="8"/>
        <v>0.51388888888888884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478</v>
      </c>
      <c r="D19" s="52"/>
      <c r="E19" s="53" t="s">
        <v>480</v>
      </c>
      <c r="F19" s="30" t="s">
        <v>126</v>
      </c>
      <c r="G19" s="33">
        <v>1</v>
      </c>
      <c r="H19" s="35">
        <v>24</v>
      </c>
      <c r="I19" s="7">
        <v>900</v>
      </c>
      <c r="J19" s="14">
        <v>955</v>
      </c>
      <c r="K19" s="15">
        <f>L19</f>
        <v>955</v>
      </c>
      <c r="L19" s="15">
        <f>161+794</f>
        <v>955</v>
      </c>
      <c r="M19" s="15">
        <f t="shared" si="1"/>
        <v>955</v>
      </c>
      <c r="N19" s="15">
        <v>0</v>
      </c>
      <c r="O19" s="58">
        <f t="shared" si="2"/>
        <v>0</v>
      </c>
      <c r="P19" s="39">
        <f t="shared" si="3"/>
        <v>10</v>
      </c>
      <c r="Q19" s="40">
        <f t="shared" si="4"/>
        <v>14</v>
      </c>
      <c r="R19" s="7"/>
      <c r="S19" s="6"/>
      <c r="T19" s="16"/>
      <c r="U19" s="16"/>
      <c r="V19" s="17"/>
      <c r="W19" s="5">
        <v>14</v>
      </c>
      <c r="X19" s="16"/>
      <c r="Y19" s="16"/>
      <c r="Z19" s="16"/>
      <c r="AA19" s="18"/>
      <c r="AB19" s="8">
        <f t="shared" si="5"/>
        <v>1</v>
      </c>
      <c r="AC19" s="9">
        <f t="shared" si="6"/>
        <v>0.41666666666666669</v>
      </c>
      <c r="AD19" s="10">
        <f t="shared" si="7"/>
        <v>0.41666666666666669</v>
      </c>
      <c r="AE19" s="36">
        <f t="shared" si="8"/>
        <v>0.51388888888888884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134</v>
      </c>
      <c r="F20" s="12" t="s">
        <v>116</v>
      </c>
      <c r="G20" s="12">
        <v>4</v>
      </c>
      <c r="H20" s="35">
        <v>20</v>
      </c>
      <c r="I20" s="7">
        <v>300000</v>
      </c>
      <c r="J20" s="14">
        <v>36104</v>
      </c>
      <c r="K20" s="15">
        <f>L20+69996+41020+71684+75200</f>
        <v>294004</v>
      </c>
      <c r="L20" s="15">
        <f>9026*4</f>
        <v>36104</v>
      </c>
      <c r="M20" s="15">
        <f t="shared" si="1"/>
        <v>36104</v>
      </c>
      <c r="N20" s="15">
        <v>0</v>
      </c>
      <c r="O20" s="58">
        <f t="shared" si="2"/>
        <v>0</v>
      </c>
      <c r="P20" s="39">
        <f t="shared" si="3"/>
        <v>12</v>
      </c>
      <c r="Q20" s="40">
        <f t="shared" si="4"/>
        <v>12</v>
      </c>
      <c r="R20" s="7"/>
      <c r="S20" s="6"/>
      <c r="T20" s="16"/>
      <c r="U20" s="16"/>
      <c r="V20" s="17">
        <v>12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</v>
      </c>
      <c r="AD20" s="10">
        <f t="shared" si="7"/>
        <v>0.5</v>
      </c>
      <c r="AE20" s="36">
        <f t="shared" si="8"/>
        <v>0.51388888888888884</v>
      </c>
      <c r="AF20" s="87">
        <f t="shared" si="9"/>
        <v>15</v>
      </c>
    </row>
    <row r="21" spans="1:32" ht="31.5" customHeight="1" thickBot="1">
      <c r="A21" s="541" t="s">
        <v>34</v>
      </c>
      <c r="B21" s="542"/>
      <c r="C21" s="542"/>
      <c r="D21" s="542"/>
      <c r="E21" s="542"/>
      <c r="F21" s="542"/>
      <c r="G21" s="542"/>
      <c r="H21" s="543"/>
      <c r="I21" s="22">
        <f t="shared" ref="I21:N21" si="11">SUM(I6:I20)</f>
        <v>921100</v>
      </c>
      <c r="J21" s="19">
        <f t="shared" si="11"/>
        <v>166953</v>
      </c>
      <c r="K21" s="20">
        <f t="shared" si="11"/>
        <v>622419</v>
      </c>
      <c r="L21" s="21">
        <f t="shared" si="11"/>
        <v>160952</v>
      </c>
      <c r="M21" s="20">
        <f t="shared" si="11"/>
        <v>160952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185</v>
      </c>
      <c r="Q21" s="43">
        <f t="shared" si="12"/>
        <v>175</v>
      </c>
      <c r="R21" s="23">
        <f t="shared" si="12"/>
        <v>24</v>
      </c>
      <c r="S21" s="24">
        <f t="shared" si="12"/>
        <v>33</v>
      </c>
      <c r="T21" s="24">
        <f t="shared" si="12"/>
        <v>2</v>
      </c>
      <c r="U21" s="24">
        <f t="shared" si="12"/>
        <v>0</v>
      </c>
      <c r="V21" s="25">
        <f t="shared" si="12"/>
        <v>36</v>
      </c>
      <c r="W21" s="26">
        <f t="shared" si="12"/>
        <v>80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0.73333333333333328</v>
      </c>
      <c r="AC21" s="4">
        <f>SUM(AC6:AC20)/15</f>
        <v>0.51388888888888884</v>
      </c>
      <c r="AD21" s="4">
        <f>SUM(AD6:AD20)/15</f>
        <v>0.51388888888888884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44" t="s">
        <v>45</v>
      </c>
      <c r="B48" s="544"/>
      <c r="C48" s="544"/>
      <c r="D48" s="544"/>
      <c r="E48" s="54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45" t="s">
        <v>481</v>
      </c>
      <c r="B49" s="546"/>
      <c r="C49" s="546"/>
      <c r="D49" s="546"/>
      <c r="E49" s="546"/>
      <c r="F49" s="546"/>
      <c r="G49" s="546"/>
      <c r="H49" s="546"/>
      <c r="I49" s="546"/>
      <c r="J49" s="546"/>
      <c r="K49" s="546"/>
      <c r="L49" s="546"/>
      <c r="M49" s="547"/>
      <c r="N49" s="548" t="s">
        <v>485</v>
      </c>
      <c r="O49" s="549"/>
      <c r="P49" s="549"/>
      <c r="Q49" s="549"/>
      <c r="R49" s="549"/>
      <c r="S49" s="549"/>
      <c r="T49" s="549"/>
      <c r="U49" s="549"/>
      <c r="V49" s="549"/>
      <c r="W49" s="549"/>
      <c r="X49" s="549"/>
      <c r="Y49" s="549"/>
      <c r="Z49" s="549"/>
      <c r="AA49" s="549"/>
      <c r="AB49" s="549"/>
      <c r="AC49" s="549"/>
      <c r="AD49" s="550"/>
    </row>
    <row r="50" spans="1:32" ht="27" customHeight="1">
      <c r="A50" s="551" t="s">
        <v>2</v>
      </c>
      <c r="B50" s="552"/>
      <c r="C50" s="328" t="s">
        <v>46</v>
      </c>
      <c r="D50" s="328" t="s">
        <v>47</v>
      </c>
      <c r="E50" s="328" t="s">
        <v>108</v>
      </c>
      <c r="F50" s="552" t="s">
        <v>107</v>
      </c>
      <c r="G50" s="552"/>
      <c r="H50" s="552"/>
      <c r="I50" s="552"/>
      <c r="J50" s="552"/>
      <c r="K50" s="552"/>
      <c r="L50" s="552"/>
      <c r="M50" s="553"/>
      <c r="N50" s="67" t="s">
        <v>112</v>
      </c>
      <c r="O50" s="328" t="s">
        <v>46</v>
      </c>
      <c r="P50" s="554" t="s">
        <v>47</v>
      </c>
      <c r="Q50" s="555"/>
      <c r="R50" s="554" t="s">
        <v>38</v>
      </c>
      <c r="S50" s="556"/>
      <c r="T50" s="556"/>
      <c r="U50" s="555"/>
      <c r="V50" s="554" t="s">
        <v>48</v>
      </c>
      <c r="W50" s="556"/>
      <c r="X50" s="556"/>
      <c r="Y50" s="556"/>
      <c r="Z50" s="556"/>
      <c r="AA50" s="556"/>
      <c r="AB50" s="556"/>
      <c r="AC50" s="556"/>
      <c r="AD50" s="557"/>
    </row>
    <row r="51" spans="1:32" ht="27" customHeight="1">
      <c r="A51" s="524" t="s">
        <v>114</v>
      </c>
      <c r="B51" s="525"/>
      <c r="C51" s="326" t="s">
        <v>131</v>
      </c>
      <c r="D51" s="326" t="s">
        <v>142</v>
      </c>
      <c r="E51" s="326" t="s">
        <v>145</v>
      </c>
      <c r="F51" s="517" t="s">
        <v>157</v>
      </c>
      <c r="G51" s="518"/>
      <c r="H51" s="518"/>
      <c r="I51" s="518"/>
      <c r="J51" s="518"/>
      <c r="K51" s="518"/>
      <c r="L51" s="518"/>
      <c r="M51" s="526"/>
      <c r="N51" s="325" t="s">
        <v>124</v>
      </c>
      <c r="O51" s="323" t="s">
        <v>170</v>
      </c>
      <c r="P51" s="536" t="s">
        <v>352</v>
      </c>
      <c r="Q51" s="537"/>
      <c r="R51" s="536" t="s">
        <v>486</v>
      </c>
      <c r="S51" s="538"/>
      <c r="T51" s="538"/>
      <c r="U51" s="537"/>
      <c r="V51" s="503" t="s">
        <v>120</v>
      </c>
      <c r="W51" s="503"/>
      <c r="X51" s="503"/>
      <c r="Y51" s="503"/>
      <c r="Z51" s="503"/>
      <c r="AA51" s="503"/>
      <c r="AB51" s="503"/>
      <c r="AC51" s="503"/>
      <c r="AD51" s="527"/>
    </row>
    <row r="52" spans="1:32" ht="27" customHeight="1">
      <c r="A52" s="524" t="s">
        <v>114</v>
      </c>
      <c r="B52" s="525"/>
      <c r="C52" s="326" t="s">
        <v>150</v>
      </c>
      <c r="D52" s="326" t="s">
        <v>117</v>
      </c>
      <c r="E52" s="326" t="s">
        <v>144</v>
      </c>
      <c r="F52" s="517" t="s">
        <v>157</v>
      </c>
      <c r="G52" s="518"/>
      <c r="H52" s="518"/>
      <c r="I52" s="518"/>
      <c r="J52" s="518"/>
      <c r="K52" s="518"/>
      <c r="L52" s="518"/>
      <c r="M52" s="526"/>
      <c r="N52" s="325" t="s">
        <v>128</v>
      </c>
      <c r="O52" s="323" t="s">
        <v>179</v>
      </c>
      <c r="P52" s="536" t="s">
        <v>117</v>
      </c>
      <c r="Q52" s="537"/>
      <c r="R52" s="536" t="s">
        <v>189</v>
      </c>
      <c r="S52" s="538"/>
      <c r="T52" s="538"/>
      <c r="U52" s="537"/>
      <c r="V52" s="503" t="s">
        <v>487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114</v>
      </c>
      <c r="B53" s="525"/>
      <c r="C53" s="326" t="s">
        <v>234</v>
      </c>
      <c r="D53" s="326" t="s">
        <v>122</v>
      </c>
      <c r="E53" s="326" t="s">
        <v>147</v>
      </c>
      <c r="F53" s="517" t="s">
        <v>482</v>
      </c>
      <c r="G53" s="518"/>
      <c r="H53" s="518"/>
      <c r="I53" s="518"/>
      <c r="J53" s="518"/>
      <c r="K53" s="518"/>
      <c r="L53" s="518"/>
      <c r="M53" s="526"/>
      <c r="N53" s="325" t="s">
        <v>115</v>
      </c>
      <c r="O53" s="323" t="s">
        <v>371</v>
      </c>
      <c r="P53" s="536"/>
      <c r="Q53" s="537"/>
      <c r="R53" s="536" t="s">
        <v>268</v>
      </c>
      <c r="S53" s="538"/>
      <c r="T53" s="538"/>
      <c r="U53" s="537"/>
      <c r="V53" s="503" t="s">
        <v>120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114</v>
      </c>
      <c r="B54" s="525"/>
      <c r="C54" s="326" t="s">
        <v>163</v>
      </c>
      <c r="D54" s="326" t="s">
        <v>237</v>
      </c>
      <c r="E54" s="326" t="s">
        <v>441</v>
      </c>
      <c r="F54" s="517" t="s">
        <v>483</v>
      </c>
      <c r="G54" s="518"/>
      <c r="H54" s="518"/>
      <c r="I54" s="518"/>
      <c r="J54" s="518"/>
      <c r="K54" s="518"/>
      <c r="L54" s="518"/>
      <c r="M54" s="526"/>
      <c r="N54" s="325" t="s">
        <v>124</v>
      </c>
      <c r="O54" s="323" t="s">
        <v>171</v>
      </c>
      <c r="P54" s="536" t="s">
        <v>117</v>
      </c>
      <c r="Q54" s="537"/>
      <c r="R54" s="536" t="s">
        <v>393</v>
      </c>
      <c r="S54" s="538"/>
      <c r="T54" s="538"/>
      <c r="U54" s="537"/>
      <c r="V54" s="503" t="s">
        <v>157</v>
      </c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478</v>
      </c>
      <c r="B55" s="525"/>
      <c r="C55" s="326" t="s">
        <v>295</v>
      </c>
      <c r="D55" s="326"/>
      <c r="E55" s="326" t="s">
        <v>479</v>
      </c>
      <c r="F55" s="517" t="s">
        <v>120</v>
      </c>
      <c r="G55" s="518"/>
      <c r="H55" s="518"/>
      <c r="I55" s="518"/>
      <c r="J55" s="518"/>
      <c r="K55" s="518"/>
      <c r="L55" s="518"/>
      <c r="M55" s="526"/>
      <c r="N55" s="325" t="s">
        <v>124</v>
      </c>
      <c r="O55" s="323" t="s">
        <v>132</v>
      </c>
      <c r="P55" s="536" t="s">
        <v>183</v>
      </c>
      <c r="Q55" s="537"/>
      <c r="R55" s="536" t="s">
        <v>287</v>
      </c>
      <c r="S55" s="538"/>
      <c r="T55" s="538"/>
      <c r="U55" s="537"/>
      <c r="V55" s="503" t="s">
        <v>120</v>
      </c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 t="s">
        <v>478</v>
      </c>
      <c r="B56" s="525"/>
      <c r="C56" s="326" t="s">
        <v>171</v>
      </c>
      <c r="D56" s="326"/>
      <c r="E56" s="326" t="s">
        <v>480</v>
      </c>
      <c r="F56" s="517" t="s">
        <v>120</v>
      </c>
      <c r="G56" s="518"/>
      <c r="H56" s="518"/>
      <c r="I56" s="518"/>
      <c r="J56" s="518"/>
      <c r="K56" s="518"/>
      <c r="L56" s="518"/>
      <c r="M56" s="526"/>
      <c r="N56" s="325"/>
      <c r="O56" s="323"/>
      <c r="P56" s="536"/>
      <c r="Q56" s="537"/>
      <c r="R56" s="525"/>
      <c r="S56" s="525"/>
      <c r="T56" s="525"/>
      <c r="U56" s="525"/>
      <c r="V56" s="503"/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 t="s">
        <v>128</v>
      </c>
      <c r="B57" s="525"/>
      <c r="C57" s="326" t="s">
        <v>179</v>
      </c>
      <c r="D57" s="326" t="s">
        <v>117</v>
      </c>
      <c r="E57" s="326" t="s">
        <v>189</v>
      </c>
      <c r="F57" s="517" t="s">
        <v>484</v>
      </c>
      <c r="G57" s="518"/>
      <c r="H57" s="518"/>
      <c r="I57" s="518"/>
      <c r="J57" s="518"/>
      <c r="K57" s="518"/>
      <c r="L57" s="518"/>
      <c r="M57" s="526"/>
      <c r="N57" s="325"/>
      <c r="O57" s="323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/>
      <c r="B58" s="525"/>
      <c r="C58" s="326"/>
      <c r="D58" s="326"/>
      <c r="E58" s="326"/>
      <c r="F58" s="517"/>
      <c r="G58" s="518"/>
      <c r="H58" s="518"/>
      <c r="I58" s="518"/>
      <c r="J58" s="518"/>
      <c r="K58" s="518"/>
      <c r="L58" s="518"/>
      <c r="M58" s="526"/>
      <c r="N58" s="325"/>
      <c r="O58" s="323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/>
      <c r="B59" s="525"/>
      <c r="C59" s="326"/>
      <c r="D59" s="326"/>
      <c r="E59" s="326"/>
      <c r="F59" s="517"/>
      <c r="G59" s="518"/>
      <c r="H59" s="518"/>
      <c r="I59" s="518"/>
      <c r="J59" s="518"/>
      <c r="K59" s="518"/>
      <c r="L59" s="518"/>
      <c r="M59" s="526"/>
      <c r="N59" s="325"/>
      <c r="O59" s="323"/>
      <c r="P59" s="525"/>
      <c r="Q59" s="525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  <c r="AF59" s="87">
        <f>8*3000</f>
        <v>24000</v>
      </c>
    </row>
    <row r="60" spans="1:32" ht="27" customHeight="1" thickBot="1">
      <c r="A60" s="528"/>
      <c r="B60" s="529"/>
      <c r="C60" s="327"/>
      <c r="D60" s="327"/>
      <c r="E60" s="327"/>
      <c r="F60" s="530"/>
      <c r="G60" s="531"/>
      <c r="H60" s="531"/>
      <c r="I60" s="531"/>
      <c r="J60" s="531"/>
      <c r="K60" s="531"/>
      <c r="L60" s="531"/>
      <c r="M60" s="532"/>
      <c r="N60" s="124"/>
      <c r="O60" s="114"/>
      <c r="P60" s="533"/>
      <c r="Q60" s="533"/>
      <c r="R60" s="533"/>
      <c r="S60" s="533"/>
      <c r="T60" s="533"/>
      <c r="U60" s="533"/>
      <c r="V60" s="534"/>
      <c r="W60" s="534"/>
      <c r="X60" s="534"/>
      <c r="Y60" s="534"/>
      <c r="Z60" s="534"/>
      <c r="AA60" s="534"/>
      <c r="AB60" s="534"/>
      <c r="AC60" s="534"/>
      <c r="AD60" s="535"/>
      <c r="AF60" s="87">
        <f>16*3000</f>
        <v>48000</v>
      </c>
    </row>
    <row r="61" spans="1:32" ht="27.75" thickBot="1">
      <c r="A61" s="522" t="s">
        <v>488</v>
      </c>
      <c r="B61" s="522"/>
      <c r="C61" s="522"/>
      <c r="D61" s="522"/>
      <c r="E61" s="522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523" t="s">
        <v>113</v>
      </c>
      <c r="B62" s="515"/>
      <c r="C62" s="324" t="s">
        <v>2</v>
      </c>
      <c r="D62" s="324" t="s">
        <v>37</v>
      </c>
      <c r="E62" s="324" t="s">
        <v>3</v>
      </c>
      <c r="F62" s="515" t="s">
        <v>110</v>
      </c>
      <c r="G62" s="515"/>
      <c r="H62" s="515"/>
      <c r="I62" s="515"/>
      <c r="J62" s="515"/>
      <c r="K62" s="515" t="s">
        <v>39</v>
      </c>
      <c r="L62" s="515"/>
      <c r="M62" s="324" t="s">
        <v>40</v>
      </c>
      <c r="N62" s="515" t="s">
        <v>41</v>
      </c>
      <c r="O62" s="515"/>
      <c r="P62" s="512" t="s">
        <v>42</v>
      </c>
      <c r="Q62" s="514"/>
      <c r="R62" s="512" t="s">
        <v>43</v>
      </c>
      <c r="S62" s="513"/>
      <c r="T62" s="513"/>
      <c r="U62" s="513"/>
      <c r="V62" s="513"/>
      <c r="W62" s="513"/>
      <c r="X62" s="513"/>
      <c r="Y62" s="513"/>
      <c r="Z62" s="513"/>
      <c r="AA62" s="514"/>
      <c r="AB62" s="515" t="s">
        <v>44</v>
      </c>
      <c r="AC62" s="515"/>
      <c r="AD62" s="516"/>
      <c r="AF62" s="87">
        <f>SUM(AF59:AF61)</f>
        <v>96000</v>
      </c>
    </row>
    <row r="63" spans="1:32" ht="25.5" customHeight="1">
      <c r="A63" s="498">
        <v>1</v>
      </c>
      <c r="B63" s="499"/>
      <c r="C63" s="117" t="s">
        <v>288</v>
      </c>
      <c r="D63" s="319"/>
      <c r="E63" s="322" t="s">
        <v>117</v>
      </c>
      <c r="F63" s="500" t="s">
        <v>489</v>
      </c>
      <c r="G63" s="492"/>
      <c r="H63" s="492"/>
      <c r="I63" s="492"/>
      <c r="J63" s="492"/>
      <c r="K63" s="492" t="s">
        <v>457</v>
      </c>
      <c r="L63" s="492"/>
      <c r="M63" s="51" t="s">
        <v>162</v>
      </c>
      <c r="N63" s="501" t="s">
        <v>137</v>
      </c>
      <c r="O63" s="501"/>
      <c r="P63" s="502">
        <v>20</v>
      </c>
      <c r="Q63" s="502"/>
      <c r="R63" s="503"/>
      <c r="S63" s="503"/>
      <c r="T63" s="503"/>
      <c r="U63" s="503"/>
      <c r="V63" s="503"/>
      <c r="W63" s="503"/>
      <c r="X63" s="503"/>
      <c r="Y63" s="503"/>
      <c r="Z63" s="503"/>
      <c r="AA63" s="503"/>
      <c r="AB63" s="507"/>
      <c r="AC63" s="520"/>
      <c r="AD63" s="521"/>
      <c r="AF63" s="50"/>
    </row>
    <row r="64" spans="1:32" ht="25.5" customHeight="1">
      <c r="A64" s="498">
        <v>2</v>
      </c>
      <c r="B64" s="499"/>
      <c r="C64" s="117"/>
      <c r="D64" s="319"/>
      <c r="E64" s="322"/>
      <c r="F64" s="504"/>
      <c r="G64" s="505"/>
      <c r="H64" s="505"/>
      <c r="I64" s="505"/>
      <c r="J64" s="506"/>
      <c r="K64" s="507"/>
      <c r="L64" s="499"/>
      <c r="M64" s="51"/>
      <c r="N64" s="501"/>
      <c r="O64" s="501"/>
      <c r="P64" s="510"/>
      <c r="Q64" s="511"/>
      <c r="R64" s="503"/>
      <c r="S64" s="503"/>
      <c r="T64" s="503"/>
      <c r="U64" s="503"/>
      <c r="V64" s="503"/>
      <c r="W64" s="503"/>
      <c r="X64" s="503"/>
      <c r="Y64" s="503"/>
      <c r="Z64" s="503"/>
      <c r="AA64" s="503"/>
      <c r="AB64" s="492"/>
      <c r="AC64" s="492"/>
      <c r="AD64" s="493"/>
      <c r="AF64" s="50"/>
    </row>
    <row r="65" spans="1:32" ht="25.5" customHeight="1">
      <c r="A65" s="498">
        <v>3</v>
      </c>
      <c r="B65" s="499"/>
      <c r="C65" s="117"/>
      <c r="D65" s="319"/>
      <c r="E65" s="322"/>
      <c r="F65" s="504"/>
      <c r="G65" s="505"/>
      <c r="H65" s="505"/>
      <c r="I65" s="505"/>
      <c r="J65" s="506"/>
      <c r="K65" s="507"/>
      <c r="L65" s="499"/>
      <c r="M65" s="51"/>
      <c r="N65" s="501"/>
      <c r="O65" s="501"/>
      <c r="P65" s="510"/>
      <c r="Q65" s="511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4</v>
      </c>
      <c r="B66" s="499"/>
      <c r="C66" s="117"/>
      <c r="D66" s="319"/>
      <c r="E66" s="322"/>
      <c r="F66" s="504"/>
      <c r="G66" s="505"/>
      <c r="H66" s="505"/>
      <c r="I66" s="505"/>
      <c r="J66" s="506"/>
      <c r="K66" s="507"/>
      <c r="L66" s="499"/>
      <c r="M66" s="51"/>
      <c r="N66" s="508"/>
      <c r="O66" s="509"/>
      <c r="P66" s="510"/>
      <c r="Q66" s="511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5</v>
      </c>
      <c r="B67" s="499"/>
      <c r="C67" s="117"/>
      <c r="D67" s="319"/>
      <c r="E67" s="322"/>
      <c r="F67" s="504"/>
      <c r="G67" s="505"/>
      <c r="H67" s="505"/>
      <c r="I67" s="505"/>
      <c r="J67" s="506"/>
      <c r="K67" s="507"/>
      <c r="L67" s="499"/>
      <c r="M67" s="51"/>
      <c r="N67" s="508"/>
      <c r="O67" s="509"/>
      <c r="P67" s="510"/>
      <c r="Q67" s="511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6</v>
      </c>
      <c r="B68" s="499"/>
      <c r="C68" s="117"/>
      <c r="D68" s="319"/>
      <c r="E68" s="322"/>
      <c r="F68" s="500"/>
      <c r="G68" s="492"/>
      <c r="H68" s="492"/>
      <c r="I68" s="492"/>
      <c r="J68" s="492"/>
      <c r="K68" s="492"/>
      <c r="L68" s="492"/>
      <c r="M68" s="51"/>
      <c r="N68" s="508"/>
      <c r="O68" s="509"/>
      <c r="P68" s="510"/>
      <c r="Q68" s="511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7</v>
      </c>
      <c r="B69" s="499"/>
      <c r="C69" s="117"/>
      <c r="D69" s="319"/>
      <c r="E69" s="322"/>
      <c r="F69" s="500"/>
      <c r="G69" s="492"/>
      <c r="H69" s="492"/>
      <c r="I69" s="492"/>
      <c r="J69" s="492"/>
      <c r="K69" s="492"/>
      <c r="L69" s="492"/>
      <c r="M69" s="51"/>
      <c r="N69" s="508"/>
      <c r="O69" s="509"/>
      <c r="P69" s="510"/>
      <c r="Q69" s="511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8</v>
      </c>
      <c r="B70" s="499"/>
      <c r="C70" s="117"/>
      <c r="D70" s="319"/>
      <c r="E70" s="322"/>
      <c r="F70" s="500"/>
      <c r="G70" s="492"/>
      <c r="H70" s="492"/>
      <c r="I70" s="492"/>
      <c r="J70" s="492"/>
      <c r="K70" s="492"/>
      <c r="L70" s="492"/>
      <c r="M70" s="51"/>
      <c r="N70" s="508"/>
      <c r="O70" s="509"/>
      <c r="P70" s="510"/>
      <c r="Q70" s="511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6.25" customHeight="1" thickBot="1">
      <c r="A71" s="472" t="s">
        <v>490</v>
      </c>
      <c r="B71" s="472"/>
      <c r="C71" s="472"/>
      <c r="D71" s="472"/>
      <c r="E71" s="47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73" t="s">
        <v>113</v>
      </c>
      <c r="B72" s="474"/>
      <c r="C72" s="321" t="s">
        <v>2</v>
      </c>
      <c r="D72" s="321" t="s">
        <v>37</v>
      </c>
      <c r="E72" s="321" t="s">
        <v>3</v>
      </c>
      <c r="F72" s="474" t="s">
        <v>38</v>
      </c>
      <c r="G72" s="474"/>
      <c r="H72" s="474"/>
      <c r="I72" s="474"/>
      <c r="J72" s="474"/>
      <c r="K72" s="494" t="s">
        <v>58</v>
      </c>
      <c r="L72" s="495"/>
      <c r="M72" s="495"/>
      <c r="N72" s="495"/>
      <c r="O72" s="495"/>
      <c r="P72" s="495"/>
      <c r="Q72" s="495"/>
      <c r="R72" s="495"/>
      <c r="S72" s="496"/>
      <c r="T72" s="474" t="s">
        <v>49</v>
      </c>
      <c r="U72" s="474"/>
      <c r="V72" s="494" t="s">
        <v>50</v>
      </c>
      <c r="W72" s="496"/>
      <c r="X72" s="495" t="s">
        <v>51</v>
      </c>
      <c r="Y72" s="495"/>
      <c r="Z72" s="495"/>
      <c r="AA72" s="495"/>
      <c r="AB72" s="495"/>
      <c r="AC72" s="495"/>
      <c r="AD72" s="497"/>
      <c r="AF72" s="50"/>
    </row>
    <row r="73" spans="1:32" ht="33.75" customHeight="1">
      <c r="A73" s="466">
        <v>1</v>
      </c>
      <c r="B73" s="467"/>
      <c r="C73" s="320" t="s">
        <v>114</v>
      </c>
      <c r="D73" s="320"/>
      <c r="E73" s="65" t="s">
        <v>119</v>
      </c>
      <c r="F73" s="481" t="s">
        <v>118</v>
      </c>
      <c r="G73" s="482"/>
      <c r="H73" s="482"/>
      <c r="I73" s="482"/>
      <c r="J73" s="483"/>
      <c r="K73" s="484" t="s">
        <v>130</v>
      </c>
      <c r="L73" s="485"/>
      <c r="M73" s="485"/>
      <c r="N73" s="485"/>
      <c r="O73" s="485"/>
      <c r="P73" s="485"/>
      <c r="Q73" s="485"/>
      <c r="R73" s="485"/>
      <c r="S73" s="486"/>
      <c r="T73" s="487">
        <v>43675</v>
      </c>
      <c r="U73" s="488"/>
      <c r="V73" s="489"/>
      <c r="W73" s="489"/>
      <c r="X73" s="490"/>
      <c r="Y73" s="490"/>
      <c r="Z73" s="490"/>
      <c r="AA73" s="490"/>
      <c r="AB73" s="490"/>
      <c r="AC73" s="490"/>
      <c r="AD73" s="491"/>
      <c r="AF73" s="50"/>
    </row>
    <row r="74" spans="1:32" ht="30" customHeight="1">
      <c r="A74" s="459">
        <f>A73+1</f>
        <v>2</v>
      </c>
      <c r="B74" s="460"/>
      <c r="C74" s="319"/>
      <c r="D74" s="319"/>
      <c r="E74" s="32"/>
      <c r="F74" s="460"/>
      <c r="G74" s="460"/>
      <c r="H74" s="460"/>
      <c r="I74" s="460"/>
      <c r="J74" s="460"/>
      <c r="K74" s="475"/>
      <c r="L74" s="476"/>
      <c r="M74" s="476"/>
      <c r="N74" s="476"/>
      <c r="O74" s="476"/>
      <c r="P74" s="476"/>
      <c r="Q74" s="476"/>
      <c r="R74" s="476"/>
      <c r="S74" s="477"/>
      <c r="T74" s="478"/>
      <c r="U74" s="478"/>
      <c r="V74" s="478"/>
      <c r="W74" s="478"/>
      <c r="X74" s="479"/>
      <c r="Y74" s="479"/>
      <c r="Z74" s="479"/>
      <c r="AA74" s="479"/>
      <c r="AB74" s="479"/>
      <c r="AC74" s="479"/>
      <c r="AD74" s="480"/>
      <c r="AF74" s="50"/>
    </row>
    <row r="75" spans="1:32" ht="30" customHeight="1">
      <c r="A75" s="459">
        <f t="shared" ref="A75:A81" si="13">A74+1</f>
        <v>3</v>
      </c>
      <c r="B75" s="460"/>
      <c r="C75" s="319"/>
      <c r="D75" s="319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si="13"/>
        <v>4</v>
      </c>
      <c r="B76" s="460"/>
      <c r="C76" s="319"/>
      <c r="D76" s="319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13"/>
        <v>5</v>
      </c>
      <c r="B77" s="460"/>
      <c r="C77" s="319"/>
      <c r="D77" s="319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13"/>
        <v>6</v>
      </c>
      <c r="B78" s="460"/>
      <c r="C78" s="319"/>
      <c r="D78" s="319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13"/>
        <v>7</v>
      </c>
      <c r="B79" s="460"/>
      <c r="C79" s="319"/>
      <c r="D79" s="319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13"/>
        <v>8</v>
      </c>
      <c r="B80" s="460"/>
      <c r="C80" s="319"/>
      <c r="D80" s="319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13"/>
        <v>9</v>
      </c>
      <c r="B81" s="460"/>
      <c r="C81" s="319"/>
      <c r="D81" s="319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6" thickBot="1">
      <c r="A82" s="472" t="s">
        <v>491</v>
      </c>
      <c r="B82" s="472"/>
      <c r="C82" s="472"/>
      <c r="D82" s="472"/>
      <c r="E82" s="47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73" t="s">
        <v>113</v>
      </c>
      <c r="B83" s="474"/>
      <c r="C83" s="464" t="s">
        <v>52</v>
      </c>
      <c r="D83" s="464"/>
      <c r="E83" s="464" t="s">
        <v>53</v>
      </c>
      <c r="F83" s="464"/>
      <c r="G83" s="464"/>
      <c r="H83" s="464"/>
      <c r="I83" s="464"/>
      <c r="J83" s="464"/>
      <c r="K83" s="464" t="s">
        <v>54</v>
      </c>
      <c r="L83" s="464"/>
      <c r="M83" s="464"/>
      <c r="N83" s="464"/>
      <c r="O83" s="464"/>
      <c r="P83" s="464"/>
      <c r="Q83" s="464"/>
      <c r="R83" s="464"/>
      <c r="S83" s="464"/>
      <c r="T83" s="464" t="s">
        <v>55</v>
      </c>
      <c r="U83" s="464"/>
      <c r="V83" s="464" t="s">
        <v>56</v>
      </c>
      <c r="W83" s="464"/>
      <c r="X83" s="464"/>
      <c r="Y83" s="464" t="s">
        <v>51</v>
      </c>
      <c r="Z83" s="464"/>
      <c r="AA83" s="464"/>
      <c r="AB83" s="464"/>
      <c r="AC83" s="464"/>
      <c r="AD83" s="465"/>
      <c r="AF83" s="50"/>
    </row>
    <row r="84" spans="1:32" ht="30.75" customHeight="1">
      <c r="A84" s="466">
        <v>1</v>
      </c>
      <c r="B84" s="467"/>
      <c r="C84" s="468"/>
      <c r="D84" s="468"/>
      <c r="E84" s="468"/>
      <c r="F84" s="468"/>
      <c r="G84" s="468"/>
      <c r="H84" s="468"/>
      <c r="I84" s="468"/>
      <c r="J84" s="468"/>
      <c r="K84" s="468"/>
      <c r="L84" s="468"/>
      <c r="M84" s="468"/>
      <c r="N84" s="468"/>
      <c r="O84" s="468"/>
      <c r="P84" s="468"/>
      <c r="Q84" s="468"/>
      <c r="R84" s="468"/>
      <c r="S84" s="468"/>
      <c r="T84" s="468"/>
      <c r="U84" s="468"/>
      <c r="V84" s="469"/>
      <c r="W84" s="469"/>
      <c r="X84" s="469"/>
      <c r="Y84" s="470"/>
      <c r="Z84" s="470"/>
      <c r="AA84" s="470"/>
      <c r="AB84" s="470"/>
      <c r="AC84" s="470"/>
      <c r="AD84" s="471"/>
      <c r="AF84" s="50"/>
    </row>
    <row r="85" spans="1:32" ht="30.75" customHeight="1">
      <c r="A85" s="459">
        <v>2</v>
      </c>
      <c r="B85" s="460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2"/>
      <c r="Z85" s="452"/>
      <c r="AA85" s="452"/>
      <c r="AB85" s="452"/>
      <c r="AC85" s="452"/>
      <c r="AD85" s="453"/>
      <c r="AF85" s="50"/>
    </row>
    <row r="86" spans="1:32" ht="30.75" customHeight="1" thickBot="1">
      <c r="A86" s="454">
        <v>3</v>
      </c>
      <c r="B86" s="455"/>
      <c r="C86" s="456"/>
      <c r="D86" s="456"/>
      <c r="E86" s="456"/>
      <c r="F86" s="456"/>
      <c r="G86" s="456"/>
      <c r="H86" s="456"/>
      <c r="I86" s="456"/>
      <c r="J86" s="456"/>
      <c r="K86" s="456"/>
      <c r="L86" s="456"/>
      <c r="M86" s="456"/>
      <c r="N86" s="456"/>
      <c r="O86" s="456"/>
      <c r="P86" s="456"/>
      <c r="Q86" s="456"/>
      <c r="R86" s="456"/>
      <c r="S86" s="456"/>
      <c r="T86" s="456"/>
      <c r="U86" s="456"/>
      <c r="V86" s="456"/>
      <c r="W86" s="456"/>
      <c r="X86" s="456"/>
      <c r="Y86" s="457"/>
      <c r="Z86" s="457"/>
      <c r="AA86" s="457"/>
      <c r="AB86" s="457"/>
      <c r="AC86" s="457"/>
      <c r="AD86" s="458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0FC3-B843-4192-8832-301F81489B22}"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492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330" t="s">
        <v>17</v>
      </c>
      <c r="L5" s="330" t="s">
        <v>18</v>
      </c>
      <c r="M5" s="330" t="s">
        <v>19</v>
      </c>
      <c r="N5" s="33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0.48055555555555557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0.48055555555555557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352</v>
      </c>
      <c r="E8" s="53" t="s">
        <v>486</v>
      </c>
      <c r="F8" s="30" t="s">
        <v>141</v>
      </c>
      <c r="G8" s="33">
        <v>2</v>
      </c>
      <c r="H8" s="35">
        <v>24</v>
      </c>
      <c r="I8" s="7">
        <v>50000</v>
      </c>
      <c r="J8" s="14">
        <v>4928</v>
      </c>
      <c r="K8" s="15">
        <f>L8</f>
        <v>4928</v>
      </c>
      <c r="L8" s="15">
        <f>2464*2</f>
        <v>4928</v>
      </c>
      <c r="M8" s="15">
        <f t="shared" si="1"/>
        <v>4928</v>
      </c>
      <c r="N8" s="15">
        <v>0</v>
      </c>
      <c r="O8" s="58">
        <f t="shared" si="2"/>
        <v>0</v>
      </c>
      <c r="P8" s="39">
        <f t="shared" si="3"/>
        <v>14</v>
      </c>
      <c r="Q8" s="40">
        <f t="shared" si="4"/>
        <v>10</v>
      </c>
      <c r="R8" s="7"/>
      <c r="S8" s="6"/>
      <c r="T8" s="16">
        <v>10</v>
      </c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0.58333333333333337</v>
      </c>
      <c r="AD8" s="10">
        <f t="shared" si="7"/>
        <v>0.58333333333333337</v>
      </c>
      <c r="AE8" s="36">
        <f t="shared" si="8"/>
        <v>0.48055555555555557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5214</v>
      </c>
      <c r="K9" s="15">
        <f>L9+1036+2500+4639+2951+2392+2902+2784+3566+4110+4299+4289+1910+4734+4854+3892+4611+3795+5160+1762+3528</f>
        <v>74928</v>
      </c>
      <c r="L9" s="15">
        <f>2334+340+2540</f>
        <v>5214</v>
      </c>
      <c r="M9" s="15">
        <f t="shared" si="1"/>
        <v>5214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0.48055555555555557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285</v>
      </c>
      <c r="E10" s="53" t="s">
        <v>470</v>
      </c>
      <c r="F10" s="30" t="s">
        <v>477</v>
      </c>
      <c r="G10" s="33">
        <v>16</v>
      </c>
      <c r="H10" s="35">
        <v>24</v>
      </c>
      <c r="I10" s="7">
        <v>300000</v>
      </c>
      <c r="J10" s="5">
        <v>107344</v>
      </c>
      <c r="K10" s="15">
        <f>L10+92704</f>
        <v>200048</v>
      </c>
      <c r="L10" s="15">
        <f>3385*16+3324*16</f>
        <v>107344</v>
      </c>
      <c r="M10" s="15">
        <f t="shared" si="1"/>
        <v>107344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0.48055555555555557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138</v>
      </c>
      <c r="D11" s="52" t="s">
        <v>461</v>
      </c>
      <c r="E11" s="53" t="s">
        <v>462</v>
      </c>
      <c r="F11" s="30" t="s">
        <v>417</v>
      </c>
      <c r="G11" s="33">
        <v>1</v>
      </c>
      <c r="H11" s="35">
        <v>24</v>
      </c>
      <c r="I11" s="7">
        <v>7500</v>
      </c>
      <c r="J11" s="5">
        <v>2315</v>
      </c>
      <c r="K11" s="15">
        <f>L11+589+1007+5932</f>
        <v>9843</v>
      </c>
      <c r="L11" s="15">
        <v>2315</v>
      </c>
      <c r="M11" s="15">
        <f t="shared" si="1"/>
        <v>2315</v>
      </c>
      <c r="N11" s="15">
        <v>0</v>
      </c>
      <c r="O11" s="58">
        <f t="shared" si="2"/>
        <v>0</v>
      </c>
      <c r="P11" s="39">
        <f t="shared" si="3"/>
        <v>13</v>
      </c>
      <c r="Q11" s="40">
        <f t="shared" si="4"/>
        <v>11</v>
      </c>
      <c r="R11" s="7"/>
      <c r="S11" s="6">
        <v>11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0.54166666666666663</v>
      </c>
      <c r="AD11" s="10">
        <f>AC11*AB11*(1-O11)</f>
        <v>0.54166666666666663</v>
      </c>
      <c r="AE11" s="36">
        <f t="shared" si="8"/>
        <v>0.48055555555555557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144</v>
      </c>
      <c r="F12" s="30" t="s">
        <v>121</v>
      </c>
      <c r="G12" s="33">
        <v>1</v>
      </c>
      <c r="H12" s="35">
        <v>24</v>
      </c>
      <c r="I12" s="7">
        <v>70000</v>
      </c>
      <c r="J12" s="14">
        <v>3148</v>
      </c>
      <c r="K12" s="15">
        <f>L12+2036+3193+2673+3958+1875+401+3155+4199+2859+2339+1952+1208+2933+3415+1960+4032+870+1602+872+2860</f>
        <v>51540</v>
      </c>
      <c r="L12" s="15">
        <f>2026+1122</f>
        <v>3148</v>
      </c>
      <c r="M12" s="15">
        <f t="shared" si="1"/>
        <v>3148</v>
      </c>
      <c r="N12" s="15">
        <v>0</v>
      </c>
      <c r="O12" s="58">
        <f t="shared" si="2"/>
        <v>0</v>
      </c>
      <c r="P12" s="39">
        <f t="shared" si="3"/>
        <v>19</v>
      </c>
      <c r="Q12" s="40">
        <f t="shared" si="4"/>
        <v>5</v>
      </c>
      <c r="R12" s="7"/>
      <c r="S12" s="6">
        <v>5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0.79166666666666663</v>
      </c>
      <c r="AD12" s="10">
        <f t="shared" ref="AD12:AD13" si="10">AC12*AB12*(1-O12)</f>
        <v>0.79166666666666663</v>
      </c>
      <c r="AE12" s="36">
        <f t="shared" si="8"/>
        <v>0.48055555555555557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128</v>
      </c>
      <c r="D13" s="52" t="s">
        <v>117</v>
      </c>
      <c r="E13" s="53" t="s">
        <v>189</v>
      </c>
      <c r="F13" s="30" t="s">
        <v>190</v>
      </c>
      <c r="G13" s="33">
        <v>2</v>
      </c>
      <c r="H13" s="35">
        <v>24</v>
      </c>
      <c r="I13" s="7">
        <v>30000</v>
      </c>
      <c r="J13" s="14">
        <v>7110</v>
      </c>
      <c r="K13" s="15">
        <f>L13+8032+4920+5646</f>
        <v>25708</v>
      </c>
      <c r="L13" s="15">
        <f>1951*2+1604*2</f>
        <v>7110</v>
      </c>
      <c r="M13" s="15">
        <f t="shared" si="1"/>
        <v>7110</v>
      </c>
      <c r="N13" s="15">
        <v>0</v>
      </c>
      <c r="O13" s="58">
        <f t="shared" si="2"/>
        <v>0</v>
      </c>
      <c r="P13" s="39">
        <f t="shared" si="3"/>
        <v>18</v>
      </c>
      <c r="Q13" s="40">
        <f t="shared" si="4"/>
        <v>6</v>
      </c>
      <c r="R13" s="7"/>
      <c r="S13" s="6">
        <v>6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0.75</v>
      </c>
      <c r="AD13" s="10">
        <f t="shared" si="10"/>
        <v>0.75</v>
      </c>
      <c r="AE13" s="36">
        <f t="shared" si="8"/>
        <v>0.48055555555555557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381</v>
      </c>
      <c r="D14" s="52"/>
      <c r="E14" s="53" t="s">
        <v>382</v>
      </c>
      <c r="F14" s="30" t="s">
        <v>383</v>
      </c>
      <c r="G14" s="33">
        <v>1</v>
      </c>
      <c r="H14" s="35">
        <v>24</v>
      </c>
      <c r="I14" s="7">
        <v>200</v>
      </c>
      <c r="J14" s="5">
        <v>318</v>
      </c>
      <c r="K14" s="15">
        <f>L14+318</f>
        <v>318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0.48055555555555557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493</v>
      </c>
      <c r="D15" s="52"/>
      <c r="E15" s="53" t="s">
        <v>494</v>
      </c>
      <c r="F15" s="12" t="s">
        <v>495</v>
      </c>
      <c r="G15" s="12">
        <v>8</v>
      </c>
      <c r="H15" s="13">
        <v>24</v>
      </c>
      <c r="I15" s="31">
        <v>20000</v>
      </c>
      <c r="J15" s="14">
        <v>3622</v>
      </c>
      <c r="K15" s="15">
        <f>L15</f>
        <v>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0.48055555555555557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125</v>
      </c>
      <c r="E16" s="53" t="s">
        <v>149</v>
      </c>
      <c r="F16" s="30" t="s">
        <v>126</v>
      </c>
      <c r="G16" s="12">
        <v>1</v>
      </c>
      <c r="H16" s="13">
        <v>28</v>
      </c>
      <c r="I16" s="7">
        <v>50000</v>
      </c>
      <c r="J16" s="14">
        <v>2312</v>
      </c>
      <c r="K16" s="15">
        <f>L16</f>
        <v>2312</v>
      </c>
      <c r="L16" s="15">
        <f>2312</f>
        <v>2312</v>
      </c>
      <c r="M16" s="15">
        <f t="shared" si="1"/>
        <v>2312</v>
      </c>
      <c r="N16" s="15">
        <v>0</v>
      </c>
      <c r="O16" s="58">
        <f t="shared" si="2"/>
        <v>0</v>
      </c>
      <c r="P16" s="39">
        <f t="shared" si="3"/>
        <v>12</v>
      </c>
      <c r="Q16" s="40">
        <f t="shared" si="4"/>
        <v>12</v>
      </c>
      <c r="R16" s="7"/>
      <c r="S16" s="6">
        <v>12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0.5</v>
      </c>
      <c r="AD16" s="10">
        <f t="shared" si="7"/>
        <v>0.5</v>
      </c>
      <c r="AE16" s="36">
        <f t="shared" si="8"/>
        <v>0.48055555555555557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449</v>
      </c>
      <c r="E17" s="53" t="s">
        <v>441</v>
      </c>
      <c r="F17" s="30" t="s">
        <v>249</v>
      </c>
      <c r="G17" s="33">
        <v>1</v>
      </c>
      <c r="H17" s="35">
        <v>24</v>
      </c>
      <c r="I17" s="7">
        <v>24000</v>
      </c>
      <c r="J17" s="5">
        <v>5412</v>
      </c>
      <c r="K17" s="15">
        <f>L17+5168+2206+4833</f>
        <v>17619</v>
      </c>
      <c r="L17" s="15">
        <f>3204+2208</f>
        <v>5412</v>
      </c>
      <c r="M17" s="15">
        <f t="shared" si="1"/>
        <v>5412</v>
      </c>
      <c r="N17" s="15">
        <v>0</v>
      </c>
      <c r="O17" s="58">
        <f t="shared" si="2"/>
        <v>0</v>
      </c>
      <c r="P17" s="39">
        <f t="shared" si="3"/>
        <v>22</v>
      </c>
      <c r="Q17" s="40">
        <f t="shared" si="4"/>
        <v>2</v>
      </c>
      <c r="R17" s="7"/>
      <c r="S17" s="6">
        <v>2</v>
      </c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0.91666666666666663</v>
      </c>
      <c r="AD17" s="10">
        <f t="shared" si="7"/>
        <v>0.91666666666666663</v>
      </c>
      <c r="AE17" s="36">
        <f t="shared" si="8"/>
        <v>0.48055555555555557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122</v>
      </c>
      <c r="E18" s="53" t="s">
        <v>147</v>
      </c>
      <c r="F18" s="30" t="s">
        <v>123</v>
      </c>
      <c r="G18" s="33">
        <v>1</v>
      </c>
      <c r="H18" s="35">
        <v>24</v>
      </c>
      <c r="I18" s="7">
        <v>60000</v>
      </c>
      <c r="J18" s="5">
        <v>701</v>
      </c>
      <c r="K18" s="15">
        <f>L18+1915+5043+1754+4429+1736+4741+3615+930+3442</f>
        <v>28306</v>
      </c>
      <c r="L18" s="15">
        <f>701</f>
        <v>701</v>
      </c>
      <c r="M18" s="15">
        <f t="shared" si="1"/>
        <v>701</v>
      </c>
      <c r="N18" s="15">
        <v>0</v>
      </c>
      <c r="O18" s="58">
        <f t="shared" si="2"/>
        <v>0</v>
      </c>
      <c r="P18" s="39">
        <f t="shared" si="3"/>
        <v>4</v>
      </c>
      <c r="Q18" s="40">
        <f t="shared" si="4"/>
        <v>20</v>
      </c>
      <c r="R18" s="7"/>
      <c r="S18" s="6">
        <v>20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0.16666666666666666</v>
      </c>
      <c r="AD18" s="10">
        <f>AC18*AB18*(1-O18)</f>
        <v>0.16666666666666666</v>
      </c>
      <c r="AE18" s="36">
        <f t="shared" si="8"/>
        <v>0.48055555555555557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114</v>
      </c>
      <c r="D19" s="52" t="s">
        <v>117</v>
      </c>
      <c r="E19" s="53" t="s">
        <v>496</v>
      </c>
      <c r="F19" s="30" t="s">
        <v>123</v>
      </c>
      <c r="G19" s="33">
        <v>1</v>
      </c>
      <c r="H19" s="35">
        <v>24</v>
      </c>
      <c r="I19" s="7">
        <v>2000</v>
      </c>
      <c r="J19" s="14">
        <v>2072</v>
      </c>
      <c r="K19" s="15">
        <f>L19</f>
        <v>2072</v>
      </c>
      <c r="L19" s="15">
        <f>552+1520</f>
        <v>2072</v>
      </c>
      <c r="M19" s="15">
        <f t="shared" si="1"/>
        <v>2072</v>
      </c>
      <c r="N19" s="15">
        <v>0</v>
      </c>
      <c r="O19" s="58">
        <f t="shared" si="2"/>
        <v>0</v>
      </c>
      <c r="P19" s="39">
        <f t="shared" si="3"/>
        <v>10</v>
      </c>
      <c r="Q19" s="40">
        <f t="shared" si="4"/>
        <v>14</v>
      </c>
      <c r="R19" s="7"/>
      <c r="S19" s="6">
        <v>10</v>
      </c>
      <c r="T19" s="16">
        <v>4</v>
      </c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0.41666666666666669</v>
      </c>
      <c r="AD19" s="10">
        <f t="shared" si="7"/>
        <v>0.41666666666666669</v>
      </c>
      <c r="AE19" s="36">
        <f t="shared" si="8"/>
        <v>0.48055555555555557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268</v>
      </c>
      <c r="F20" s="12" t="s">
        <v>116</v>
      </c>
      <c r="G20" s="12">
        <v>4</v>
      </c>
      <c r="H20" s="35">
        <v>20</v>
      </c>
      <c r="I20" s="7">
        <v>200000</v>
      </c>
      <c r="J20" s="14">
        <v>30099</v>
      </c>
      <c r="K20" s="15">
        <f>L20</f>
        <v>30099</v>
      </c>
      <c r="L20" s="15">
        <f>10033*3</f>
        <v>30099</v>
      </c>
      <c r="M20" s="15">
        <f t="shared" si="1"/>
        <v>30099</v>
      </c>
      <c r="N20" s="15">
        <v>0</v>
      </c>
      <c r="O20" s="58">
        <f t="shared" si="2"/>
        <v>0</v>
      </c>
      <c r="P20" s="39">
        <f t="shared" si="3"/>
        <v>13</v>
      </c>
      <c r="Q20" s="40">
        <f t="shared" si="4"/>
        <v>11</v>
      </c>
      <c r="R20" s="7"/>
      <c r="S20" s="6"/>
      <c r="T20" s="16"/>
      <c r="U20" s="16"/>
      <c r="V20" s="17">
        <v>11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0.54166666666666663</v>
      </c>
      <c r="AD20" s="10">
        <f t="shared" si="7"/>
        <v>0.54166666666666663</v>
      </c>
      <c r="AE20" s="36">
        <f t="shared" si="8"/>
        <v>0.48055555555555557</v>
      </c>
      <c r="AF20" s="87">
        <f t="shared" si="9"/>
        <v>15</v>
      </c>
    </row>
    <row r="21" spans="1:32" ht="31.5" customHeight="1" thickBot="1">
      <c r="A21" s="541" t="s">
        <v>34</v>
      </c>
      <c r="B21" s="542"/>
      <c r="C21" s="542"/>
      <c r="D21" s="542"/>
      <c r="E21" s="542"/>
      <c r="F21" s="542"/>
      <c r="G21" s="542"/>
      <c r="H21" s="543"/>
      <c r="I21" s="22">
        <f t="shared" ref="I21:N21" si="11">SUM(I6:I20)</f>
        <v>904700</v>
      </c>
      <c r="J21" s="19">
        <f t="shared" si="11"/>
        <v>176656</v>
      </c>
      <c r="K21" s="20">
        <f t="shared" si="11"/>
        <v>459269</v>
      </c>
      <c r="L21" s="21">
        <f t="shared" si="11"/>
        <v>170655</v>
      </c>
      <c r="M21" s="20">
        <f t="shared" si="11"/>
        <v>170655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173</v>
      </c>
      <c r="Q21" s="43">
        <f t="shared" si="12"/>
        <v>187</v>
      </c>
      <c r="R21" s="23">
        <f t="shared" si="12"/>
        <v>24</v>
      </c>
      <c r="S21" s="24">
        <f t="shared" si="12"/>
        <v>90</v>
      </c>
      <c r="T21" s="24">
        <f t="shared" si="12"/>
        <v>14</v>
      </c>
      <c r="U21" s="24">
        <f t="shared" si="12"/>
        <v>0</v>
      </c>
      <c r="V21" s="25">
        <f t="shared" si="12"/>
        <v>35</v>
      </c>
      <c r="W21" s="26">
        <f t="shared" si="12"/>
        <v>24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0.73333333333333328</v>
      </c>
      <c r="AC21" s="4">
        <f>SUM(AC6:AC20)/15</f>
        <v>0.48055555555555557</v>
      </c>
      <c r="AD21" s="4">
        <f>SUM(AD6:AD20)/15</f>
        <v>0.48055555555555557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44" t="s">
        <v>45</v>
      </c>
      <c r="B48" s="544"/>
      <c r="C48" s="544"/>
      <c r="D48" s="544"/>
      <c r="E48" s="54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45" t="s">
        <v>497</v>
      </c>
      <c r="B49" s="546"/>
      <c r="C49" s="546"/>
      <c r="D49" s="546"/>
      <c r="E49" s="546"/>
      <c r="F49" s="546"/>
      <c r="G49" s="546"/>
      <c r="H49" s="546"/>
      <c r="I49" s="546"/>
      <c r="J49" s="546"/>
      <c r="K49" s="546"/>
      <c r="L49" s="546"/>
      <c r="M49" s="547"/>
      <c r="N49" s="548" t="s">
        <v>503</v>
      </c>
      <c r="O49" s="549"/>
      <c r="P49" s="549"/>
      <c r="Q49" s="549"/>
      <c r="R49" s="549"/>
      <c r="S49" s="549"/>
      <c r="T49" s="549"/>
      <c r="U49" s="549"/>
      <c r="V49" s="549"/>
      <c r="W49" s="549"/>
      <c r="X49" s="549"/>
      <c r="Y49" s="549"/>
      <c r="Z49" s="549"/>
      <c r="AA49" s="549"/>
      <c r="AB49" s="549"/>
      <c r="AC49" s="549"/>
      <c r="AD49" s="550"/>
    </row>
    <row r="50" spans="1:32" ht="27" customHeight="1">
      <c r="A50" s="551" t="s">
        <v>2</v>
      </c>
      <c r="B50" s="552"/>
      <c r="C50" s="331" t="s">
        <v>46</v>
      </c>
      <c r="D50" s="331" t="s">
        <v>47</v>
      </c>
      <c r="E50" s="331" t="s">
        <v>108</v>
      </c>
      <c r="F50" s="552" t="s">
        <v>107</v>
      </c>
      <c r="G50" s="552"/>
      <c r="H50" s="552"/>
      <c r="I50" s="552"/>
      <c r="J50" s="552"/>
      <c r="K50" s="552"/>
      <c r="L50" s="552"/>
      <c r="M50" s="553"/>
      <c r="N50" s="67" t="s">
        <v>112</v>
      </c>
      <c r="O50" s="331" t="s">
        <v>46</v>
      </c>
      <c r="P50" s="554" t="s">
        <v>47</v>
      </c>
      <c r="Q50" s="555"/>
      <c r="R50" s="554" t="s">
        <v>38</v>
      </c>
      <c r="S50" s="556"/>
      <c r="T50" s="556"/>
      <c r="U50" s="555"/>
      <c r="V50" s="554" t="s">
        <v>48</v>
      </c>
      <c r="W50" s="556"/>
      <c r="X50" s="556"/>
      <c r="Y50" s="556"/>
      <c r="Z50" s="556"/>
      <c r="AA50" s="556"/>
      <c r="AB50" s="556"/>
      <c r="AC50" s="556"/>
      <c r="AD50" s="557"/>
    </row>
    <row r="51" spans="1:32" ht="27" customHeight="1">
      <c r="A51" s="524" t="s">
        <v>124</v>
      </c>
      <c r="B51" s="525"/>
      <c r="C51" s="333" t="s">
        <v>170</v>
      </c>
      <c r="D51" s="333" t="s">
        <v>352</v>
      </c>
      <c r="E51" s="333" t="s">
        <v>486</v>
      </c>
      <c r="F51" s="517" t="s">
        <v>120</v>
      </c>
      <c r="G51" s="518"/>
      <c r="H51" s="518"/>
      <c r="I51" s="518"/>
      <c r="J51" s="518"/>
      <c r="K51" s="518"/>
      <c r="L51" s="518"/>
      <c r="M51" s="526"/>
      <c r="N51" s="332" t="s">
        <v>114</v>
      </c>
      <c r="O51" s="337" t="s">
        <v>131</v>
      </c>
      <c r="P51" s="536" t="s">
        <v>142</v>
      </c>
      <c r="Q51" s="537"/>
      <c r="R51" s="536" t="s">
        <v>504</v>
      </c>
      <c r="S51" s="538"/>
      <c r="T51" s="538"/>
      <c r="U51" s="537"/>
      <c r="V51" s="503" t="s">
        <v>299</v>
      </c>
      <c r="W51" s="503"/>
      <c r="X51" s="503"/>
      <c r="Y51" s="503"/>
      <c r="Z51" s="503"/>
      <c r="AA51" s="503"/>
      <c r="AB51" s="503"/>
      <c r="AC51" s="503"/>
      <c r="AD51" s="527"/>
    </row>
    <row r="52" spans="1:32" ht="27" customHeight="1">
      <c r="A52" s="524" t="s">
        <v>114</v>
      </c>
      <c r="B52" s="525"/>
      <c r="C52" s="333" t="s">
        <v>150</v>
      </c>
      <c r="D52" s="333" t="s">
        <v>117</v>
      </c>
      <c r="E52" s="333" t="s">
        <v>144</v>
      </c>
      <c r="F52" s="517" t="s">
        <v>157</v>
      </c>
      <c r="G52" s="518"/>
      <c r="H52" s="518"/>
      <c r="I52" s="518"/>
      <c r="J52" s="518"/>
      <c r="K52" s="518"/>
      <c r="L52" s="518"/>
      <c r="M52" s="526"/>
      <c r="N52" s="332" t="s">
        <v>128</v>
      </c>
      <c r="O52" s="337" t="s">
        <v>179</v>
      </c>
      <c r="P52" s="536" t="s">
        <v>117</v>
      </c>
      <c r="Q52" s="537"/>
      <c r="R52" s="536" t="s">
        <v>189</v>
      </c>
      <c r="S52" s="538"/>
      <c r="T52" s="538"/>
      <c r="U52" s="537"/>
      <c r="V52" s="503" t="s">
        <v>487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114</v>
      </c>
      <c r="B53" s="525"/>
      <c r="C53" s="333" t="s">
        <v>234</v>
      </c>
      <c r="D53" s="333" t="s">
        <v>122</v>
      </c>
      <c r="E53" s="333" t="s">
        <v>147</v>
      </c>
      <c r="F53" s="517" t="s">
        <v>498</v>
      </c>
      <c r="G53" s="518"/>
      <c r="H53" s="518"/>
      <c r="I53" s="518"/>
      <c r="J53" s="518"/>
      <c r="K53" s="518"/>
      <c r="L53" s="518"/>
      <c r="M53" s="526"/>
      <c r="N53" s="332" t="s">
        <v>124</v>
      </c>
      <c r="O53" s="337" t="s">
        <v>171</v>
      </c>
      <c r="P53" s="536" t="s">
        <v>117</v>
      </c>
      <c r="Q53" s="537"/>
      <c r="R53" s="536" t="s">
        <v>393</v>
      </c>
      <c r="S53" s="538"/>
      <c r="T53" s="538"/>
      <c r="U53" s="537"/>
      <c r="V53" s="503" t="s">
        <v>157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114</v>
      </c>
      <c r="B54" s="525"/>
      <c r="C54" s="333" t="s">
        <v>163</v>
      </c>
      <c r="D54" s="333" t="s">
        <v>237</v>
      </c>
      <c r="E54" s="333" t="s">
        <v>441</v>
      </c>
      <c r="F54" s="517" t="s">
        <v>499</v>
      </c>
      <c r="G54" s="518"/>
      <c r="H54" s="518"/>
      <c r="I54" s="518"/>
      <c r="J54" s="518"/>
      <c r="K54" s="518"/>
      <c r="L54" s="518"/>
      <c r="M54" s="526"/>
      <c r="N54" s="332" t="s">
        <v>124</v>
      </c>
      <c r="O54" s="337" t="s">
        <v>132</v>
      </c>
      <c r="P54" s="536" t="s">
        <v>183</v>
      </c>
      <c r="Q54" s="537"/>
      <c r="R54" s="536" t="s">
        <v>287</v>
      </c>
      <c r="S54" s="538"/>
      <c r="T54" s="538"/>
      <c r="U54" s="537"/>
      <c r="V54" s="503" t="s">
        <v>120</v>
      </c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114</v>
      </c>
      <c r="B55" s="525"/>
      <c r="C55" s="333" t="s">
        <v>295</v>
      </c>
      <c r="D55" s="333" t="s">
        <v>125</v>
      </c>
      <c r="E55" s="333" t="s">
        <v>149</v>
      </c>
      <c r="F55" s="517" t="s">
        <v>500</v>
      </c>
      <c r="G55" s="518"/>
      <c r="H55" s="518"/>
      <c r="I55" s="518"/>
      <c r="J55" s="518"/>
      <c r="K55" s="518"/>
      <c r="L55" s="518"/>
      <c r="M55" s="526"/>
      <c r="N55" s="332" t="s">
        <v>114</v>
      </c>
      <c r="O55" s="337" t="s">
        <v>234</v>
      </c>
      <c r="P55" s="536" t="s">
        <v>122</v>
      </c>
      <c r="Q55" s="537"/>
      <c r="R55" s="536" t="s">
        <v>147</v>
      </c>
      <c r="S55" s="538"/>
      <c r="T55" s="538"/>
      <c r="U55" s="537"/>
      <c r="V55" s="503" t="s">
        <v>157</v>
      </c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 t="s">
        <v>114</v>
      </c>
      <c r="B56" s="525"/>
      <c r="C56" s="333" t="s">
        <v>171</v>
      </c>
      <c r="D56" s="333" t="s">
        <v>117</v>
      </c>
      <c r="E56" s="333" t="s">
        <v>496</v>
      </c>
      <c r="F56" s="517" t="s">
        <v>229</v>
      </c>
      <c r="G56" s="518"/>
      <c r="H56" s="518"/>
      <c r="I56" s="518"/>
      <c r="J56" s="518"/>
      <c r="K56" s="518"/>
      <c r="L56" s="518"/>
      <c r="M56" s="526"/>
      <c r="N56" s="332" t="s">
        <v>493</v>
      </c>
      <c r="O56" s="337" t="s">
        <v>217</v>
      </c>
      <c r="P56" s="536"/>
      <c r="Q56" s="537"/>
      <c r="R56" s="525" t="s">
        <v>494</v>
      </c>
      <c r="S56" s="525"/>
      <c r="T56" s="525"/>
      <c r="U56" s="525"/>
      <c r="V56" s="503" t="s">
        <v>157</v>
      </c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 t="s">
        <v>128</v>
      </c>
      <c r="B57" s="525"/>
      <c r="C57" s="333" t="s">
        <v>179</v>
      </c>
      <c r="D57" s="333" t="s">
        <v>117</v>
      </c>
      <c r="E57" s="333" t="s">
        <v>189</v>
      </c>
      <c r="F57" s="517" t="s">
        <v>484</v>
      </c>
      <c r="G57" s="518"/>
      <c r="H57" s="518"/>
      <c r="I57" s="518"/>
      <c r="J57" s="518"/>
      <c r="K57" s="518"/>
      <c r="L57" s="518"/>
      <c r="M57" s="526"/>
      <c r="N57" s="332"/>
      <c r="O57" s="337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 t="s">
        <v>138</v>
      </c>
      <c r="B58" s="525"/>
      <c r="C58" s="333" t="s">
        <v>132</v>
      </c>
      <c r="D58" s="333"/>
      <c r="E58" s="333" t="s">
        <v>501</v>
      </c>
      <c r="F58" s="517" t="s">
        <v>502</v>
      </c>
      <c r="G58" s="518"/>
      <c r="H58" s="518"/>
      <c r="I58" s="518"/>
      <c r="J58" s="518"/>
      <c r="K58" s="518"/>
      <c r="L58" s="518"/>
      <c r="M58" s="526"/>
      <c r="N58" s="332"/>
      <c r="O58" s="337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 t="s">
        <v>115</v>
      </c>
      <c r="B59" s="525"/>
      <c r="C59" s="333" t="s">
        <v>371</v>
      </c>
      <c r="D59" s="333"/>
      <c r="E59" s="333" t="s">
        <v>268</v>
      </c>
      <c r="F59" s="517" t="s">
        <v>120</v>
      </c>
      <c r="G59" s="518"/>
      <c r="H59" s="518"/>
      <c r="I59" s="518"/>
      <c r="J59" s="518"/>
      <c r="K59" s="518"/>
      <c r="L59" s="518"/>
      <c r="M59" s="526"/>
      <c r="N59" s="332"/>
      <c r="O59" s="337"/>
      <c r="P59" s="525"/>
      <c r="Q59" s="525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  <c r="AF59" s="87">
        <f>8*3000</f>
        <v>24000</v>
      </c>
    </row>
    <row r="60" spans="1:32" ht="27" customHeight="1" thickBot="1">
      <c r="A60" s="528" t="s">
        <v>493</v>
      </c>
      <c r="B60" s="529"/>
      <c r="C60" s="334" t="s">
        <v>217</v>
      </c>
      <c r="D60" s="334"/>
      <c r="E60" s="334" t="s">
        <v>494</v>
      </c>
      <c r="F60" s="530" t="s">
        <v>506</v>
      </c>
      <c r="G60" s="531"/>
      <c r="H60" s="531"/>
      <c r="I60" s="531"/>
      <c r="J60" s="531"/>
      <c r="K60" s="531"/>
      <c r="L60" s="531"/>
      <c r="M60" s="532"/>
      <c r="N60" s="124"/>
      <c r="O60" s="114"/>
      <c r="P60" s="533"/>
      <c r="Q60" s="533"/>
      <c r="R60" s="533"/>
      <c r="S60" s="533"/>
      <c r="T60" s="533"/>
      <c r="U60" s="533"/>
      <c r="V60" s="534"/>
      <c r="W60" s="534"/>
      <c r="X60" s="534"/>
      <c r="Y60" s="534"/>
      <c r="Z60" s="534"/>
      <c r="AA60" s="534"/>
      <c r="AB60" s="534"/>
      <c r="AC60" s="534"/>
      <c r="AD60" s="535"/>
      <c r="AF60" s="87">
        <f>16*3000</f>
        <v>48000</v>
      </c>
    </row>
    <row r="61" spans="1:32" ht="27.75" thickBot="1">
      <c r="A61" s="522" t="s">
        <v>505</v>
      </c>
      <c r="B61" s="522"/>
      <c r="C61" s="522"/>
      <c r="D61" s="522"/>
      <c r="E61" s="522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523" t="s">
        <v>113</v>
      </c>
      <c r="B62" s="515"/>
      <c r="C62" s="335" t="s">
        <v>2</v>
      </c>
      <c r="D62" s="335" t="s">
        <v>37</v>
      </c>
      <c r="E62" s="335" t="s">
        <v>3</v>
      </c>
      <c r="F62" s="515" t="s">
        <v>110</v>
      </c>
      <c r="G62" s="515"/>
      <c r="H62" s="515"/>
      <c r="I62" s="515"/>
      <c r="J62" s="515"/>
      <c r="K62" s="515" t="s">
        <v>39</v>
      </c>
      <c r="L62" s="515"/>
      <c r="M62" s="335" t="s">
        <v>40</v>
      </c>
      <c r="N62" s="515" t="s">
        <v>41</v>
      </c>
      <c r="O62" s="515"/>
      <c r="P62" s="512" t="s">
        <v>42</v>
      </c>
      <c r="Q62" s="514"/>
      <c r="R62" s="512" t="s">
        <v>43</v>
      </c>
      <c r="S62" s="513"/>
      <c r="T62" s="513"/>
      <c r="U62" s="513"/>
      <c r="V62" s="513"/>
      <c r="W62" s="513"/>
      <c r="X62" s="513"/>
      <c r="Y62" s="513"/>
      <c r="Z62" s="513"/>
      <c r="AA62" s="514"/>
      <c r="AB62" s="515" t="s">
        <v>44</v>
      </c>
      <c r="AC62" s="515"/>
      <c r="AD62" s="516"/>
      <c r="AF62" s="87">
        <f>SUM(AF59:AF61)</f>
        <v>96000</v>
      </c>
    </row>
    <row r="63" spans="1:32" ht="25.5" customHeight="1">
      <c r="A63" s="498">
        <v>1</v>
      </c>
      <c r="B63" s="499"/>
      <c r="C63" s="117" t="s">
        <v>114</v>
      </c>
      <c r="D63" s="339"/>
      <c r="E63" s="336" t="s">
        <v>449</v>
      </c>
      <c r="F63" s="500" t="s">
        <v>507</v>
      </c>
      <c r="G63" s="492"/>
      <c r="H63" s="492"/>
      <c r="I63" s="492"/>
      <c r="J63" s="492"/>
      <c r="K63" s="492" t="s">
        <v>133</v>
      </c>
      <c r="L63" s="492"/>
      <c r="M63" s="51" t="s">
        <v>162</v>
      </c>
      <c r="N63" s="501" t="s">
        <v>217</v>
      </c>
      <c r="O63" s="501"/>
      <c r="P63" s="502">
        <v>200</v>
      </c>
      <c r="Q63" s="502"/>
      <c r="R63" s="503"/>
      <c r="S63" s="503"/>
      <c r="T63" s="503"/>
      <c r="U63" s="503"/>
      <c r="V63" s="503"/>
      <c r="W63" s="503"/>
      <c r="X63" s="503"/>
      <c r="Y63" s="503"/>
      <c r="Z63" s="503"/>
      <c r="AA63" s="503"/>
      <c r="AB63" s="507"/>
      <c r="AC63" s="520"/>
      <c r="AD63" s="521"/>
      <c r="AF63" s="50"/>
    </row>
    <row r="64" spans="1:32" ht="25.5" customHeight="1">
      <c r="A64" s="498">
        <v>2</v>
      </c>
      <c r="B64" s="499"/>
      <c r="C64" s="117"/>
      <c r="D64" s="339"/>
      <c r="E64" s="336"/>
      <c r="F64" s="504"/>
      <c r="G64" s="505"/>
      <c r="H64" s="505"/>
      <c r="I64" s="505"/>
      <c r="J64" s="506"/>
      <c r="K64" s="507"/>
      <c r="L64" s="499"/>
      <c r="M64" s="51"/>
      <c r="N64" s="501"/>
      <c r="O64" s="501"/>
      <c r="P64" s="510"/>
      <c r="Q64" s="511"/>
      <c r="R64" s="503"/>
      <c r="S64" s="503"/>
      <c r="T64" s="503"/>
      <c r="U64" s="503"/>
      <c r="V64" s="503"/>
      <c r="W64" s="503"/>
      <c r="X64" s="503"/>
      <c r="Y64" s="503"/>
      <c r="Z64" s="503"/>
      <c r="AA64" s="503"/>
      <c r="AB64" s="492"/>
      <c r="AC64" s="492"/>
      <c r="AD64" s="493"/>
      <c r="AF64" s="50"/>
    </row>
    <row r="65" spans="1:32" ht="25.5" customHeight="1">
      <c r="A65" s="498">
        <v>3</v>
      </c>
      <c r="B65" s="499"/>
      <c r="C65" s="117"/>
      <c r="D65" s="339"/>
      <c r="E65" s="336"/>
      <c r="F65" s="504"/>
      <c r="G65" s="505"/>
      <c r="H65" s="505"/>
      <c r="I65" s="505"/>
      <c r="J65" s="506"/>
      <c r="K65" s="507"/>
      <c r="L65" s="499"/>
      <c r="M65" s="51"/>
      <c r="N65" s="501"/>
      <c r="O65" s="501"/>
      <c r="P65" s="510"/>
      <c r="Q65" s="511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4</v>
      </c>
      <c r="B66" s="499"/>
      <c r="C66" s="117"/>
      <c r="D66" s="339"/>
      <c r="E66" s="336"/>
      <c r="F66" s="504"/>
      <c r="G66" s="505"/>
      <c r="H66" s="505"/>
      <c r="I66" s="505"/>
      <c r="J66" s="506"/>
      <c r="K66" s="507"/>
      <c r="L66" s="499"/>
      <c r="M66" s="51"/>
      <c r="N66" s="508"/>
      <c r="O66" s="509"/>
      <c r="P66" s="510"/>
      <c r="Q66" s="511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5</v>
      </c>
      <c r="B67" s="499"/>
      <c r="C67" s="117"/>
      <c r="D67" s="339"/>
      <c r="E67" s="336"/>
      <c r="F67" s="504"/>
      <c r="G67" s="505"/>
      <c r="H67" s="505"/>
      <c r="I67" s="505"/>
      <c r="J67" s="506"/>
      <c r="K67" s="507"/>
      <c r="L67" s="499"/>
      <c r="M67" s="51"/>
      <c r="N67" s="508"/>
      <c r="O67" s="509"/>
      <c r="P67" s="510"/>
      <c r="Q67" s="511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6</v>
      </c>
      <c r="B68" s="499"/>
      <c r="C68" s="117"/>
      <c r="D68" s="339"/>
      <c r="E68" s="336"/>
      <c r="F68" s="500"/>
      <c r="G68" s="492"/>
      <c r="H68" s="492"/>
      <c r="I68" s="492"/>
      <c r="J68" s="492"/>
      <c r="K68" s="492"/>
      <c r="L68" s="492"/>
      <c r="M68" s="51"/>
      <c r="N68" s="508"/>
      <c r="O68" s="509"/>
      <c r="P68" s="510"/>
      <c r="Q68" s="511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7</v>
      </c>
      <c r="B69" s="499"/>
      <c r="C69" s="117"/>
      <c r="D69" s="339"/>
      <c r="E69" s="336"/>
      <c r="F69" s="500"/>
      <c r="G69" s="492"/>
      <c r="H69" s="492"/>
      <c r="I69" s="492"/>
      <c r="J69" s="492"/>
      <c r="K69" s="492"/>
      <c r="L69" s="492"/>
      <c r="M69" s="51"/>
      <c r="N69" s="508"/>
      <c r="O69" s="509"/>
      <c r="P69" s="510"/>
      <c r="Q69" s="511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8</v>
      </c>
      <c r="B70" s="499"/>
      <c r="C70" s="117"/>
      <c r="D70" s="339"/>
      <c r="E70" s="336"/>
      <c r="F70" s="500"/>
      <c r="G70" s="492"/>
      <c r="H70" s="492"/>
      <c r="I70" s="492"/>
      <c r="J70" s="492"/>
      <c r="K70" s="492"/>
      <c r="L70" s="492"/>
      <c r="M70" s="51"/>
      <c r="N70" s="508"/>
      <c r="O70" s="509"/>
      <c r="P70" s="510"/>
      <c r="Q70" s="511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6.25" customHeight="1" thickBot="1">
      <c r="A71" s="472" t="s">
        <v>508</v>
      </c>
      <c r="B71" s="472"/>
      <c r="C71" s="472"/>
      <c r="D71" s="472"/>
      <c r="E71" s="47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73" t="s">
        <v>113</v>
      </c>
      <c r="B72" s="474"/>
      <c r="C72" s="338" t="s">
        <v>2</v>
      </c>
      <c r="D72" s="338" t="s">
        <v>37</v>
      </c>
      <c r="E72" s="338" t="s">
        <v>3</v>
      </c>
      <c r="F72" s="474" t="s">
        <v>38</v>
      </c>
      <c r="G72" s="474"/>
      <c r="H72" s="474"/>
      <c r="I72" s="474"/>
      <c r="J72" s="474"/>
      <c r="K72" s="494" t="s">
        <v>58</v>
      </c>
      <c r="L72" s="495"/>
      <c r="M72" s="495"/>
      <c r="N72" s="495"/>
      <c r="O72" s="495"/>
      <c r="P72" s="495"/>
      <c r="Q72" s="495"/>
      <c r="R72" s="495"/>
      <c r="S72" s="496"/>
      <c r="T72" s="474" t="s">
        <v>49</v>
      </c>
      <c r="U72" s="474"/>
      <c r="V72" s="494" t="s">
        <v>50</v>
      </c>
      <c r="W72" s="496"/>
      <c r="X72" s="495" t="s">
        <v>51</v>
      </c>
      <c r="Y72" s="495"/>
      <c r="Z72" s="495"/>
      <c r="AA72" s="495"/>
      <c r="AB72" s="495"/>
      <c r="AC72" s="495"/>
      <c r="AD72" s="497"/>
      <c r="AF72" s="50"/>
    </row>
    <row r="73" spans="1:32" ht="33.75" customHeight="1">
      <c r="A73" s="466">
        <v>1</v>
      </c>
      <c r="B73" s="467"/>
      <c r="C73" s="340" t="s">
        <v>114</v>
      </c>
      <c r="D73" s="340"/>
      <c r="E73" s="65" t="s">
        <v>119</v>
      </c>
      <c r="F73" s="481" t="s">
        <v>118</v>
      </c>
      <c r="G73" s="482"/>
      <c r="H73" s="482"/>
      <c r="I73" s="482"/>
      <c r="J73" s="483"/>
      <c r="K73" s="484" t="s">
        <v>130</v>
      </c>
      <c r="L73" s="485"/>
      <c r="M73" s="485"/>
      <c r="N73" s="485"/>
      <c r="O73" s="485"/>
      <c r="P73" s="485"/>
      <c r="Q73" s="485"/>
      <c r="R73" s="485"/>
      <c r="S73" s="486"/>
      <c r="T73" s="487">
        <v>43675</v>
      </c>
      <c r="U73" s="488"/>
      <c r="V73" s="489"/>
      <c r="W73" s="489"/>
      <c r="X73" s="490"/>
      <c r="Y73" s="490"/>
      <c r="Z73" s="490"/>
      <c r="AA73" s="490"/>
      <c r="AB73" s="490"/>
      <c r="AC73" s="490"/>
      <c r="AD73" s="491"/>
      <c r="AF73" s="50"/>
    </row>
    <row r="74" spans="1:32" ht="30" customHeight="1">
      <c r="A74" s="459">
        <f>A73+1</f>
        <v>2</v>
      </c>
      <c r="B74" s="460"/>
      <c r="C74" s="339"/>
      <c r="D74" s="339"/>
      <c r="E74" s="32"/>
      <c r="F74" s="460"/>
      <c r="G74" s="460"/>
      <c r="H74" s="460"/>
      <c r="I74" s="460"/>
      <c r="J74" s="460"/>
      <c r="K74" s="475"/>
      <c r="L74" s="476"/>
      <c r="M74" s="476"/>
      <c r="N74" s="476"/>
      <c r="O74" s="476"/>
      <c r="P74" s="476"/>
      <c r="Q74" s="476"/>
      <c r="R74" s="476"/>
      <c r="S74" s="477"/>
      <c r="T74" s="478"/>
      <c r="U74" s="478"/>
      <c r="V74" s="478"/>
      <c r="W74" s="478"/>
      <c r="X74" s="479"/>
      <c r="Y74" s="479"/>
      <c r="Z74" s="479"/>
      <c r="AA74" s="479"/>
      <c r="AB74" s="479"/>
      <c r="AC74" s="479"/>
      <c r="AD74" s="480"/>
      <c r="AF74" s="50"/>
    </row>
    <row r="75" spans="1:32" ht="30" customHeight="1">
      <c r="A75" s="459">
        <f t="shared" ref="A75:A81" si="13">A74+1</f>
        <v>3</v>
      </c>
      <c r="B75" s="460"/>
      <c r="C75" s="339"/>
      <c r="D75" s="339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si="13"/>
        <v>4</v>
      </c>
      <c r="B76" s="460"/>
      <c r="C76" s="339"/>
      <c r="D76" s="339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13"/>
        <v>5</v>
      </c>
      <c r="B77" s="460"/>
      <c r="C77" s="339"/>
      <c r="D77" s="339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13"/>
        <v>6</v>
      </c>
      <c r="B78" s="460"/>
      <c r="C78" s="339"/>
      <c r="D78" s="339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13"/>
        <v>7</v>
      </c>
      <c r="B79" s="460"/>
      <c r="C79" s="339"/>
      <c r="D79" s="339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13"/>
        <v>8</v>
      </c>
      <c r="B80" s="460"/>
      <c r="C80" s="339"/>
      <c r="D80" s="339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13"/>
        <v>9</v>
      </c>
      <c r="B81" s="460"/>
      <c r="C81" s="339"/>
      <c r="D81" s="339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6" thickBot="1">
      <c r="A82" s="472" t="s">
        <v>509</v>
      </c>
      <c r="B82" s="472"/>
      <c r="C82" s="472"/>
      <c r="D82" s="472"/>
      <c r="E82" s="47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73" t="s">
        <v>113</v>
      </c>
      <c r="B83" s="474"/>
      <c r="C83" s="464" t="s">
        <v>52</v>
      </c>
      <c r="D83" s="464"/>
      <c r="E83" s="464" t="s">
        <v>53</v>
      </c>
      <c r="F83" s="464"/>
      <c r="G83" s="464"/>
      <c r="H83" s="464"/>
      <c r="I83" s="464"/>
      <c r="J83" s="464"/>
      <c r="K83" s="464" t="s">
        <v>54</v>
      </c>
      <c r="L83" s="464"/>
      <c r="M83" s="464"/>
      <c r="N83" s="464"/>
      <c r="O83" s="464"/>
      <c r="P83" s="464"/>
      <c r="Q83" s="464"/>
      <c r="R83" s="464"/>
      <c r="S83" s="464"/>
      <c r="T83" s="464" t="s">
        <v>55</v>
      </c>
      <c r="U83" s="464"/>
      <c r="V83" s="464" t="s">
        <v>56</v>
      </c>
      <c r="W83" s="464"/>
      <c r="X83" s="464"/>
      <c r="Y83" s="464" t="s">
        <v>51</v>
      </c>
      <c r="Z83" s="464"/>
      <c r="AA83" s="464"/>
      <c r="AB83" s="464"/>
      <c r="AC83" s="464"/>
      <c r="AD83" s="465"/>
      <c r="AF83" s="50"/>
    </row>
    <row r="84" spans="1:32" ht="30.75" customHeight="1">
      <c r="A84" s="466">
        <v>1</v>
      </c>
      <c r="B84" s="467"/>
      <c r="C84" s="468"/>
      <c r="D84" s="468"/>
      <c r="E84" s="468"/>
      <c r="F84" s="468"/>
      <c r="G84" s="468"/>
      <c r="H84" s="468"/>
      <c r="I84" s="468"/>
      <c r="J84" s="468"/>
      <c r="K84" s="468"/>
      <c r="L84" s="468"/>
      <c r="M84" s="468"/>
      <c r="N84" s="468"/>
      <c r="O84" s="468"/>
      <c r="P84" s="468"/>
      <c r="Q84" s="468"/>
      <c r="R84" s="468"/>
      <c r="S84" s="468"/>
      <c r="T84" s="468"/>
      <c r="U84" s="468"/>
      <c r="V84" s="469"/>
      <c r="W84" s="469"/>
      <c r="X84" s="469"/>
      <c r="Y84" s="470"/>
      <c r="Z84" s="470"/>
      <c r="AA84" s="470"/>
      <c r="AB84" s="470"/>
      <c r="AC84" s="470"/>
      <c r="AD84" s="471"/>
      <c r="AF84" s="50"/>
    </row>
    <row r="85" spans="1:32" ht="30.75" customHeight="1">
      <c r="A85" s="459">
        <v>2</v>
      </c>
      <c r="B85" s="460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2"/>
      <c r="Z85" s="452"/>
      <c r="AA85" s="452"/>
      <c r="AB85" s="452"/>
      <c r="AC85" s="452"/>
      <c r="AD85" s="453"/>
      <c r="AF85" s="50"/>
    </row>
    <row r="86" spans="1:32" ht="30.75" customHeight="1" thickBot="1">
      <c r="A86" s="454">
        <v>3</v>
      </c>
      <c r="B86" s="455"/>
      <c r="C86" s="456"/>
      <c r="D86" s="456"/>
      <c r="E86" s="456"/>
      <c r="F86" s="456"/>
      <c r="G86" s="456"/>
      <c r="H86" s="456"/>
      <c r="I86" s="456"/>
      <c r="J86" s="456"/>
      <c r="K86" s="456"/>
      <c r="L86" s="456"/>
      <c r="M86" s="456"/>
      <c r="N86" s="456"/>
      <c r="O86" s="456"/>
      <c r="P86" s="456"/>
      <c r="Q86" s="456"/>
      <c r="R86" s="456"/>
      <c r="S86" s="456"/>
      <c r="T86" s="456"/>
      <c r="U86" s="456"/>
      <c r="V86" s="456"/>
      <c r="W86" s="456"/>
      <c r="X86" s="456"/>
      <c r="Y86" s="457"/>
      <c r="Z86" s="457"/>
      <c r="AA86" s="457"/>
      <c r="AB86" s="457"/>
      <c r="AC86" s="457"/>
      <c r="AD86" s="458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C907-1460-42FA-890E-0E3B5BB2AA6C}"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510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351" t="s">
        <v>17</v>
      </c>
      <c r="L5" s="351" t="s">
        <v>18</v>
      </c>
      <c r="M5" s="351" t="s">
        <v>19</v>
      </c>
      <c r="N5" s="35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0.51944444444444449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0.51944444444444449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352</v>
      </c>
      <c r="E8" s="53" t="s">
        <v>486</v>
      </c>
      <c r="F8" s="30" t="s">
        <v>141</v>
      </c>
      <c r="G8" s="33">
        <v>2</v>
      </c>
      <c r="H8" s="35">
        <v>24</v>
      </c>
      <c r="I8" s="7">
        <v>50000</v>
      </c>
      <c r="J8" s="14">
        <v>9946</v>
      </c>
      <c r="K8" s="15">
        <f>L8+4928</f>
        <v>14874</v>
      </c>
      <c r="L8" s="15">
        <f>2517*2+2456*2</f>
        <v>9946</v>
      </c>
      <c r="M8" s="15">
        <f t="shared" si="1"/>
        <v>9946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0.51944444444444449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2558</v>
      </c>
      <c r="K9" s="15">
        <f>L9+1036+2500+4639+2951+2392+2902+2784+3566+4110+4299+4289+1910+4734+4854+3892+4611+3795+5160+1762+3528+5214</f>
        <v>77486</v>
      </c>
      <c r="L9" s="15">
        <f>2009+549</f>
        <v>2558</v>
      </c>
      <c r="M9" s="15">
        <f t="shared" si="1"/>
        <v>2558</v>
      </c>
      <c r="N9" s="15">
        <v>0</v>
      </c>
      <c r="O9" s="58">
        <f t="shared" si="2"/>
        <v>0</v>
      </c>
      <c r="P9" s="39">
        <f t="shared" si="3"/>
        <v>14</v>
      </c>
      <c r="Q9" s="40">
        <f t="shared" si="4"/>
        <v>10</v>
      </c>
      <c r="R9" s="7"/>
      <c r="S9" s="6">
        <v>10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0.58333333333333337</v>
      </c>
      <c r="AD9" s="10">
        <f t="shared" si="7"/>
        <v>0.58333333333333337</v>
      </c>
      <c r="AE9" s="36">
        <f t="shared" si="8"/>
        <v>0.51944444444444449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285</v>
      </c>
      <c r="E10" s="53" t="s">
        <v>470</v>
      </c>
      <c r="F10" s="30" t="s">
        <v>477</v>
      </c>
      <c r="G10" s="33">
        <v>16</v>
      </c>
      <c r="H10" s="35">
        <v>24</v>
      </c>
      <c r="I10" s="7">
        <v>300000</v>
      </c>
      <c r="J10" s="5">
        <v>95328</v>
      </c>
      <c r="K10" s="15">
        <f>L10+92704+107344</f>
        <v>295376</v>
      </c>
      <c r="L10" s="15">
        <f>2894*16+3064*16</f>
        <v>95328</v>
      </c>
      <c r="M10" s="15">
        <f t="shared" si="1"/>
        <v>95328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0.51944444444444449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287</v>
      </c>
      <c r="F11" s="30" t="s">
        <v>126</v>
      </c>
      <c r="G11" s="33">
        <v>1</v>
      </c>
      <c r="H11" s="35">
        <v>24</v>
      </c>
      <c r="I11" s="7">
        <v>5000</v>
      </c>
      <c r="J11" s="5">
        <v>2419</v>
      </c>
      <c r="K11" s="15">
        <f>L11</f>
        <v>2419</v>
      </c>
      <c r="L11" s="15">
        <f>2419</f>
        <v>2419</v>
      </c>
      <c r="M11" s="15">
        <f t="shared" si="1"/>
        <v>2419</v>
      </c>
      <c r="N11" s="15">
        <v>0</v>
      </c>
      <c r="O11" s="58">
        <f t="shared" si="2"/>
        <v>0</v>
      </c>
      <c r="P11" s="39">
        <f t="shared" si="3"/>
        <v>14</v>
      </c>
      <c r="Q11" s="40">
        <f t="shared" si="4"/>
        <v>10</v>
      </c>
      <c r="R11" s="7"/>
      <c r="S11" s="6">
        <v>10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0.58333333333333337</v>
      </c>
      <c r="AD11" s="10">
        <f>AC11*AB11*(1-O11)</f>
        <v>0.58333333333333337</v>
      </c>
      <c r="AE11" s="36">
        <f t="shared" si="8"/>
        <v>0.51944444444444449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144</v>
      </c>
      <c r="F12" s="30" t="s">
        <v>121</v>
      </c>
      <c r="G12" s="33">
        <v>1</v>
      </c>
      <c r="H12" s="35">
        <v>24</v>
      </c>
      <c r="I12" s="7">
        <v>70000</v>
      </c>
      <c r="J12" s="14">
        <v>2498</v>
      </c>
      <c r="K12" s="15">
        <f>L12+2036+3193+2673+3958+1875+401+3155+4199+2859+2339+1952+1208+2933+3415+1960+4032+870+1602+872+2860+3148</f>
        <v>54038</v>
      </c>
      <c r="L12" s="15">
        <f>536+1962</f>
        <v>2498</v>
      </c>
      <c r="M12" s="15">
        <f t="shared" si="1"/>
        <v>2498</v>
      </c>
      <c r="N12" s="15">
        <v>0</v>
      </c>
      <c r="O12" s="58">
        <f t="shared" si="2"/>
        <v>0</v>
      </c>
      <c r="P12" s="39">
        <f t="shared" si="3"/>
        <v>14</v>
      </c>
      <c r="Q12" s="40">
        <f t="shared" si="4"/>
        <v>10</v>
      </c>
      <c r="R12" s="7"/>
      <c r="S12" s="6">
        <v>10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0.58333333333333337</v>
      </c>
      <c r="AD12" s="10">
        <f t="shared" ref="AD12:AD13" si="10">AC12*AB12*(1-O12)</f>
        <v>0.58333333333333337</v>
      </c>
      <c r="AE12" s="36">
        <f t="shared" si="8"/>
        <v>0.51944444444444449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128</v>
      </c>
      <c r="D13" s="52" t="s">
        <v>117</v>
      </c>
      <c r="E13" s="53" t="s">
        <v>189</v>
      </c>
      <c r="F13" s="30" t="s">
        <v>190</v>
      </c>
      <c r="G13" s="33">
        <v>2</v>
      </c>
      <c r="H13" s="35">
        <v>24</v>
      </c>
      <c r="I13" s="7">
        <v>30000</v>
      </c>
      <c r="J13" s="14">
        <v>6748</v>
      </c>
      <c r="K13" s="15">
        <f>L13+8032+4920+5646+7110</f>
        <v>32456</v>
      </c>
      <c r="L13" s="15">
        <f>1886*2+1488*2</f>
        <v>6748</v>
      </c>
      <c r="M13" s="15">
        <f t="shared" si="1"/>
        <v>6748</v>
      </c>
      <c r="N13" s="15">
        <v>0</v>
      </c>
      <c r="O13" s="58">
        <f t="shared" si="2"/>
        <v>0</v>
      </c>
      <c r="P13" s="39">
        <f t="shared" si="3"/>
        <v>17</v>
      </c>
      <c r="Q13" s="40">
        <f t="shared" si="4"/>
        <v>7</v>
      </c>
      <c r="R13" s="7"/>
      <c r="S13" s="6">
        <v>7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0.70833333333333337</v>
      </c>
      <c r="AD13" s="10">
        <f t="shared" si="10"/>
        <v>0.70833333333333337</v>
      </c>
      <c r="AE13" s="36">
        <f t="shared" si="8"/>
        <v>0.51944444444444449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381</v>
      </c>
      <c r="D14" s="52"/>
      <c r="E14" s="53" t="s">
        <v>382</v>
      </c>
      <c r="F14" s="30" t="s">
        <v>383</v>
      </c>
      <c r="G14" s="33">
        <v>1</v>
      </c>
      <c r="H14" s="35">
        <v>24</v>
      </c>
      <c r="I14" s="7">
        <v>200</v>
      </c>
      <c r="J14" s="5">
        <v>318</v>
      </c>
      <c r="K14" s="15">
        <f>L14+318</f>
        <v>318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0.51944444444444449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493</v>
      </c>
      <c r="D15" s="52"/>
      <c r="E15" s="53" t="s">
        <v>494</v>
      </c>
      <c r="F15" s="12" t="s">
        <v>495</v>
      </c>
      <c r="G15" s="12">
        <v>8</v>
      </c>
      <c r="H15" s="13">
        <v>24</v>
      </c>
      <c r="I15" s="31">
        <v>20000</v>
      </c>
      <c r="J15" s="14">
        <v>3622</v>
      </c>
      <c r="K15" s="15">
        <f>L15</f>
        <v>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0.51944444444444449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125</v>
      </c>
      <c r="E16" s="53" t="s">
        <v>149</v>
      </c>
      <c r="F16" s="30" t="s">
        <v>126</v>
      </c>
      <c r="G16" s="12">
        <v>1</v>
      </c>
      <c r="H16" s="13">
        <v>28</v>
      </c>
      <c r="I16" s="7">
        <v>50000</v>
      </c>
      <c r="J16" s="14">
        <v>5350</v>
      </c>
      <c r="K16" s="15">
        <f>L16+2312</f>
        <v>7662</v>
      </c>
      <c r="L16" s="15">
        <f>2725+2625</f>
        <v>5350</v>
      </c>
      <c r="M16" s="15">
        <f t="shared" si="1"/>
        <v>5350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0.51944444444444449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449</v>
      </c>
      <c r="E17" s="53" t="s">
        <v>441</v>
      </c>
      <c r="F17" s="30" t="s">
        <v>249</v>
      </c>
      <c r="G17" s="33">
        <v>1</v>
      </c>
      <c r="H17" s="35">
        <v>24</v>
      </c>
      <c r="I17" s="7">
        <v>24000</v>
      </c>
      <c r="J17" s="5">
        <v>6386</v>
      </c>
      <c r="K17" s="15">
        <f>L17+5168+2206+4833+5412</f>
        <v>24005</v>
      </c>
      <c r="L17" s="15">
        <f>3234+3152</f>
        <v>6386</v>
      </c>
      <c r="M17" s="15">
        <f t="shared" si="1"/>
        <v>6386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8"/>
        <v>0.51944444444444449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122</v>
      </c>
      <c r="E18" s="53" t="s">
        <v>147</v>
      </c>
      <c r="F18" s="30" t="s">
        <v>123</v>
      </c>
      <c r="G18" s="33">
        <v>1</v>
      </c>
      <c r="H18" s="35">
        <v>24</v>
      </c>
      <c r="I18" s="7">
        <v>60000</v>
      </c>
      <c r="J18" s="5">
        <v>570</v>
      </c>
      <c r="K18" s="15">
        <f>L18+1915+5043+1754+4429+1736+4741+3615+930+3442+701</f>
        <v>28876</v>
      </c>
      <c r="L18" s="15">
        <f>350+220</f>
        <v>570</v>
      </c>
      <c r="M18" s="15">
        <f t="shared" si="1"/>
        <v>570</v>
      </c>
      <c r="N18" s="15">
        <v>0</v>
      </c>
      <c r="O18" s="58">
        <f t="shared" si="2"/>
        <v>0</v>
      </c>
      <c r="P18" s="39">
        <f t="shared" si="3"/>
        <v>2</v>
      </c>
      <c r="Q18" s="40">
        <f t="shared" si="4"/>
        <v>22</v>
      </c>
      <c r="R18" s="7"/>
      <c r="S18" s="6">
        <v>22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8.3333333333333329E-2</v>
      </c>
      <c r="AD18" s="10">
        <f>AC18*AB18*(1-O18)</f>
        <v>8.3333333333333329E-2</v>
      </c>
      <c r="AE18" s="36">
        <f t="shared" si="8"/>
        <v>0.51944444444444449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138</v>
      </c>
      <c r="D19" s="52"/>
      <c r="E19" s="53" t="s">
        <v>462</v>
      </c>
      <c r="F19" s="30" t="s">
        <v>417</v>
      </c>
      <c r="G19" s="33">
        <v>1</v>
      </c>
      <c r="H19" s="35">
        <v>24</v>
      </c>
      <c r="I19" s="7">
        <v>700</v>
      </c>
      <c r="J19" s="14">
        <v>777</v>
      </c>
      <c r="K19" s="15">
        <f>L19</f>
        <v>777</v>
      </c>
      <c r="L19" s="15">
        <v>777</v>
      </c>
      <c r="M19" s="15">
        <f t="shared" ref="M19" si="11">L19-N19</f>
        <v>777</v>
      </c>
      <c r="N19" s="15">
        <v>0</v>
      </c>
      <c r="O19" s="58">
        <f t="shared" ref="O19" si="12">IF(L19=0,"0",N19/L19)</f>
        <v>0</v>
      </c>
      <c r="P19" s="39">
        <f t="shared" ref="P19" si="13">IF(L19=0,"0",(24-Q19))</f>
        <v>5</v>
      </c>
      <c r="Q19" s="40">
        <f t="shared" ref="Q19" si="14">SUM(R19:AA19)</f>
        <v>19</v>
      </c>
      <c r="R19" s="7"/>
      <c r="S19" s="6"/>
      <c r="T19" s="16"/>
      <c r="U19" s="16"/>
      <c r="V19" s="17"/>
      <c r="W19" s="5">
        <v>19</v>
      </c>
      <c r="X19" s="16"/>
      <c r="Y19" s="16"/>
      <c r="Z19" s="16"/>
      <c r="AA19" s="18"/>
      <c r="AB19" s="8">
        <f t="shared" ref="AB19" si="15">IF(J19=0,"0",(L19/J19))</f>
        <v>1</v>
      </c>
      <c r="AC19" s="9">
        <f t="shared" ref="AC19" si="16">IF(P19=0,"0",(P19/24))</f>
        <v>0.20833333333333334</v>
      </c>
      <c r="AD19" s="10">
        <f t="shared" ref="AD19" si="17">AC19*AB19*(1-O19)</f>
        <v>0.20833333333333334</v>
      </c>
      <c r="AE19" s="36">
        <f t="shared" si="8"/>
        <v>0.51944444444444449</v>
      </c>
      <c r="AF19" s="87">
        <f t="shared" ref="AF19" si="18">A19</f>
        <v>14</v>
      </c>
    </row>
    <row r="20" spans="1:32" ht="27" customHeight="1">
      <c r="A20" s="103">
        <v>14</v>
      </c>
      <c r="B20" s="11" t="s">
        <v>57</v>
      </c>
      <c r="C20" s="11" t="s">
        <v>138</v>
      </c>
      <c r="D20" s="52"/>
      <c r="E20" s="53" t="s">
        <v>501</v>
      </c>
      <c r="F20" s="30" t="s">
        <v>417</v>
      </c>
      <c r="G20" s="33">
        <v>1</v>
      </c>
      <c r="H20" s="35">
        <v>24</v>
      </c>
      <c r="I20" s="7">
        <v>7500</v>
      </c>
      <c r="J20" s="14">
        <v>2288</v>
      </c>
      <c r="K20" s="15">
        <f>L20</f>
        <v>2288</v>
      </c>
      <c r="L20" s="15">
        <v>2288</v>
      </c>
      <c r="M20" s="15">
        <f t="shared" si="1"/>
        <v>2288</v>
      </c>
      <c r="N20" s="15">
        <v>0</v>
      </c>
      <c r="O20" s="58">
        <f t="shared" si="2"/>
        <v>0</v>
      </c>
      <c r="P20" s="39">
        <f t="shared" si="3"/>
        <v>12</v>
      </c>
      <c r="Q20" s="40">
        <f t="shared" si="4"/>
        <v>12</v>
      </c>
      <c r="R20" s="7"/>
      <c r="S20" s="6"/>
      <c r="T20" s="16">
        <v>12</v>
      </c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</v>
      </c>
      <c r="AD20" s="10">
        <f t="shared" si="7"/>
        <v>0.5</v>
      </c>
      <c r="AE20" s="36">
        <f t="shared" si="8"/>
        <v>0.51944444444444449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268</v>
      </c>
      <c r="F21" s="12" t="s">
        <v>116</v>
      </c>
      <c r="G21" s="12">
        <v>4</v>
      </c>
      <c r="H21" s="35">
        <v>20</v>
      </c>
      <c r="I21" s="7">
        <v>200000</v>
      </c>
      <c r="J21" s="14">
        <v>30702</v>
      </c>
      <c r="K21" s="15">
        <f>L21+30099</f>
        <v>60801</v>
      </c>
      <c r="L21" s="15">
        <f>10234*3</f>
        <v>30702</v>
      </c>
      <c r="M21" s="15">
        <f t="shared" si="1"/>
        <v>30702</v>
      </c>
      <c r="N21" s="15">
        <v>0</v>
      </c>
      <c r="O21" s="58">
        <f t="shared" si="2"/>
        <v>0</v>
      </c>
      <c r="P21" s="39">
        <f t="shared" si="3"/>
        <v>13</v>
      </c>
      <c r="Q21" s="40">
        <f t="shared" si="4"/>
        <v>11</v>
      </c>
      <c r="R21" s="7"/>
      <c r="S21" s="6"/>
      <c r="T21" s="16"/>
      <c r="U21" s="16"/>
      <c r="V21" s="17">
        <v>11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0.54166666666666663</v>
      </c>
      <c r="AD21" s="10">
        <f t="shared" si="7"/>
        <v>0.54166666666666663</v>
      </c>
      <c r="AE21" s="36">
        <f t="shared" si="8"/>
        <v>0.51944444444444449</v>
      </c>
      <c r="AF21" s="87">
        <f t="shared" si="9"/>
        <v>15</v>
      </c>
    </row>
    <row r="22" spans="1:32" ht="31.5" customHeight="1" thickBot="1">
      <c r="A22" s="541" t="s">
        <v>34</v>
      </c>
      <c r="B22" s="542"/>
      <c r="C22" s="542"/>
      <c r="D22" s="542"/>
      <c r="E22" s="542"/>
      <c r="F22" s="542"/>
      <c r="G22" s="542"/>
      <c r="H22" s="543"/>
      <c r="I22" s="22">
        <f t="shared" ref="I22:N22" si="19">SUM(I6:I21)</f>
        <v>908400</v>
      </c>
      <c r="J22" s="19">
        <f t="shared" si="19"/>
        <v>171571</v>
      </c>
      <c r="K22" s="20">
        <f t="shared" si="19"/>
        <v>612924</v>
      </c>
      <c r="L22" s="21">
        <f t="shared" si="19"/>
        <v>165570</v>
      </c>
      <c r="M22" s="20">
        <f t="shared" si="19"/>
        <v>165570</v>
      </c>
      <c r="N22" s="21">
        <f t="shared" si="19"/>
        <v>0</v>
      </c>
      <c r="O22" s="41">
        <f t="shared" si="2"/>
        <v>0</v>
      </c>
      <c r="P22" s="42">
        <f t="shared" ref="P22:AA22" si="20">SUM(P6:P21)</f>
        <v>187</v>
      </c>
      <c r="Q22" s="43">
        <f t="shared" si="20"/>
        <v>197</v>
      </c>
      <c r="R22" s="23">
        <f t="shared" si="20"/>
        <v>24</v>
      </c>
      <c r="S22" s="24">
        <f t="shared" si="20"/>
        <v>83</v>
      </c>
      <c r="T22" s="24">
        <f t="shared" si="20"/>
        <v>12</v>
      </c>
      <c r="U22" s="24">
        <f t="shared" si="20"/>
        <v>0</v>
      </c>
      <c r="V22" s="25">
        <f t="shared" si="20"/>
        <v>35</v>
      </c>
      <c r="W22" s="26">
        <f t="shared" si="20"/>
        <v>43</v>
      </c>
      <c r="X22" s="27">
        <f t="shared" si="20"/>
        <v>0</v>
      </c>
      <c r="Y22" s="27">
        <f t="shared" si="20"/>
        <v>0</v>
      </c>
      <c r="Z22" s="27">
        <f t="shared" si="20"/>
        <v>0</v>
      </c>
      <c r="AA22" s="27">
        <f t="shared" si="20"/>
        <v>0</v>
      </c>
      <c r="AB22" s="28">
        <f>SUM(AB6:AB21)/15</f>
        <v>0.8</v>
      </c>
      <c r="AC22" s="4">
        <f>SUM(AC6:AC21)/15</f>
        <v>0.51944444444444449</v>
      </c>
      <c r="AD22" s="4">
        <f>SUM(AD6:AD21)/15</f>
        <v>0.51944444444444449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44" t="s">
        <v>45</v>
      </c>
      <c r="B49" s="544"/>
      <c r="C49" s="544"/>
      <c r="D49" s="544"/>
      <c r="E49" s="544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45" t="s">
        <v>511</v>
      </c>
      <c r="B50" s="546"/>
      <c r="C50" s="546"/>
      <c r="D50" s="546"/>
      <c r="E50" s="546"/>
      <c r="F50" s="546"/>
      <c r="G50" s="546"/>
      <c r="H50" s="546"/>
      <c r="I50" s="546"/>
      <c r="J50" s="546"/>
      <c r="K50" s="546"/>
      <c r="L50" s="546"/>
      <c r="M50" s="547"/>
      <c r="N50" s="548" t="s">
        <v>515</v>
      </c>
      <c r="O50" s="549"/>
      <c r="P50" s="549"/>
      <c r="Q50" s="549"/>
      <c r="R50" s="549"/>
      <c r="S50" s="549"/>
      <c r="T50" s="549"/>
      <c r="U50" s="549"/>
      <c r="V50" s="549"/>
      <c r="W50" s="549"/>
      <c r="X50" s="549"/>
      <c r="Y50" s="549"/>
      <c r="Z50" s="549"/>
      <c r="AA50" s="549"/>
      <c r="AB50" s="549"/>
      <c r="AC50" s="549"/>
      <c r="AD50" s="550"/>
    </row>
    <row r="51" spans="1:32" ht="27" customHeight="1">
      <c r="A51" s="551" t="s">
        <v>2</v>
      </c>
      <c r="B51" s="552"/>
      <c r="C51" s="350" t="s">
        <v>46</v>
      </c>
      <c r="D51" s="350" t="s">
        <v>47</v>
      </c>
      <c r="E51" s="350" t="s">
        <v>108</v>
      </c>
      <c r="F51" s="552" t="s">
        <v>107</v>
      </c>
      <c r="G51" s="552"/>
      <c r="H51" s="552"/>
      <c r="I51" s="552"/>
      <c r="J51" s="552"/>
      <c r="K51" s="552"/>
      <c r="L51" s="552"/>
      <c r="M51" s="553"/>
      <c r="N51" s="67" t="s">
        <v>112</v>
      </c>
      <c r="O51" s="350" t="s">
        <v>46</v>
      </c>
      <c r="P51" s="554" t="s">
        <v>47</v>
      </c>
      <c r="Q51" s="555"/>
      <c r="R51" s="554" t="s">
        <v>38</v>
      </c>
      <c r="S51" s="556"/>
      <c r="T51" s="556"/>
      <c r="U51" s="555"/>
      <c r="V51" s="554" t="s">
        <v>48</v>
      </c>
      <c r="W51" s="556"/>
      <c r="X51" s="556"/>
      <c r="Y51" s="556"/>
      <c r="Z51" s="556"/>
      <c r="AA51" s="556"/>
      <c r="AB51" s="556"/>
      <c r="AC51" s="556"/>
      <c r="AD51" s="557"/>
    </row>
    <row r="52" spans="1:32" ht="27" customHeight="1">
      <c r="A52" s="524" t="s">
        <v>114</v>
      </c>
      <c r="B52" s="525"/>
      <c r="C52" s="348" t="s">
        <v>131</v>
      </c>
      <c r="D52" s="348" t="s">
        <v>142</v>
      </c>
      <c r="E52" s="348" t="s">
        <v>145</v>
      </c>
      <c r="F52" s="517" t="s">
        <v>512</v>
      </c>
      <c r="G52" s="518"/>
      <c r="H52" s="518"/>
      <c r="I52" s="518"/>
      <c r="J52" s="518"/>
      <c r="K52" s="518"/>
      <c r="L52" s="518"/>
      <c r="M52" s="526"/>
      <c r="N52" s="347" t="s">
        <v>114</v>
      </c>
      <c r="O52" s="345" t="s">
        <v>131</v>
      </c>
      <c r="P52" s="536" t="s">
        <v>142</v>
      </c>
      <c r="Q52" s="537"/>
      <c r="R52" s="536" t="s">
        <v>504</v>
      </c>
      <c r="S52" s="538"/>
      <c r="T52" s="538"/>
      <c r="U52" s="537"/>
      <c r="V52" s="503" t="s">
        <v>299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114</v>
      </c>
      <c r="B53" s="525"/>
      <c r="C53" s="348" t="s">
        <v>150</v>
      </c>
      <c r="D53" s="348" t="s">
        <v>117</v>
      </c>
      <c r="E53" s="348" t="s">
        <v>144</v>
      </c>
      <c r="F53" s="517" t="s">
        <v>199</v>
      </c>
      <c r="G53" s="518"/>
      <c r="H53" s="518"/>
      <c r="I53" s="518"/>
      <c r="J53" s="518"/>
      <c r="K53" s="518"/>
      <c r="L53" s="518"/>
      <c r="M53" s="526"/>
      <c r="N53" s="347" t="s">
        <v>114</v>
      </c>
      <c r="O53" s="345" t="s">
        <v>179</v>
      </c>
      <c r="P53" s="536" t="s">
        <v>117</v>
      </c>
      <c r="Q53" s="537"/>
      <c r="R53" s="536" t="s">
        <v>242</v>
      </c>
      <c r="S53" s="538"/>
      <c r="T53" s="538"/>
      <c r="U53" s="537"/>
      <c r="V53" s="503" t="s">
        <v>157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114</v>
      </c>
      <c r="B54" s="525"/>
      <c r="C54" s="348" t="s">
        <v>234</v>
      </c>
      <c r="D54" s="348" t="s">
        <v>122</v>
      </c>
      <c r="E54" s="348" t="s">
        <v>147</v>
      </c>
      <c r="F54" s="517" t="s">
        <v>514</v>
      </c>
      <c r="G54" s="518"/>
      <c r="H54" s="518"/>
      <c r="I54" s="518"/>
      <c r="J54" s="518"/>
      <c r="K54" s="518"/>
      <c r="L54" s="518"/>
      <c r="M54" s="526"/>
      <c r="N54" s="347" t="s">
        <v>124</v>
      </c>
      <c r="O54" s="345" t="s">
        <v>171</v>
      </c>
      <c r="P54" s="536" t="s">
        <v>117</v>
      </c>
      <c r="Q54" s="537"/>
      <c r="R54" s="536" t="s">
        <v>393</v>
      </c>
      <c r="S54" s="538"/>
      <c r="T54" s="538"/>
      <c r="U54" s="537"/>
      <c r="V54" s="503" t="s">
        <v>157</v>
      </c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124</v>
      </c>
      <c r="B55" s="525"/>
      <c r="C55" s="348" t="s">
        <v>132</v>
      </c>
      <c r="D55" s="348" t="s">
        <v>183</v>
      </c>
      <c r="E55" s="348" t="s">
        <v>287</v>
      </c>
      <c r="F55" s="517" t="s">
        <v>120</v>
      </c>
      <c r="G55" s="518"/>
      <c r="H55" s="518"/>
      <c r="I55" s="518"/>
      <c r="J55" s="518"/>
      <c r="K55" s="518"/>
      <c r="L55" s="518"/>
      <c r="M55" s="526"/>
      <c r="N55" s="347" t="s">
        <v>124</v>
      </c>
      <c r="O55" s="345" t="s">
        <v>132</v>
      </c>
      <c r="P55" s="536" t="s">
        <v>183</v>
      </c>
      <c r="Q55" s="537"/>
      <c r="R55" s="536" t="s">
        <v>300</v>
      </c>
      <c r="S55" s="538"/>
      <c r="T55" s="538"/>
      <c r="U55" s="537"/>
      <c r="V55" s="503" t="s">
        <v>157</v>
      </c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 t="s">
        <v>128</v>
      </c>
      <c r="B56" s="525"/>
      <c r="C56" s="348" t="s">
        <v>179</v>
      </c>
      <c r="D56" s="348" t="s">
        <v>117</v>
      </c>
      <c r="E56" s="348" t="s">
        <v>189</v>
      </c>
      <c r="F56" s="517" t="s">
        <v>487</v>
      </c>
      <c r="G56" s="518"/>
      <c r="H56" s="518"/>
      <c r="I56" s="518"/>
      <c r="J56" s="518"/>
      <c r="K56" s="518"/>
      <c r="L56" s="518"/>
      <c r="M56" s="526"/>
      <c r="N56" s="347" t="s">
        <v>114</v>
      </c>
      <c r="O56" s="345" t="s">
        <v>234</v>
      </c>
      <c r="P56" s="536" t="s">
        <v>122</v>
      </c>
      <c r="Q56" s="537"/>
      <c r="R56" s="536" t="s">
        <v>147</v>
      </c>
      <c r="S56" s="538"/>
      <c r="T56" s="538"/>
      <c r="U56" s="537"/>
      <c r="V56" s="503" t="s">
        <v>157</v>
      </c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 t="s">
        <v>493</v>
      </c>
      <c r="B57" s="525"/>
      <c r="C57" s="348" t="s">
        <v>217</v>
      </c>
      <c r="D57" s="348"/>
      <c r="E57" s="348" t="s">
        <v>494</v>
      </c>
      <c r="F57" s="517" t="s">
        <v>513</v>
      </c>
      <c r="G57" s="518"/>
      <c r="H57" s="518"/>
      <c r="I57" s="518"/>
      <c r="J57" s="518"/>
      <c r="K57" s="518"/>
      <c r="L57" s="518"/>
      <c r="M57" s="526"/>
      <c r="N57" s="347" t="s">
        <v>493</v>
      </c>
      <c r="O57" s="345" t="s">
        <v>217</v>
      </c>
      <c r="P57" s="536"/>
      <c r="Q57" s="537"/>
      <c r="R57" s="525" t="s">
        <v>494</v>
      </c>
      <c r="S57" s="525"/>
      <c r="T57" s="525"/>
      <c r="U57" s="525"/>
      <c r="V57" s="503" t="s">
        <v>157</v>
      </c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 t="s">
        <v>138</v>
      </c>
      <c r="B58" s="525"/>
      <c r="C58" s="348" t="s">
        <v>171</v>
      </c>
      <c r="D58" s="348"/>
      <c r="E58" s="348" t="s">
        <v>462</v>
      </c>
      <c r="F58" s="517" t="s">
        <v>157</v>
      </c>
      <c r="G58" s="518"/>
      <c r="H58" s="518"/>
      <c r="I58" s="518"/>
      <c r="J58" s="518"/>
      <c r="K58" s="518"/>
      <c r="L58" s="518"/>
      <c r="M58" s="526"/>
      <c r="N58" s="347"/>
      <c r="O58" s="345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 t="s">
        <v>138</v>
      </c>
      <c r="B59" s="525"/>
      <c r="C59" s="348" t="s">
        <v>171</v>
      </c>
      <c r="D59" s="348"/>
      <c r="E59" s="348" t="s">
        <v>501</v>
      </c>
      <c r="F59" s="517" t="s">
        <v>157</v>
      </c>
      <c r="G59" s="518"/>
      <c r="H59" s="518"/>
      <c r="I59" s="518"/>
      <c r="J59" s="518"/>
      <c r="K59" s="518"/>
      <c r="L59" s="518"/>
      <c r="M59" s="526"/>
      <c r="N59" s="347"/>
      <c r="O59" s="345"/>
      <c r="P59" s="536"/>
      <c r="Q59" s="537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</row>
    <row r="60" spans="1:32" ht="27" customHeight="1">
      <c r="A60" s="524"/>
      <c r="B60" s="525"/>
      <c r="C60" s="348"/>
      <c r="D60" s="348"/>
      <c r="E60" s="348"/>
      <c r="F60" s="517"/>
      <c r="G60" s="518"/>
      <c r="H60" s="518"/>
      <c r="I60" s="518"/>
      <c r="J60" s="518"/>
      <c r="K60" s="518"/>
      <c r="L60" s="518"/>
      <c r="M60" s="526"/>
      <c r="N60" s="347"/>
      <c r="O60" s="345"/>
      <c r="P60" s="525"/>
      <c r="Q60" s="525"/>
      <c r="R60" s="525"/>
      <c r="S60" s="525"/>
      <c r="T60" s="525"/>
      <c r="U60" s="525"/>
      <c r="V60" s="503"/>
      <c r="W60" s="503"/>
      <c r="X60" s="503"/>
      <c r="Y60" s="503"/>
      <c r="Z60" s="503"/>
      <c r="AA60" s="503"/>
      <c r="AB60" s="503"/>
      <c r="AC60" s="503"/>
      <c r="AD60" s="527"/>
      <c r="AF60" s="87">
        <f>8*3000</f>
        <v>24000</v>
      </c>
    </row>
    <row r="61" spans="1:32" ht="27" customHeight="1" thickBot="1">
      <c r="A61" s="528"/>
      <c r="B61" s="529"/>
      <c r="C61" s="349"/>
      <c r="D61" s="349"/>
      <c r="E61" s="349"/>
      <c r="F61" s="530"/>
      <c r="G61" s="531"/>
      <c r="H61" s="531"/>
      <c r="I61" s="531"/>
      <c r="J61" s="531"/>
      <c r="K61" s="531"/>
      <c r="L61" s="531"/>
      <c r="M61" s="532"/>
      <c r="N61" s="124"/>
      <c r="O61" s="114"/>
      <c r="P61" s="533"/>
      <c r="Q61" s="533"/>
      <c r="R61" s="533"/>
      <c r="S61" s="533"/>
      <c r="T61" s="533"/>
      <c r="U61" s="533"/>
      <c r="V61" s="534"/>
      <c r="W61" s="534"/>
      <c r="X61" s="534"/>
      <c r="Y61" s="534"/>
      <c r="Z61" s="534"/>
      <c r="AA61" s="534"/>
      <c r="AB61" s="534"/>
      <c r="AC61" s="534"/>
      <c r="AD61" s="535"/>
      <c r="AF61" s="87">
        <f>16*3000</f>
        <v>48000</v>
      </c>
    </row>
    <row r="62" spans="1:32" ht="27.75" thickBot="1">
      <c r="A62" s="522" t="s">
        <v>516</v>
      </c>
      <c r="B62" s="522"/>
      <c r="C62" s="522"/>
      <c r="D62" s="522"/>
      <c r="E62" s="52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523" t="s">
        <v>113</v>
      </c>
      <c r="B63" s="515"/>
      <c r="C63" s="346" t="s">
        <v>2</v>
      </c>
      <c r="D63" s="346" t="s">
        <v>37</v>
      </c>
      <c r="E63" s="346" t="s">
        <v>3</v>
      </c>
      <c r="F63" s="515" t="s">
        <v>110</v>
      </c>
      <c r="G63" s="515"/>
      <c r="H63" s="515"/>
      <c r="I63" s="515"/>
      <c r="J63" s="515"/>
      <c r="K63" s="515" t="s">
        <v>39</v>
      </c>
      <c r="L63" s="515"/>
      <c r="M63" s="346" t="s">
        <v>40</v>
      </c>
      <c r="N63" s="515" t="s">
        <v>41</v>
      </c>
      <c r="O63" s="515"/>
      <c r="P63" s="512" t="s">
        <v>42</v>
      </c>
      <c r="Q63" s="514"/>
      <c r="R63" s="512" t="s">
        <v>43</v>
      </c>
      <c r="S63" s="513"/>
      <c r="T63" s="513"/>
      <c r="U63" s="513"/>
      <c r="V63" s="513"/>
      <c r="W63" s="513"/>
      <c r="X63" s="513"/>
      <c r="Y63" s="513"/>
      <c r="Z63" s="513"/>
      <c r="AA63" s="514"/>
      <c r="AB63" s="515" t="s">
        <v>44</v>
      </c>
      <c r="AC63" s="515"/>
      <c r="AD63" s="516"/>
      <c r="AF63" s="87">
        <f>SUM(AF60:AF62)</f>
        <v>96000</v>
      </c>
    </row>
    <row r="64" spans="1:32" ht="25.5" customHeight="1">
      <c r="A64" s="498">
        <v>1</v>
      </c>
      <c r="B64" s="499"/>
      <c r="C64" s="117"/>
      <c r="D64" s="341"/>
      <c r="E64" s="344"/>
      <c r="F64" s="500"/>
      <c r="G64" s="492"/>
      <c r="H64" s="492"/>
      <c r="I64" s="492"/>
      <c r="J64" s="492"/>
      <c r="K64" s="492"/>
      <c r="L64" s="492"/>
      <c r="M64" s="51"/>
      <c r="N64" s="501"/>
      <c r="O64" s="501"/>
      <c r="P64" s="502"/>
      <c r="Q64" s="502"/>
      <c r="R64" s="503"/>
      <c r="S64" s="503"/>
      <c r="T64" s="503"/>
      <c r="U64" s="503"/>
      <c r="V64" s="503"/>
      <c r="W64" s="503"/>
      <c r="X64" s="503"/>
      <c r="Y64" s="503"/>
      <c r="Z64" s="503"/>
      <c r="AA64" s="503"/>
      <c r="AB64" s="507"/>
      <c r="AC64" s="520"/>
      <c r="AD64" s="521"/>
      <c r="AF64" s="50"/>
    </row>
    <row r="65" spans="1:32" ht="25.5" customHeight="1">
      <c r="A65" s="498">
        <v>2</v>
      </c>
      <c r="B65" s="499"/>
      <c r="C65" s="117"/>
      <c r="D65" s="341"/>
      <c r="E65" s="344"/>
      <c r="F65" s="504"/>
      <c r="G65" s="505"/>
      <c r="H65" s="505"/>
      <c r="I65" s="505"/>
      <c r="J65" s="506"/>
      <c r="K65" s="507"/>
      <c r="L65" s="499"/>
      <c r="M65" s="51"/>
      <c r="N65" s="501"/>
      <c r="O65" s="501"/>
      <c r="P65" s="510"/>
      <c r="Q65" s="511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3</v>
      </c>
      <c r="B66" s="499"/>
      <c r="C66" s="117"/>
      <c r="D66" s="341"/>
      <c r="E66" s="344"/>
      <c r="F66" s="504"/>
      <c r="G66" s="505"/>
      <c r="H66" s="505"/>
      <c r="I66" s="505"/>
      <c r="J66" s="506"/>
      <c r="K66" s="507"/>
      <c r="L66" s="499"/>
      <c r="M66" s="51"/>
      <c r="N66" s="501"/>
      <c r="O66" s="501"/>
      <c r="P66" s="510"/>
      <c r="Q66" s="511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4</v>
      </c>
      <c r="B67" s="499"/>
      <c r="C67" s="117"/>
      <c r="D67" s="341"/>
      <c r="E67" s="344"/>
      <c r="F67" s="504"/>
      <c r="G67" s="505"/>
      <c r="H67" s="505"/>
      <c r="I67" s="505"/>
      <c r="J67" s="506"/>
      <c r="K67" s="507"/>
      <c r="L67" s="499"/>
      <c r="M67" s="51"/>
      <c r="N67" s="508"/>
      <c r="O67" s="509"/>
      <c r="P67" s="510"/>
      <c r="Q67" s="511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5</v>
      </c>
      <c r="B68" s="499"/>
      <c r="C68" s="117"/>
      <c r="D68" s="341"/>
      <c r="E68" s="344"/>
      <c r="F68" s="504"/>
      <c r="G68" s="505"/>
      <c r="H68" s="505"/>
      <c r="I68" s="505"/>
      <c r="J68" s="506"/>
      <c r="K68" s="507"/>
      <c r="L68" s="499"/>
      <c r="M68" s="51"/>
      <c r="N68" s="508"/>
      <c r="O68" s="509"/>
      <c r="P68" s="510"/>
      <c r="Q68" s="511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6</v>
      </c>
      <c r="B69" s="499"/>
      <c r="C69" s="117"/>
      <c r="D69" s="341"/>
      <c r="E69" s="344"/>
      <c r="F69" s="500"/>
      <c r="G69" s="492"/>
      <c r="H69" s="492"/>
      <c r="I69" s="492"/>
      <c r="J69" s="492"/>
      <c r="K69" s="492"/>
      <c r="L69" s="492"/>
      <c r="M69" s="51"/>
      <c r="N69" s="508"/>
      <c r="O69" s="509"/>
      <c r="P69" s="510"/>
      <c r="Q69" s="511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7</v>
      </c>
      <c r="B70" s="499"/>
      <c r="C70" s="117"/>
      <c r="D70" s="341"/>
      <c r="E70" s="344"/>
      <c r="F70" s="500"/>
      <c r="G70" s="492"/>
      <c r="H70" s="492"/>
      <c r="I70" s="492"/>
      <c r="J70" s="492"/>
      <c r="K70" s="492"/>
      <c r="L70" s="492"/>
      <c r="M70" s="51"/>
      <c r="N70" s="508"/>
      <c r="O70" s="509"/>
      <c r="P70" s="510"/>
      <c r="Q70" s="511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5.5" customHeight="1">
      <c r="A71" s="498">
        <v>8</v>
      </c>
      <c r="B71" s="499"/>
      <c r="C71" s="117"/>
      <c r="D71" s="341"/>
      <c r="E71" s="344"/>
      <c r="F71" s="500"/>
      <c r="G71" s="492"/>
      <c r="H71" s="492"/>
      <c r="I71" s="492"/>
      <c r="J71" s="492"/>
      <c r="K71" s="492"/>
      <c r="L71" s="492"/>
      <c r="M71" s="51"/>
      <c r="N71" s="508"/>
      <c r="O71" s="509"/>
      <c r="P71" s="510"/>
      <c r="Q71" s="511"/>
      <c r="R71" s="503"/>
      <c r="S71" s="503"/>
      <c r="T71" s="503"/>
      <c r="U71" s="503"/>
      <c r="V71" s="503"/>
      <c r="W71" s="503"/>
      <c r="X71" s="503"/>
      <c r="Y71" s="503"/>
      <c r="Z71" s="503"/>
      <c r="AA71" s="503"/>
      <c r="AB71" s="492"/>
      <c r="AC71" s="492"/>
      <c r="AD71" s="493"/>
      <c r="AF71" s="50"/>
    </row>
    <row r="72" spans="1:32" ht="26.25" customHeight="1" thickBot="1">
      <c r="A72" s="472" t="s">
        <v>517</v>
      </c>
      <c r="B72" s="472"/>
      <c r="C72" s="472"/>
      <c r="D72" s="472"/>
      <c r="E72" s="472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73" t="s">
        <v>113</v>
      </c>
      <c r="B73" s="474"/>
      <c r="C73" s="343" t="s">
        <v>2</v>
      </c>
      <c r="D73" s="343" t="s">
        <v>37</v>
      </c>
      <c r="E73" s="343" t="s">
        <v>3</v>
      </c>
      <c r="F73" s="474" t="s">
        <v>38</v>
      </c>
      <c r="G73" s="474"/>
      <c r="H73" s="474"/>
      <c r="I73" s="474"/>
      <c r="J73" s="474"/>
      <c r="K73" s="494" t="s">
        <v>58</v>
      </c>
      <c r="L73" s="495"/>
      <c r="M73" s="495"/>
      <c r="N73" s="495"/>
      <c r="O73" s="495"/>
      <c r="P73" s="495"/>
      <c r="Q73" s="495"/>
      <c r="R73" s="495"/>
      <c r="S73" s="496"/>
      <c r="T73" s="474" t="s">
        <v>49</v>
      </c>
      <c r="U73" s="474"/>
      <c r="V73" s="494" t="s">
        <v>50</v>
      </c>
      <c r="W73" s="496"/>
      <c r="X73" s="495" t="s">
        <v>51</v>
      </c>
      <c r="Y73" s="495"/>
      <c r="Z73" s="495"/>
      <c r="AA73" s="495"/>
      <c r="AB73" s="495"/>
      <c r="AC73" s="495"/>
      <c r="AD73" s="497"/>
      <c r="AF73" s="50"/>
    </row>
    <row r="74" spans="1:32" ht="33.75" customHeight="1">
      <c r="A74" s="466">
        <v>1</v>
      </c>
      <c r="B74" s="467"/>
      <c r="C74" s="342" t="s">
        <v>114</v>
      </c>
      <c r="D74" s="342"/>
      <c r="E74" s="65" t="s">
        <v>119</v>
      </c>
      <c r="F74" s="481" t="s">
        <v>118</v>
      </c>
      <c r="G74" s="482"/>
      <c r="H74" s="482"/>
      <c r="I74" s="482"/>
      <c r="J74" s="483"/>
      <c r="K74" s="484" t="s">
        <v>130</v>
      </c>
      <c r="L74" s="485"/>
      <c r="M74" s="485"/>
      <c r="N74" s="485"/>
      <c r="O74" s="485"/>
      <c r="P74" s="485"/>
      <c r="Q74" s="485"/>
      <c r="R74" s="485"/>
      <c r="S74" s="486"/>
      <c r="T74" s="487">
        <v>43675</v>
      </c>
      <c r="U74" s="488"/>
      <c r="V74" s="489"/>
      <c r="W74" s="489"/>
      <c r="X74" s="490"/>
      <c r="Y74" s="490"/>
      <c r="Z74" s="490"/>
      <c r="AA74" s="490"/>
      <c r="AB74" s="490"/>
      <c r="AC74" s="490"/>
      <c r="AD74" s="491"/>
      <c r="AF74" s="50"/>
    </row>
    <row r="75" spans="1:32" ht="30" customHeight="1">
      <c r="A75" s="459">
        <f>A74+1</f>
        <v>2</v>
      </c>
      <c r="B75" s="460"/>
      <c r="C75" s="341"/>
      <c r="D75" s="341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ref="A76:A82" si="21">A75+1</f>
        <v>3</v>
      </c>
      <c r="B76" s="460"/>
      <c r="C76" s="341"/>
      <c r="D76" s="341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21"/>
        <v>4</v>
      </c>
      <c r="B77" s="460"/>
      <c r="C77" s="341"/>
      <c r="D77" s="341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21"/>
        <v>5</v>
      </c>
      <c r="B78" s="460"/>
      <c r="C78" s="341"/>
      <c r="D78" s="341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21"/>
        <v>6</v>
      </c>
      <c r="B79" s="460"/>
      <c r="C79" s="341"/>
      <c r="D79" s="341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21"/>
        <v>7</v>
      </c>
      <c r="B80" s="460"/>
      <c r="C80" s="341"/>
      <c r="D80" s="341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21"/>
        <v>8</v>
      </c>
      <c r="B81" s="460"/>
      <c r="C81" s="341"/>
      <c r="D81" s="341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0" customHeight="1">
      <c r="A82" s="459">
        <f t="shared" si="21"/>
        <v>9</v>
      </c>
      <c r="B82" s="460"/>
      <c r="C82" s="341"/>
      <c r="D82" s="341"/>
      <c r="E82" s="32"/>
      <c r="F82" s="460"/>
      <c r="G82" s="460"/>
      <c r="H82" s="460"/>
      <c r="I82" s="460"/>
      <c r="J82" s="460"/>
      <c r="K82" s="475"/>
      <c r="L82" s="476"/>
      <c r="M82" s="476"/>
      <c r="N82" s="476"/>
      <c r="O82" s="476"/>
      <c r="P82" s="476"/>
      <c r="Q82" s="476"/>
      <c r="R82" s="476"/>
      <c r="S82" s="477"/>
      <c r="T82" s="478"/>
      <c r="U82" s="478"/>
      <c r="V82" s="478"/>
      <c r="W82" s="478"/>
      <c r="X82" s="479"/>
      <c r="Y82" s="479"/>
      <c r="Z82" s="479"/>
      <c r="AA82" s="479"/>
      <c r="AB82" s="479"/>
      <c r="AC82" s="479"/>
      <c r="AD82" s="480"/>
      <c r="AF82" s="50"/>
    </row>
    <row r="83" spans="1:32" ht="36" thickBot="1">
      <c r="A83" s="472" t="s">
        <v>518</v>
      </c>
      <c r="B83" s="472"/>
      <c r="C83" s="472"/>
      <c r="D83" s="472"/>
      <c r="E83" s="472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3" t="s">
        <v>113</v>
      </c>
      <c r="B84" s="474"/>
      <c r="C84" s="464" t="s">
        <v>52</v>
      </c>
      <c r="D84" s="464"/>
      <c r="E84" s="464" t="s">
        <v>53</v>
      </c>
      <c r="F84" s="464"/>
      <c r="G84" s="464"/>
      <c r="H84" s="464"/>
      <c r="I84" s="464"/>
      <c r="J84" s="464"/>
      <c r="K84" s="464" t="s">
        <v>54</v>
      </c>
      <c r="L84" s="464"/>
      <c r="M84" s="464"/>
      <c r="N84" s="464"/>
      <c r="O84" s="464"/>
      <c r="P84" s="464"/>
      <c r="Q84" s="464"/>
      <c r="R84" s="464"/>
      <c r="S84" s="464"/>
      <c r="T84" s="464" t="s">
        <v>55</v>
      </c>
      <c r="U84" s="464"/>
      <c r="V84" s="464" t="s">
        <v>56</v>
      </c>
      <c r="W84" s="464"/>
      <c r="X84" s="464"/>
      <c r="Y84" s="464" t="s">
        <v>51</v>
      </c>
      <c r="Z84" s="464"/>
      <c r="AA84" s="464"/>
      <c r="AB84" s="464"/>
      <c r="AC84" s="464"/>
      <c r="AD84" s="465"/>
      <c r="AF84" s="50"/>
    </row>
    <row r="85" spans="1:32" ht="30.75" customHeight="1">
      <c r="A85" s="466">
        <v>1</v>
      </c>
      <c r="B85" s="467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8"/>
      <c r="U85" s="468"/>
      <c r="V85" s="469"/>
      <c r="W85" s="469"/>
      <c r="X85" s="469"/>
      <c r="Y85" s="470"/>
      <c r="Z85" s="470"/>
      <c r="AA85" s="470"/>
      <c r="AB85" s="470"/>
      <c r="AC85" s="470"/>
      <c r="AD85" s="471"/>
      <c r="AF85" s="50"/>
    </row>
    <row r="86" spans="1:32" ht="30.75" customHeight="1">
      <c r="A86" s="459">
        <v>2</v>
      </c>
      <c r="B86" s="460"/>
      <c r="C86" s="461"/>
      <c r="D86" s="461"/>
      <c r="E86" s="461"/>
      <c r="F86" s="461"/>
      <c r="G86" s="461"/>
      <c r="H86" s="461"/>
      <c r="I86" s="461"/>
      <c r="J86" s="461"/>
      <c r="K86" s="461"/>
      <c r="L86" s="461"/>
      <c r="M86" s="461"/>
      <c r="N86" s="461"/>
      <c r="O86" s="461"/>
      <c r="P86" s="461"/>
      <c r="Q86" s="461"/>
      <c r="R86" s="461"/>
      <c r="S86" s="461"/>
      <c r="T86" s="462"/>
      <c r="U86" s="462"/>
      <c r="V86" s="463"/>
      <c r="W86" s="463"/>
      <c r="X86" s="463"/>
      <c r="Y86" s="452"/>
      <c r="Z86" s="452"/>
      <c r="AA86" s="452"/>
      <c r="AB86" s="452"/>
      <c r="AC86" s="452"/>
      <c r="AD86" s="453"/>
      <c r="AF86" s="50"/>
    </row>
    <row r="87" spans="1:32" ht="30.75" customHeight="1" thickBot="1">
      <c r="A87" s="454">
        <v>3</v>
      </c>
      <c r="B87" s="455"/>
      <c r="C87" s="456"/>
      <c r="D87" s="456"/>
      <c r="E87" s="456"/>
      <c r="F87" s="456"/>
      <c r="G87" s="456"/>
      <c r="H87" s="456"/>
      <c r="I87" s="456"/>
      <c r="J87" s="456"/>
      <c r="K87" s="456"/>
      <c r="L87" s="456"/>
      <c r="M87" s="456"/>
      <c r="N87" s="456"/>
      <c r="O87" s="456"/>
      <c r="P87" s="456"/>
      <c r="Q87" s="456"/>
      <c r="R87" s="456"/>
      <c r="S87" s="456"/>
      <c r="T87" s="456"/>
      <c r="U87" s="456"/>
      <c r="V87" s="456"/>
      <c r="W87" s="456"/>
      <c r="X87" s="456"/>
      <c r="Y87" s="457"/>
      <c r="Z87" s="457"/>
      <c r="AA87" s="457"/>
      <c r="AB87" s="457"/>
      <c r="AC87" s="457"/>
      <c r="AD87" s="458"/>
      <c r="AF87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778CA-FCBA-42A6-AEAC-338C4C5DE71E}">
  <dimension ref="A1:AF86"/>
  <sheetViews>
    <sheetView zoomScale="72" zoomScaleNormal="72" zoomScaleSheetLayoutView="70" workbookViewId="0">
      <selection activeCell="U15" sqref="U1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519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352" t="s">
        <v>17</v>
      </c>
      <c r="L5" s="352" t="s">
        <v>18</v>
      </c>
      <c r="M5" s="352" t="s">
        <v>19</v>
      </c>
      <c r="N5" s="35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0.53055555555555556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0.53055555555555556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352</v>
      </c>
      <c r="E8" s="53" t="s">
        <v>486</v>
      </c>
      <c r="F8" s="30" t="s">
        <v>141</v>
      </c>
      <c r="G8" s="33">
        <v>2</v>
      </c>
      <c r="H8" s="35">
        <v>24</v>
      </c>
      <c r="I8" s="7">
        <v>50000</v>
      </c>
      <c r="J8" s="14">
        <v>9956</v>
      </c>
      <c r="K8" s="15">
        <f>L8+4928+9946</f>
        <v>24830</v>
      </c>
      <c r="L8" s="15">
        <f>2440*2+2538*2</f>
        <v>9956</v>
      </c>
      <c r="M8" s="15">
        <f t="shared" si="1"/>
        <v>9956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0.53055555555555556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4569</v>
      </c>
      <c r="K9" s="15">
        <f>L9+1036+2500+4639+2951+2392+2902+2784+3566+4110+4299+4289+1910+4734+4854+3892+4611+3795+5160+1762+3528+5214+2558</f>
        <v>82055</v>
      </c>
      <c r="L9" s="15">
        <f>2524+2045</f>
        <v>4569</v>
      </c>
      <c r="M9" s="15">
        <f t="shared" si="1"/>
        <v>4569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0.53055555555555556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128</v>
      </c>
      <c r="D10" s="52" t="s">
        <v>520</v>
      </c>
      <c r="E10" s="53" t="s">
        <v>521</v>
      </c>
      <c r="F10" s="30" t="s">
        <v>190</v>
      </c>
      <c r="G10" s="33">
        <v>1</v>
      </c>
      <c r="H10" s="35">
        <v>24</v>
      </c>
      <c r="I10" s="7">
        <v>2000</v>
      </c>
      <c r="J10" s="5">
        <v>3509</v>
      </c>
      <c r="K10" s="15">
        <f>L10</f>
        <v>3509</v>
      </c>
      <c r="L10" s="15">
        <f>1711+1798</f>
        <v>3509</v>
      </c>
      <c r="M10" s="15">
        <f t="shared" si="1"/>
        <v>3509</v>
      </c>
      <c r="N10" s="15">
        <v>0</v>
      </c>
      <c r="O10" s="58">
        <f t="shared" si="2"/>
        <v>0</v>
      </c>
      <c r="P10" s="39">
        <f t="shared" si="3"/>
        <v>18</v>
      </c>
      <c r="Q10" s="40">
        <f t="shared" si="4"/>
        <v>6</v>
      </c>
      <c r="R10" s="7"/>
      <c r="S10" s="6"/>
      <c r="T10" s="16">
        <v>2</v>
      </c>
      <c r="U10" s="16"/>
      <c r="V10" s="17"/>
      <c r="W10" s="5">
        <v>4</v>
      </c>
      <c r="X10" s="16"/>
      <c r="Y10" s="16"/>
      <c r="Z10" s="16"/>
      <c r="AA10" s="18"/>
      <c r="AB10" s="8">
        <f t="shared" si="5"/>
        <v>1</v>
      </c>
      <c r="AC10" s="9">
        <f t="shared" si="6"/>
        <v>0.75</v>
      </c>
      <c r="AD10" s="10">
        <f>AC10*AB10*(1-O10)</f>
        <v>0.75</v>
      </c>
      <c r="AE10" s="36">
        <f t="shared" si="8"/>
        <v>0.53055555555555556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287</v>
      </c>
      <c r="F11" s="30" t="s">
        <v>126</v>
      </c>
      <c r="G11" s="33">
        <v>1</v>
      </c>
      <c r="H11" s="35">
        <v>24</v>
      </c>
      <c r="I11" s="7">
        <v>5000</v>
      </c>
      <c r="J11" s="5">
        <v>2346</v>
      </c>
      <c r="K11" s="15">
        <f>L11+2419</f>
        <v>4765</v>
      </c>
      <c r="L11" s="15">
        <v>2346</v>
      </c>
      <c r="M11" s="15">
        <f t="shared" si="1"/>
        <v>2346</v>
      </c>
      <c r="N11" s="15">
        <v>0</v>
      </c>
      <c r="O11" s="58">
        <f t="shared" si="2"/>
        <v>0</v>
      </c>
      <c r="P11" s="39">
        <f t="shared" si="3"/>
        <v>13</v>
      </c>
      <c r="Q11" s="40">
        <f t="shared" si="4"/>
        <v>11</v>
      </c>
      <c r="R11" s="7"/>
      <c r="S11" s="6">
        <v>11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0.54166666666666663</v>
      </c>
      <c r="AD11" s="10">
        <f>AC11*AB11*(1-O11)</f>
        <v>0.54166666666666663</v>
      </c>
      <c r="AE11" s="36">
        <f t="shared" si="8"/>
        <v>0.53055555555555556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144</v>
      </c>
      <c r="F12" s="30" t="s">
        <v>121</v>
      </c>
      <c r="G12" s="33">
        <v>1</v>
      </c>
      <c r="H12" s="35">
        <v>24</v>
      </c>
      <c r="I12" s="7">
        <v>70000</v>
      </c>
      <c r="J12" s="14">
        <v>463</v>
      </c>
      <c r="K12" s="15">
        <f>L12+2036+3193+2673+3958+1875+401+3155+4199+2859+2339+1952+1208+2933+3415+1960+4032+870+1602+872+2860+3148+2498</f>
        <v>54501</v>
      </c>
      <c r="L12" s="15">
        <f>463</f>
        <v>463</v>
      </c>
      <c r="M12" s="15">
        <f t="shared" si="1"/>
        <v>463</v>
      </c>
      <c r="N12" s="15">
        <v>0</v>
      </c>
      <c r="O12" s="58">
        <f t="shared" si="2"/>
        <v>0</v>
      </c>
      <c r="P12" s="39">
        <f t="shared" si="3"/>
        <v>3</v>
      </c>
      <c r="Q12" s="40">
        <f t="shared" si="4"/>
        <v>21</v>
      </c>
      <c r="R12" s="7"/>
      <c r="S12" s="6">
        <v>21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0.125</v>
      </c>
      <c r="AD12" s="10">
        <f t="shared" ref="AD12:AD13" si="10">AC12*AB12*(1-O12)</f>
        <v>0.125</v>
      </c>
      <c r="AE12" s="36">
        <f t="shared" si="8"/>
        <v>0.53055555555555556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117</v>
      </c>
      <c r="E13" s="53" t="s">
        <v>242</v>
      </c>
      <c r="F13" s="30" t="s">
        <v>243</v>
      </c>
      <c r="G13" s="33">
        <v>2</v>
      </c>
      <c r="H13" s="35">
        <v>24</v>
      </c>
      <c r="I13" s="7">
        <v>12000</v>
      </c>
      <c r="J13" s="14">
        <v>9692</v>
      </c>
      <c r="K13" s="15">
        <f>L13</f>
        <v>9692</v>
      </c>
      <c r="L13" s="15">
        <f>3083*2+1763*2</f>
        <v>9692</v>
      </c>
      <c r="M13" s="15">
        <f t="shared" si="1"/>
        <v>9692</v>
      </c>
      <c r="N13" s="15">
        <v>0</v>
      </c>
      <c r="O13" s="58">
        <f t="shared" si="2"/>
        <v>0</v>
      </c>
      <c r="P13" s="39">
        <f t="shared" si="3"/>
        <v>20</v>
      </c>
      <c r="Q13" s="40">
        <f t="shared" si="4"/>
        <v>4</v>
      </c>
      <c r="R13" s="7"/>
      <c r="S13" s="6">
        <v>4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0.83333333333333337</v>
      </c>
      <c r="AD13" s="10">
        <f t="shared" si="10"/>
        <v>0.83333333333333337</v>
      </c>
      <c r="AE13" s="36">
        <f t="shared" si="8"/>
        <v>0.53055555555555556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381</v>
      </c>
      <c r="D14" s="52"/>
      <c r="E14" s="53" t="s">
        <v>382</v>
      </c>
      <c r="F14" s="30" t="s">
        <v>383</v>
      </c>
      <c r="G14" s="33">
        <v>1</v>
      </c>
      <c r="H14" s="35">
        <v>24</v>
      </c>
      <c r="I14" s="7">
        <v>200</v>
      </c>
      <c r="J14" s="5">
        <v>318</v>
      </c>
      <c r="K14" s="15">
        <f>L14+318</f>
        <v>318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0.53055555555555556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493</v>
      </c>
      <c r="D15" s="52"/>
      <c r="E15" s="53" t="s">
        <v>494</v>
      </c>
      <c r="F15" s="12" t="s">
        <v>495</v>
      </c>
      <c r="G15" s="12">
        <v>8</v>
      </c>
      <c r="H15" s="13">
        <v>24</v>
      </c>
      <c r="I15" s="31">
        <v>20000</v>
      </c>
      <c r="J15" s="14">
        <v>3622</v>
      </c>
      <c r="K15" s="15">
        <f>L15</f>
        <v>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0.53055555555555556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125</v>
      </c>
      <c r="E16" s="53" t="s">
        <v>149</v>
      </c>
      <c r="F16" s="30" t="s">
        <v>126</v>
      </c>
      <c r="G16" s="12">
        <v>1</v>
      </c>
      <c r="H16" s="13">
        <v>28</v>
      </c>
      <c r="I16" s="7">
        <v>50000</v>
      </c>
      <c r="J16" s="14">
        <v>5082</v>
      </c>
      <c r="K16" s="15">
        <f>L16+2312+5350</f>
        <v>12744</v>
      </c>
      <c r="L16" s="15">
        <f>2319+2763</f>
        <v>5082</v>
      </c>
      <c r="M16" s="15">
        <f t="shared" si="1"/>
        <v>5082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0.53055555555555556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449</v>
      </c>
      <c r="E17" s="53" t="s">
        <v>441</v>
      </c>
      <c r="F17" s="30" t="s">
        <v>249</v>
      </c>
      <c r="G17" s="33">
        <v>1</v>
      </c>
      <c r="H17" s="35">
        <v>24</v>
      </c>
      <c r="I17" s="7">
        <v>24000</v>
      </c>
      <c r="J17" s="5">
        <v>6001</v>
      </c>
      <c r="K17" s="15">
        <f>L17+5168+2206+4833+5412+6386</f>
        <v>30006</v>
      </c>
      <c r="L17" s="15">
        <f>3068+2933</f>
        <v>6001</v>
      </c>
      <c r="M17" s="15">
        <f t="shared" si="1"/>
        <v>6001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8"/>
        <v>0.53055555555555556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122</v>
      </c>
      <c r="E18" s="53" t="s">
        <v>147</v>
      </c>
      <c r="F18" s="30" t="s">
        <v>123</v>
      </c>
      <c r="G18" s="33">
        <v>1</v>
      </c>
      <c r="H18" s="35">
        <v>24</v>
      </c>
      <c r="I18" s="7">
        <v>60000</v>
      </c>
      <c r="J18" s="5">
        <v>603</v>
      </c>
      <c r="K18" s="15">
        <f>L18+1915+5043+1754+4429+1736+4741+3615+930+3442+701+570</f>
        <v>29479</v>
      </c>
      <c r="L18" s="15">
        <v>603</v>
      </c>
      <c r="M18" s="15">
        <f t="shared" si="1"/>
        <v>603</v>
      </c>
      <c r="N18" s="15">
        <v>0</v>
      </c>
      <c r="O18" s="58">
        <f t="shared" si="2"/>
        <v>0</v>
      </c>
      <c r="P18" s="39">
        <f t="shared" si="3"/>
        <v>4</v>
      </c>
      <c r="Q18" s="40">
        <f t="shared" si="4"/>
        <v>20</v>
      </c>
      <c r="R18" s="7"/>
      <c r="S18" s="6">
        <v>20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0.16666666666666666</v>
      </c>
      <c r="AD18" s="10">
        <f>AC18*AB18*(1-O18)</f>
        <v>0.16666666666666666</v>
      </c>
      <c r="AE18" s="36">
        <f t="shared" si="8"/>
        <v>0.53055555555555556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138</v>
      </c>
      <c r="D19" s="52"/>
      <c r="E19" s="53" t="s">
        <v>501</v>
      </c>
      <c r="F19" s="30" t="s">
        <v>417</v>
      </c>
      <c r="G19" s="33">
        <v>1</v>
      </c>
      <c r="H19" s="35">
        <v>24</v>
      </c>
      <c r="I19" s="7">
        <v>7500</v>
      </c>
      <c r="J19" s="14">
        <v>5489</v>
      </c>
      <c r="K19" s="15">
        <f>L19+2288</f>
        <v>7777</v>
      </c>
      <c r="L19" s="15">
        <f>2698+2791</f>
        <v>5489</v>
      </c>
      <c r="M19" s="15">
        <f t="shared" si="1"/>
        <v>5489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si="7"/>
        <v>1</v>
      </c>
      <c r="AE19" s="36">
        <f t="shared" si="8"/>
        <v>0.53055555555555556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268</v>
      </c>
      <c r="F20" s="12" t="s">
        <v>116</v>
      </c>
      <c r="G20" s="12">
        <v>4</v>
      </c>
      <c r="H20" s="35">
        <v>20</v>
      </c>
      <c r="I20" s="7">
        <v>200000</v>
      </c>
      <c r="J20" s="14">
        <v>30357</v>
      </c>
      <c r="K20" s="15">
        <f>L20+30099+30702</f>
        <v>91158</v>
      </c>
      <c r="L20" s="15">
        <f>10119*3</f>
        <v>30357</v>
      </c>
      <c r="M20" s="15">
        <f t="shared" si="1"/>
        <v>30357</v>
      </c>
      <c r="N20" s="15">
        <v>0</v>
      </c>
      <c r="O20" s="58">
        <f t="shared" si="2"/>
        <v>0</v>
      </c>
      <c r="P20" s="39">
        <f t="shared" si="3"/>
        <v>13</v>
      </c>
      <c r="Q20" s="40">
        <f t="shared" si="4"/>
        <v>11</v>
      </c>
      <c r="R20" s="7"/>
      <c r="S20" s="6"/>
      <c r="T20" s="16"/>
      <c r="U20" s="16"/>
      <c r="V20" s="17">
        <v>11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0.54166666666666663</v>
      </c>
      <c r="AD20" s="10">
        <f t="shared" si="7"/>
        <v>0.54166666666666663</v>
      </c>
      <c r="AE20" s="36">
        <f t="shared" si="8"/>
        <v>0.53055555555555556</v>
      </c>
      <c r="AF20" s="87">
        <f t="shared" si="9"/>
        <v>15</v>
      </c>
    </row>
    <row r="21" spans="1:32" ht="31.5" customHeight="1" thickBot="1">
      <c r="A21" s="541" t="s">
        <v>34</v>
      </c>
      <c r="B21" s="542"/>
      <c r="C21" s="542"/>
      <c r="D21" s="542"/>
      <c r="E21" s="542"/>
      <c r="F21" s="542"/>
      <c r="G21" s="542"/>
      <c r="H21" s="543"/>
      <c r="I21" s="22">
        <f t="shared" ref="I21:N21" si="11">SUM(I6:I20)</f>
        <v>591700</v>
      </c>
      <c r="J21" s="19">
        <f t="shared" si="11"/>
        <v>84068</v>
      </c>
      <c r="K21" s="20">
        <f t="shared" si="11"/>
        <v>362382</v>
      </c>
      <c r="L21" s="21">
        <f t="shared" si="11"/>
        <v>78067</v>
      </c>
      <c r="M21" s="20">
        <f t="shared" si="11"/>
        <v>78067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191</v>
      </c>
      <c r="Q21" s="43">
        <f t="shared" si="12"/>
        <v>169</v>
      </c>
      <c r="R21" s="23">
        <f t="shared" si="12"/>
        <v>24</v>
      </c>
      <c r="S21" s="24">
        <f t="shared" si="12"/>
        <v>80</v>
      </c>
      <c r="T21" s="24">
        <f t="shared" si="12"/>
        <v>2</v>
      </c>
      <c r="U21" s="24">
        <f t="shared" si="12"/>
        <v>0</v>
      </c>
      <c r="V21" s="25">
        <f t="shared" si="12"/>
        <v>35</v>
      </c>
      <c r="W21" s="26">
        <f t="shared" si="12"/>
        <v>28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0.73333333333333328</v>
      </c>
      <c r="AC21" s="4">
        <f>SUM(AC6:AC20)/15</f>
        <v>0.53055555555555556</v>
      </c>
      <c r="AD21" s="4">
        <f>SUM(AD6:AD20)/15</f>
        <v>0.53055555555555556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44" t="s">
        <v>45</v>
      </c>
      <c r="B48" s="544"/>
      <c r="C48" s="544"/>
      <c r="D48" s="544"/>
      <c r="E48" s="54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45" t="s">
        <v>522</v>
      </c>
      <c r="B49" s="546"/>
      <c r="C49" s="546"/>
      <c r="D49" s="546"/>
      <c r="E49" s="546"/>
      <c r="F49" s="546"/>
      <c r="G49" s="546"/>
      <c r="H49" s="546"/>
      <c r="I49" s="546"/>
      <c r="J49" s="546"/>
      <c r="K49" s="546"/>
      <c r="L49" s="546"/>
      <c r="M49" s="547"/>
      <c r="N49" s="548" t="s">
        <v>525</v>
      </c>
      <c r="O49" s="549"/>
      <c r="P49" s="549"/>
      <c r="Q49" s="549"/>
      <c r="R49" s="549"/>
      <c r="S49" s="549"/>
      <c r="T49" s="549"/>
      <c r="U49" s="549"/>
      <c r="V49" s="549"/>
      <c r="W49" s="549"/>
      <c r="X49" s="549"/>
      <c r="Y49" s="549"/>
      <c r="Z49" s="549"/>
      <c r="AA49" s="549"/>
      <c r="AB49" s="549"/>
      <c r="AC49" s="549"/>
      <c r="AD49" s="550"/>
    </row>
    <row r="50" spans="1:32" ht="27" customHeight="1">
      <c r="A50" s="551" t="s">
        <v>2</v>
      </c>
      <c r="B50" s="552"/>
      <c r="C50" s="353" t="s">
        <v>46</v>
      </c>
      <c r="D50" s="353" t="s">
        <v>47</v>
      </c>
      <c r="E50" s="353" t="s">
        <v>108</v>
      </c>
      <c r="F50" s="552" t="s">
        <v>107</v>
      </c>
      <c r="G50" s="552"/>
      <c r="H50" s="552"/>
      <c r="I50" s="552"/>
      <c r="J50" s="552"/>
      <c r="K50" s="552"/>
      <c r="L50" s="552"/>
      <c r="M50" s="553"/>
      <c r="N50" s="67" t="s">
        <v>112</v>
      </c>
      <c r="O50" s="353" t="s">
        <v>46</v>
      </c>
      <c r="P50" s="554" t="s">
        <v>47</v>
      </c>
      <c r="Q50" s="555"/>
      <c r="R50" s="554" t="s">
        <v>38</v>
      </c>
      <c r="S50" s="556"/>
      <c r="T50" s="556"/>
      <c r="U50" s="555"/>
      <c r="V50" s="554" t="s">
        <v>48</v>
      </c>
      <c r="W50" s="556"/>
      <c r="X50" s="556"/>
      <c r="Y50" s="556"/>
      <c r="Z50" s="556"/>
      <c r="AA50" s="556"/>
      <c r="AB50" s="556"/>
      <c r="AC50" s="556"/>
      <c r="AD50" s="557"/>
    </row>
    <row r="51" spans="1:32" ht="27" customHeight="1">
      <c r="A51" s="524" t="s">
        <v>128</v>
      </c>
      <c r="B51" s="525"/>
      <c r="C51" s="355" t="s">
        <v>155</v>
      </c>
      <c r="D51" s="355" t="s">
        <v>520</v>
      </c>
      <c r="E51" s="355" t="s">
        <v>521</v>
      </c>
      <c r="F51" s="517" t="s">
        <v>120</v>
      </c>
      <c r="G51" s="518"/>
      <c r="H51" s="518"/>
      <c r="I51" s="518"/>
      <c r="J51" s="518"/>
      <c r="K51" s="518"/>
      <c r="L51" s="518"/>
      <c r="M51" s="526"/>
      <c r="N51" s="354" t="s">
        <v>124</v>
      </c>
      <c r="O51" s="359" t="s">
        <v>171</v>
      </c>
      <c r="P51" s="536" t="s">
        <v>117</v>
      </c>
      <c r="Q51" s="537"/>
      <c r="R51" s="536" t="s">
        <v>393</v>
      </c>
      <c r="S51" s="538"/>
      <c r="T51" s="538"/>
      <c r="U51" s="537"/>
      <c r="V51" s="503" t="s">
        <v>157</v>
      </c>
      <c r="W51" s="503"/>
      <c r="X51" s="503"/>
      <c r="Y51" s="503"/>
      <c r="Z51" s="503"/>
      <c r="AA51" s="503"/>
      <c r="AB51" s="503"/>
      <c r="AC51" s="503"/>
      <c r="AD51" s="527"/>
    </row>
    <row r="52" spans="1:32" ht="27" customHeight="1">
      <c r="A52" s="524" t="s">
        <v>114</v>
      </c>
      <c r="B52" s="525"/>
      <c r="C52" s="355" t="s">
        <v>150</v>
      </c>
      <c r="D52" s="355" t="s">
        <v>117</v>
      </c>
      <c r="E52" s="355" t="s">
        <v>144</v>
      </c>
      <c r="F52" s="517" t="s">
        <v>174</v>
      </c>
      <c r="G52" s="518"/>
      <c r="H52" s="518"/>
      <c r="I52" s="518"/>
      <c r="J52" s="518"/>
      <c r="K52" s="518"/>
      <c r="L52" s="518"/>
      <c r="M52" s="526"/>
      <c r="N52" s="354" t="s">
        <v>124</v>
      </c>
      <c r="O52" s="359" t="s">
        <v>132</v>
      </c>
      <c r="P52" s="536" t="s">
        <v>183</v>
      </c>
      <c r="Q52" s="537"/>
      <c r="R52" s="536" t="s">
        <v>300</v>
      </c>
      <c r="S52" s="538"/>
      <c r="T52" s="538"/>
      <c r="U52" s="537"/>
      <c r="V52" s="503" t="s">
        <v>157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114</v>
      </c>
      <c r="B53" s="525"/>
      <c r="C53" s="355" t="s">
        <v>234</v>
      </c>
      <c r="D53" s="355" t="s">
        <v>122</v>
      </c>
      <c r="E53" s="355" t="s">
        <v>147</v>
      </c>
      <c r="F53" s="517" t="s">
        <v>514</v>
      </c>
      <c r="G53" s="518"/>
      <c r="H53" s="518"/>
      <c r="I53" s="518"/>
      <c r="J53" s="518"/>
      <c r="K53" s="518"/>
      <c r="L53" s="518"/>
      <c r="M53" s="526"/>
      <c r="N53" s="354" t="s">
        <v>114</v>
      </c>
      <c r="O53" s="359" t="s">
        <v>234</v>
      </c>
      <c r="P53" s="536" t="s">
        <v>122</v>
      </c>
      <c r="Q53" s="537"/>
      <c r="R53" s="536" t="s">
        <v>147</v>
      </c>
      <c r="S53" s="538"/>
      <c r="T53" s="538"/>
      <c r="U53" s="537"/>
      <c r="V53" s="503" t="s">
        <v>157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124</v>
      </c>
      <c r="B54" s="525"/>
      <c r="C54" s="355" t="s">
        <v>132</v>
      </c>
      <c r="D54" s="355" t="s">
        <v>183</v>
      </c>
      <c r="E54" s="355" t="s">
        <v>287</v>
      </c>
      <c r="F54" s="517" t="s">
        <v>523</v>
      </c>
      <c r="G54" s="518"/>
      <c r="H54" s="518"/>
      <c r="I54" s="518"/>
      <c r="J54" s="518"/>
      <c r="K54" s="518"/>
      <c r="L54" s="518"/>
      <c r="M54" s="526"/>
      <c r="N54" s="354" t="s">
        <v>114</v>
      </c>
      <c r="O54" s="359" t="s">
        <v>150</v>
      </c>
      <c r="P54" s="536" t="s">
        <v>117</v>
      </c>
      <c r="Q54" s="537"/>
      <c r="R54" s="536" t="s">
        <v>144</v>
      </c>
      <c r="S54" s="538"/>
      <c r="T54" s="538"/>
      <c r="U54" s="537"/>
      <c r="V54" s="503" t="s">
        <v>157</v>
      </c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114</v>
      </c>
      <c r="B55" s="525"/>
      <c r="C55" s="355" t="s">
        <v>179</v>
      </c>
      <c r="D55" s="355" t="s">
        <v>117</v>
      </c>
      <c r="E55" s="355" t="s">
        <v>242</v>
      </c>
      <c r="F55" s="517" t="s">
        <v>524</v>
      </c>
      <c r="G55" s="518"/>
      <c r="H55" s="518"/>
      <c r="I55" s="518"/>
      <c r="J55" s="518"/>
      <c r="K55" s="518"/>
      <c r="L55" s="518"/>
      <c r="M55" s="526"/>
      <c r="N55" s="354" t="s">
        <v>128</v>
      </c>
      <c r="O55" s="359" t="s">
        <v>155</v>
      </c>
      <c r="P55" s="536"/>
      <c r="Q55" s="537"/>
      <c r="R55" s="536" t="s">
        <v>526</v>
      </c>
      <c r="S55" s="538"/>
      <c r="T55" s="538"/>
      <c r="U55" s="537"/>
      <c r="V55" s="503" t="s">
        <v>120</v>
      </c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/>
      <c r="B56" s="525"/>
      <c r="C56" s="355"/>
      <c r="D56" s="355"/>
      <c r="E56" s="355"/>
      <c r="F56" s="517"/>
      <c r="G56" s="518"/>
      <c r="H56" s="518"/>
      <c r="I56" s="518"/>
      <c r="J56" s="518"/>
      <c r="K56" s="518"/>
      <c r="L56" s="518"/>
      <c r="M56" s="526"/>
      <c r="N56" s="354"/>
      <c r="O56" s="359"/>
      <c r="P56" s="536"/>
      <c r="Q56" s="537"/>
      <c r="R56" s="525"/>
      <c r="S56" s="525"/>
      <c r="T56" s="525"/>
      <c r="U56" s="525"/>
      <c r="V56" s="503"/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/>
      <c r="B57" s="525"/>
      <c r="C57" s="355"/>
      <c r="D57" s="355"/>
      <c r="E57" s="355"/>
      <c r="F57" s="517"/>
      <c r="G57" s="518"/>
      <c r="H57" s="518"/>
      <c r="I57" s="518"/>
      <c r="J57" s="518"/>
      <c r="K57" s="518"/>
      <c r="L57" s="518"/>
      <c r="M57" s="526"/>
      <c r="N57" s="354"/>
      <c r="O57" s="359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/>
      <c r="B58" s="525"/>
      <c r="C58" s="355"/>
      <c r="D58" s="355"/>
      <c r="E58" s="355"/>
      <c r="F58" s="517"/>
      <c r="G58" s="518"/>
      <c r="H58" s="518"/>
      <c r="I58" s="518"/>
      <c r="J58" s="518"/>
      <c r="K58" s="518"/>
      <c r="L58" s="518"/>
      <c r="M58" s="526"/>
      <c r="N58" s="354"/>
      <c r="O58" s="359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/>
      <c r="B59" s="525"/>
      <c r="C59" s="355"/>
      <c r="D59" s="355"/>
      <c r="E59" s="355"/>
      <c r="F59" s="517"/>
      <c r="G59" s="518"/>
      <c r="H59" s="518"/>
      <c r="I59" s="518"/>
      <c r="J59" s="518"/>
      <c r="K59" s="518"/>
      <c r="L59" s="518"/>
      <c r="M59" s="526"/>
      <c r="N59" s="354"/>
      <c r="O59" s="359"/>
      <c r="P59" s="525"/>
      <c r="Q59" s="525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  <c r="AF59" s="87">
        <f>8*3000</f>
        <v>24000</v>
      </c>
    </row>
    <row r="60" spans="1:32" ht="27" customHeight="1" thickBot="1">
      <c r="A60" s="528"/>
      <c r="B60" s="529"/>
      <c r="C60" s="356"/>
      <c r="D60" s="356"/>
      <c r="E60" s="356"/>
      <c r="F60" s="530"/>
      <c r="G60" s="531"/>
      <c r="H60" s="531"/>
      <c r="I60" s="531"/>
      <c r="J60" s="531"/>
      <c r="K60" s="531"/>
      <c r="L60" s="531"/>
      <c r="M60" s="532"/>
      <c r="N60" s="124"/>
      <c r="O60" s="114"/>
      <c r="P60" s="533"/>
      <c r="Q60" s="533"/>
      <c r="R60" s="533"/>
      <c r="S60" s="533"/>
      <c r="T60" s="533"/>
      <c r="U60" s="533"/>
      <c r="V60" s="534"/>
      <c r="W60" s="534"/>
      <c r="X60" s="534"/>
      <c r="Y60" s="534"/>
      <c r="Z60" s="534"/>
      <c r="AA60" s="534"/>
      <c r="AB60" s="534"/>
      <c r="AC60" s="534"/>
      <c r="AD60" s="535"/>
      <c r="AF60" s="87">
        <f>16*3000</f>
        <v>48000</v>
      </c>
    </row>
    <row r="61" spans="1:32" ht="27.75" thickBot="1">
      <c r="A61" s="522" t="s">
        <v>527</v>
      </c>
      <c r="B61" s="522"/>
      <c r="C61" s="522"/>
      <c r="D61" s="522"/>
      <c r="E61" s="522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523" t="s">
        <v>113</v>
      </c>
      <c r="B62" s="515"/>
      <c r="C62" s="357" t="s">
        <v>2</v>
      </c>
      <c r="D62" s="357" t="s">
        <v>37</v>
      </c>
      <c r="E62" s="357" t="s">
        <v>3</v>
      </c>
      <c r="F62" s="515" t="s">
        <v>110</v>
      </c>
      <c r="G62" s="515"/>
      <c r="H62" s="515"/>
      <c r="I62" s="515"/>
      <c r="J62" s="515"/>
      <c r="K62" s="515" t="s">
        <v>39</v>
      </c>
      <c r="L62" s="515"/>
      <c r="M62" s="357" t="s">
        <v>40</v>
      </c>
      <c r="N62" s="515" t="s">
        <v>41</v>
      </c>
      <c r="O62" s="515"/>
      <c r="P62" s="512" t="s">
        <v>42</v>
      </c>
      <c r="Q62" s="514"/>
      <c r="R62" s="512" t="s">
        <v>43</v>
      </c>
      <c r="S62" s="513"/>
      <c r="T62" s="513"/>
      <c r="U62" s="513"/>
      <c r="V62" s="513"/>
      <c r="W62" s="513"/>
      <c r="X62" s="513"/>
      <c r="Y62" s="513"/>
      <c r="Z62" s="513"/>
      <c r="AA62" s="514"/>
      <c r="AB62" s="515" t="s">
        <v>44</v>
      </c>
      <c r="AC62" s="515"/>
      <c r="AD62" s="516"/>
      <c r="AF62" s="87">
        <f>SUM(AF59:AF61)</f>
        <v>96000</v>
      </c>
    </row>
    <row r="63" spans="1:32" ht="25.5" customHeight="1">
      <c r="A63" s="498">
        <v>1</v>
      </c>
      <c r="B63" s="499"/>
      <c r="C63" s="117" t="s">
        <v>114</v>
      </c>
      <c r="D63" s="361"/>
      <c r="E63" s="358" t="s">
        <v>528</v>
      </c>
      <c r="F63" s="500" t="s">
        <v>529</v>
      </c>
      <c r="G63" s="492"/>
      <c r="H63" s="492"/>
      <c r="I63" s="492"/>
      <c r="J63" s="492"/>
      <c r="K63" s="492" t="s">
        <v>259</v>
      </c>
      <c r="L63" s="492"/>
      <c r="M63" s="51" t="s">
        <v>162</v>
      </c>
      <c r="N63" s="501" t="s">
        <v>150</v>
      </c>
      <c r="O63" s="501"/>
      <c r="P63" s="502">
        <v>30</v>
      </c>
      <c r="Q63" s="502"/>
      <c r="R63" s="503" t="s">
        <v>530</v>
      </c>
      <c r="S63" s="503"/>
      <c r="T63" s="503"/>
      <c r="U63" s="503"/>
      <c r="V63" s="503"/>
      <c r="W63" s="503"/>
      <c r="X63" s="503"/>
      <c r="Y63" s="503"/>
      <c r="Z63" s="503"/>
      <c r="AA63" s="503"/>
      <c r="AB63" s="507"/>
      <c r="AC63" s="520"/>
      <c r="AD63" s="521"/>
      <c r="AF63" s="50"/>
    </row>
    <row r="64" spans="1:32" ht="25.5" customHeight="1">
      <c r="A64" s="498">
        <v>2</v>
      </c>
      <c r="B64" s="499"/>
      <c r="C64" s="117"/>
      <c r="D64" s="361"/>
      <c r="E64" s="358"/>
      <c r="F64" s="504"/>
      <c r="G64" s="505"/>
      <c r="H64" s="505"/>
      <c r="I64" s="505"/>
      <c r="J64" s="506"/>
      <c r="K64" s="507"/>
      <c r="L64" s="499"/>
      <c r="M64" s="51"/>
      <c r="N64" s="501"/>
      <c r="O64" s="501"/>
      <c r="P64" s="510"/>
      <c r="Q64" s="511"/>
      <c r="R64" s="503"/>
      <c r="S64" s="503"/>
      <c r="T64" s="503"/>
      <c r="U64" s="503"/>
      <c r="V64" s="503"/>
      <c r="W64" s="503"/>
      <c r="X64" s="503"/>
      <c r="Y64" s="503"/>
      <c r="Z64" s="503"/>
      <c r="AA64" s="503"/>
      <c r="AB64" s="492"/>
      <c r="AC64" s="492"/>
      <c r="AD64" s="493"/>
      <c r="AF64" s="50"/>
    </row>
    <row r="65" spans="1:32" ht="25.5" customHeight="1">
      <c r="A65" s="498">
        <v>3</v>
      </c>
      <c r="B65" s="499"/>
      <c r="C65" s="117"/>
      <c r="D65" s="361"/>
      <c r="E65" s="358"/>
      <c r="F65" s="504"/>
      <c r="G65" s="505"/>
      <c r="H65" s="505"/>
      <c r="I65" s="505"/>
      <c r="J65" s="506"/>
      <c r="K65" s="507"/>
      <c r="L65" s="499"/>
      <c r="M65" s="51"/>
      <c r="N65" s="501"/>
      <c r="O65" s="501"/>
      <c r="P65" s="510"/>
      <c r="Q65" s="511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4</v>
      </c>
      <c r="B66" s="499"/>
      <c r="C66" s="117"/>
      <c r="D66" s="361"/>
      <c r="E66" s="358"/>
      <c r="F66" s="504"/>
      <c r="G66" s="505"/>
      <c r="H66" s="505"/>
      <c r="I66" s="505"/>
      <c r="J66" s="506"/>
      <c r="K66" s="507"/>
      <c r="L66" s="499"/>
      <c r="M66" s="51"/>
      <c r="N66" s="508"/>
      <c r="O66" s="509"/>
      <c r="P66" s="510"/>
      <c r="Q66" s="511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5</v>
      </c>
      <c r="B67" s="499"/>
      <c r="C67" s="117"/>
      <c r="D67" s="361"/>
      <c r="E67" s="358"/>
      <c r="F67" s="504"/>
      <c r="G67" s="505"/>
      <c r="H67" s="505"/>
      <c r="I67" s="505"/>
      <c r="J67" s="506"/>
      <c r="K67" s="507"/>
      <c r="L67" s="499"/>
      <c r="M67" s="51"/>
      <c r="N67" s="508"/>
      <c r="O67" s="509"/>
      <c r="P67" s="510"/>
      <c r="Q67" s="511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6</v>
      </c>
      <c r="B68" s="499"/>
      <c r="C68" s="117"/>
      <c r="D68" s="361"/>
      <c r="E68" s="358"/>
      <c r="F68" s="500"/>
      <c r="G68" s="492"/>
      <c r="H68" s="492"/>
      <c r="I68" s="492"/>
      <c r="J68" s="492"/>
      <c r="K68" s="492"/>
      <c r="L68" s="492"/>
      <c r="M68" s="51"/>
      <c r="N68" s="508"/>
      <c r="O68" s="509"/>
      <c r="P68" s="510"/>
      <c r="Q68" s="511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7</v>
      </c>
      <c r="B69" s="499"/>
      <c r="C69" s="117"/>
      <c r="D69" s="361"/>
      <c r="E69" s="358"/>
      <c r="F69" s="500"/>
      <c r="G69" s="492"/>
      <c r="H69" s="492"/>
      <c r="I69" s="492"/>
      <c r="J69" s="492"/>
      <c r="K69" s="492"/>
      <c r="L69" s="492"/>
      <c r="M69" s="51"/>
      <c r="N69" s="508"/>
      <c r="O69" s="509"/>
      <c r="P69" s="510"/>
      <c r="Q69" s="511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8</v>
      </c>
      <c r="B70" s="499"/>
      <c r="C70" s="117"/>
      <c r="D70" s="361"/>
      <c r="E70" s="358"/>
      <c r="F70" s="500"/>
      <c r="G70" s="492"/>
      <c r="H70" s="492"/>
      <c r="I70" s="492"/>
      <c r="J70" s="492"/>
      <c r="K70" s="492"/>
      <c r="L70" s="492"/>
      <c r="M70" s="51"/>
      <c r="N70" s="508"/>
      <c r="O70" s="509"/>
      <c r="P70" s="510"/>
      <c r="Q70" s="511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6.25" customHeight="1" thickBot="1">
      <c r="A71" s="472" t="s">
        <v>531</v>
      </c>
      <c r="B71" s="472"/>
      <c r="C71" s="472"/>
      <c r="D71" s="472"/>
      <c r="E71" s="47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73" t="s">
        <v>113</v>
      </c>
      <c r="B72" s="474"/>
      <c r="C72" s="360" t="s">
        <v>2</v>
      </c>
      <c r="D72" s="360" t="s">
        <v>37</v>
      </c>
      <c r="E72" s="360" t="s">
        <v>3</v>
      </c>
      <c r="F72" s="474" t="s">
        <v>38</v>
      </c>
      <c r="G72" s="474"/>
      <c r="H72" s="474"/>
      <c r="I72" s="474"/>
      <c r="J72" s="474"/>
      <c r="K72" s="494" t="s">
        <v>58</v>
      </c>
      <c r="L72" s="495"/>
      <c r="M72" s="495"/>
      <c r="N72" s="495"/>
      <c r="O72" s="495"/>
      <c r="P72" s="495"/>
      <c r="Q72" s="495"/>
      <c r="R72" s="495"/>
      <c r="S72" s="496"/>
      <c r="T72" s="474" t="s">
        <v>49</v>
      </c>
      <c r="U72" s="474"/>
      <c r="V72" s="494" t="s">
        <v>50</v>
      </c>
      <c r="W72" s="496"/>
      <c r="X72" s="495" t="s">
        <v>51</v>
      </c>
      <c r="Y72" s="495"/>
      <c r="Z72" s="495"/>
      <c r="AA72" s="495"/>
      <c r="AB72" s="495"/>
      <c r="AC72" s="495"/>
      <c r="AD72" s="497"/>
      <c r="AF72" s="50"/>
    </row>
    <row r="73" spans="1:32" ht="33.75" customHeight="1">
      <c r="A73" s="466">
        <v>1</v>
      </c>
      <c r="B73" s="467"/>
      <c r="C73" s="362" t="s">
        <v>114</v>
      </c>
      <c r="D73" s="362"/>
      <c r="E73" s="65" t="s">
        <v>119</v>
      </c>
      <c r="F73" s="481" t="s">
        <v>118</v>
      </c>
      <c r="G73" s="482"/>
      <c r="H73" s="482"/>
      <c r="I73" s="482"/>
      <c r="J73" s="483"/>
      <c r="K73" s="484" t="s">
        <v>130</v>
      </c>
      <c r="L73" s="485"/>
      <c r="M73" s="485"/>
      <c r="N73" s="485"/>
      <c r="O73" s="485"/>
      <c r="P73" s="485"/>
      <c r="Q73" s="485"/>
      <c r="R73" s="485"/>
      <c r="S73" s="486"/>
      <c r="T73" s="487">
        <v>43675</v>
      </c>
      <c r="U73" s="488"/>
      <c r="V73" s="489"/>
      <c r="W73" s="489"/>
      <c r="X73" s="490"/>
      <c r="Y73" s="490"/>
      <c r="Z73" s="490"/>
      <c r="AA73" s="490"/>
      <c r="AB73" s="490"/>
      <c r="AC73" s="490"/>
      <c r="AD73" s="491"/>
      <c r="AF73" s="50"/>
    </row>
    <row r="74" spans="1:32" ht="30" customHeight="1">
      <c r="A74" s="459">
        <f>A73+1</f>
        <v>2</v>
      </c>
      <c r="B74" s="460"/>
      <c r="C74" s="361"/>
      <c r="D74" s="361"/>
      <c r="E74" s="32"/>
      <c r="F74" s="460"/>
      <c r="G74" s="460"/>
      <c r="H74" s="460"/>
      <c r="I74" s="460"/>
      <c r="J74" s="460"/>
      <c r="K74" s="475"/>
      <c r="L74" s="476"/>
      <c r="M74" s="476"/>
      <c r="N74" s="476"/>
      <c r="O74" s="476"/>
      <c r="P74" s="476"/>
      <c r="Q74" s="476"/>
      <c r="R74" s="476"/>
      <c r="S74" s="477"/>
      <c r="T74" s="478"/>
      <c r="U74" s="478"/>
      <c r="V74" s="478"/>
      <c r="W74" s="478"/>
      <c r="X74" s="479"/>
      <c r="Y74" s="479"/>
      <c r="Z74" s="479"/>
      <c r="AA74" s="479"/>
      <c r="AB74" s="479"/>
      <c r="AC74" s="479"/>
      <c r="AD74" s="480"/>
      <c r="AF74" s="50"/>
    </row>
    <row r="75" spans="1:32" ht="30" customHeight="1">
      <c r="A75" s="459">
        <f t="shared" ref="A75:A81" si="13">A74+1</f>
        <v>3</v>
      </c>
      <c r="B75" s="460"/>
      <c r="C75" s="361"/>
      <c r="D75" s="361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si="13"/>
        <v>4</v>
      </c>
      <c r="B76" s="460"/>
      <c r="C76" s="361"/>
      <c r="D76" s="361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13"/>
        <v>5</v>
      </c>
      <c r="B77" s="460"/>
      <c r="C77" s="361"/>
      <c r="D77" s="361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13"/>
        <v>6</v>
      </c>
      <c r="B78" s="460"/>
      <c r="C78" s="361"/>
      <c r="D78" s="361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13"/>
        <v>7</v>
      </c>
      <c r="B79" s="460"/>
      <c r="C79" s="361"/>
      <c r="D79" s="361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13"/>
        <v>8</v>
      </c>
      <c r="B80" s="460"/>
      <c r="C80" s="361"/>
      <c r="D80" s="361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13"/>
        <v>9</v>
      </c>
      <c r="B81" s="460"/>
      <c r="C81" s="361"/>
      <c r="D81" s="361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6" thickBot="1">
      <c r="A82" s="472" t="s">
        <v>532</v>
      </c>
      <c r="B82" s="472"/>
      <c r="C82" s="472"/>
      <c r="D82" s="472"/>
      <c r="E82" s="47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73" t="s">
        <v>113</v>
      </c>
      <c r="B83" s="474"/>
      <c r="C83" s="464" t="s">
        <v>52</v>
      </c>
      <c r="D83" s="464"/>
      <c r="E83" s="464" t="s">
        <v>53</v>
      </c>
      <c r="F83" s="464"/>
      <c r="G83" s="464"/>
      <c r="H83" s="464"/>
      <c r="I83" s="464"/>
      <c r="J83" s="464"/>
      <c r="K83" s="464" t="s">
        <v>54</v>
      </c>
      <c r="L83" s="464"/>
      <c r="M83" s="464"/>
      <c r="N83" s="464"/>
      <c r="O83" s="464"/>
      <c r="P83" s="464"/>
      <c r="Q83" s="464"/>
      <c r="R83" s="464"/>
      <c r="S83" s="464"/>
      <c r="T83" s="464" t="s">
        <v>55</v>
      </c>
      <c r="U83" s="464"/>
      <c r="V83" s="464" t="s">
        <v>56</v>
      </c>
      <c r="W83" s="464"/>
      <c r="X83" s="464"/>
      <c r="Y83" s="464" t="s">
        <v>51</v>
      </c>
      <c r="Z83" s="464"/>
      <c r="AA83" s="464"/>
      <c r="AB83" s="464"/>
      <c r="AC83" s="464"/>
      <c r="AD83" s="465"/>
      <c r="AF83" s="50"/>
    </row>
    <row r="84" spans="1:32" ht="30.75" customHeight="1">
      <c r="A84" s="466">
        <v>1</v>
      </c>
      <c r="B84" s="467"/>
      <c r="C84" s="468"/>
      <c r="D84" s="468"/>
      <c r="E84" s="468"/>
      <c r="F84" s="468"/>
      <c r="G84" s="468"/>
      <c r="H84" s="468"/>
      <c r="I84" s="468"/>
      <c r="J84" s="468"/>
      <c r="K84" s="468"/>
      <c r="L84" s="468"/>
      <c r="M84" s="468"/>
      <c r="N84" s="468"/>
      <c r="O84" s="468"/>
      <c r="P84" s="468"/>
      <c r="Q84" s="468"/>
      <c r="R84" s="468"/>
      <c r="S84" s="468"/>
      <c r="T84" s="468"/>
      <c r="U84" s="468"/>
      <c r="V84" s="469"/>
      <c r="W84" s="469"/>
      <c r="X84" s="469"/>
      <c r="Y84" s="470"/>
      <c r="Z84" s="470"/>
      <c r="AA84" s="470"/>
      <c r="AB84" s="470"/>
      <c r="AC84" s="470"/>
      <c r="AD84" s="471"/>
      <c r="AF84" s="50"/>
    </row>
    <row r="85" spans="1:32" ht="30.75" customHeight="1">
      <c r="A85" s="459">
        <v>2</v>
      </c>
      <c r="B85" s="460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2"/>
      <c r="Z85" s="452"/>
      <c r="AA85" s="452"/>
      <c r="AB85" s="452"/>
      <c r="AC85" s="452"/>
      <c r="AD85" s="453"/>
      <c r="AF85" s="50"/>
    </row>
    <row r="86" spans="1:32" ht="30.75" customHeight="1" thickBot="1">
      <c r="A86" s="454">
        <v>3</v>
      </c>
      <c r="B86" s="455"/>
      <c r="C86" s="456"/>
      <c r="D86" s="456"/>
      <c r="E86" s="456"/>
      <c r="F86" s="456"/>
      <c r="G86" s="456"/>
      <c r="H86" s="456"/>
      <c r="I86" s="456"/>
      <c r="J86" s="456"/>
      <c r="K86" s="456"/>
      <c r="L86" s="456"/>
      <c r="M86" s="456"/>
      <c r="N86" s="456"/>
      <c r="O86" s="456"/>
      <c r="P86" s="456"/>
      <c r="Q86" s="456"/>
      <c r="R86" s="456"/>
      <c r="S86" s="456"/>
      <c r="T86" s="456"/>
      <c r="U86" s="456"/>
      <c r="V86" s="456"/>
      <c r="W86" s="456"/>
      <c r="X86" s="456"/>
      <c r="Y86" s="457"/>
      <c r="Z86" s="457"/>
      <c r="AA86" s="457"/>
      <c r="AB86" s="457"/>
      <c r="AC86" s="457"/>
      <c r="AD86" s="458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7653-A537-4091-9945-B0C42A95413D}">
  <dimension ref="A1:AF88"/>
  <sheetViews>
    <sheetView zoomScale="72" zoomScaleNormal="72" zoomScaleSheetLayoutView="70" workbookViewId="0">
      <selection activeCell="A12" sqref="A12:XFD1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533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373" t="s">
        <v>17</v>
      </c>
      <c r="L5" s="373" t="s">
        <v>18</v>
      </c>
      <c r="M5" s="373" t="s">
        <v>19</v>
      </c>
      <c r="N5" s="37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2" si="1">L6-N6</f>
        <v>0</v>
      </c>
      <c r="N6" s="15">
        <v>0</v>
      </c>
      <c r="O6" s="58" t="str">
        <f t="shared" ref="O6:O23" si="2">IF(L6=0,"0",N6/L6)</f>
        <v>0</v>
      </c>
      <c r="P6" s="39" t="str">
        <f t="shared" ref="P6:P22" si="3">IF(L6=0,"0",(24-Q6))</f>
        <v>0</v>
      </c>
      <c r="Q6" s="40">
        <f t="shared" ref="Q6:Q22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2" si="5">IF(J6=0,"0",(L6/J6))</f>
        <v>0</v>
      </c>
      <c r="AC6" s="9">
        <f t="shared" ref="AC6:AC22" si="6">IF(P6=0,"0",(P6/24))</f>
        <v>0</v>
      </c>
      <c r="AD6" s="10">
        <f t="shared" ref="AD6:AD22" si="7">AC6*AB6*(1-O6)</f>
        <v>0</v>
      </c>
      <c r="AE6" s="36">
        <f t="shared" ref="AE6:AE22" si="8">$AD$23</f>
        <v>0.42785771382893689</v>
      </c>
      <c r="AF6" s="87">
        <f t="shared" ref="AF6:AF22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0.42785771382893689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352</v>
      </c>
      <c r="E8" s="53" t="s">
        <v>486</v>
      </c>
      <c r="F8" s="30" t="s">
        <v>141</v>
      </c>
      <c r="G8" s="33">
        <v>2</v>
      </c>
      <c r="H8" s="35">
        <v>24</v>
      </c>
      <c r="I8" s="7">
        <v>50000</v>
      </c>
      <c r="J8" s="14">
        <v>9982</v>
      </c>
      <c r="K8" s="15">
        <f>L8+4928+9946+9956</f>
        <v>34812</v>
      </c>
      <c r="L8" s="15">
        <f>2460*2+2531*2</f>
        <v>9982</v>
      </c>
      <c r="M8" s="15">
        <f t="shared" si="1"/>
        <v>9982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0.42785771382893689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2950</v>
      </c>
      <c r="K9" s="15">
        <f>L9+1036+2500+4639+2951+2392+2902+2784+3566+4110+4299+4289+1910+4734+4854+3892+4611+3795+5160+1762+3528+5214+2558+4569</f>
        <v>85005</v>
      </c>
      <c r="L9" s="15">
        <f>826+2124</f>
        <v>2950</v>
      </c>
      <c r="M9" s="15">
        <f t="shared" si="1"/>
        <v>2950</v>
      </c>
      <c r="N9" s="15">
        <v>0</v>
      </c>
      <c r="O9" s="58">
        <f t="shared" si="2"/>
        <v>0</v>
      </c>
      <c r="P9" s="39">
        <f t="shared" si="3"/>
        <v>16</v>
      </c>
      <c r="Q9" s="40">
        <f t="shared" si="4"/>
        <v>8</v>
      </c>
      <c r="R9" s="7"/>
      <c r="S9" s="6">
        <v>8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0.66666666666666663</v>
      </c>
      <c r="AD9" s="10">
        <f t="shared" si="7"/>
        <v>0.66666666666666663</v>
      </c>
      <c r="AE9" s="36">
        <f t="shared" si="8"/>
        <v>0.42785771382893689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128</v>
      </c>
      <c r="D10" s="52" t="s">
        <v>520</v>
      </c>
      <c r="E10" s="53" t="s">
        <v>526</v>
      </c>
      <c r="F10" s="30" t="s">
        <v>190</v>
      </c>
      <c r="G10" s="33">
        <v>1</v>
      </c>
      <c r="H10" s="35">
        <v>24</v>
      </c>
      <c r="I10" s="7">
        <v>2000</v>
      </c>
      <c r="J10" s="5">
        <v>2374</v>
      </c>
      <c r="K10" s="15">
        <f>L10</f>
        <v>2374</v>
      </c>
      <c r="L10" s="15">
        <f>893+1481</f>
        <v>2374</v>
      </c>
      <c r="M10" s="15">
        <f t="shared" si="1"/>
        <v>2374</v>
      </c>
      <c r="N10" s="15">
        <v>0</v>
      </c>
      <c r="O10" s="58">
        <f t="shared" si="2"/>
        <v>0</v>
      </c>
      <c r="P10" s="39">
        <f t="shared" si="3"/>
        <v>11</v>
      </c>
      <c r="Q10" s="40">
        <f t="shared" si="4"/>
        <v>13</v>
      </c>
      <c r="R10" s="7"/>
      <c r="S10" s="6"/>
      <c r="T10" s="16">
        <v>5</v>
      </c>
      <c r="U10" s="16"/>
      <c r="V10" s="17"/>
      <c r="W10" s="5">
        <v>8</v>
      </c>
      <c r="X10" s="16"/>
      <c r="Y10" s="16"/>
      <c r="Z10" s="16"/>
      <c r="AA10" s="18"/>
      <c r="AB10" s="8">
        <f t="shared" si="5"/>
        <v>1</v>
      </c>
      <c r="AC10" s="9">
        <f t="shared" si="6"/>
        <v>0.45833333333333331</v>
      </c>
      <c r="AD10" s="10">
        <f>AC10*AB10*(1-O10)</f>
        <v>0.45833333333333331</v>
      </c>
      <c r="AE10" s="36">
        <f t="shared" si="8"/>
        <v>0.42785771382893689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300</v>
      </c>
      <c r="F11" s="30" t="s">
        <v>126</v>
      </c>
      <c r="G11" s="33">
        <v>1</v>
      </c>
      <c r="H11" s="35">
        <v>24</v>
      </c>
      <c r="I11" s="7">
        <v>37000</v>
      </c>
      <c r="J11" s="5">
        <v>1500</v>
      </c>
      <c r="K11" s="15">
        <f>L11</f>
        <v>1500</v>
      </c>
      <c r="L11" s="15">
        <f>555+945</f>
        <v>1500</v>
      </c>
      <c r="M11" s="15">
        <f t="shared" si="1"/>
        <v>1500</v>
      </c>
      <c r="N11" s="15">
        <v>0</v>
      </c>
      <c r="O11" s="58">
        <f t="shared" si="2"/>
        <v>0</v>
      </c>
      <c r="P11" s="39">
        <f t="shared" si="3"/>
        <v>8</v>
      </c>
      <c r="Q11" s="40">
        <f t="shared" si="4"/>
        <v>16</v>
      </c>
      <c r="R11" s="7"/>
      <c r="S11" s="6">
        <v>16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0.33333333333333331</v>
      </c>
      <c r="AD11" s="10">
        <f>AC11*AB11*(1-O11)</f>
        <v>0.33333333333333331</v>
      </c>
      <c r="AE11" s="36">
        <f t="shared" si="8"/>
        <v>0.42785771382893689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144</v>
      </c>
      <c r="F12" s="30" t="s">
        <v>121</v>
      </c>
      <c r="G12" s="33">
        <v>1</v>
      </c>
      <c r="H12" s="35">
        <v>24</v>
      </c>
      <c r="I12" s="7">
        <v>70000</v>
      </c>
      <c r="J12" s="14">
        <v>1324</v>
      </c>
      <c r="K12" s="15">
        <f>L12+2036+3193+2673+3958+1875+401+3155+4199+2859+2339+1952+1208+2933+3415+1960+4032+870+1602+872+2860+3148+2498+463</f>
        <v>55825</v>
      </c>
      <c r="L12" s="15">
        <f>322+1002</f>
        <v>1324</v>
      </c>
      <c r="M12" s="15">
        <f t="shared" si="1"/>
        <v>1324</v>
      </c>
      <c r="N12" s="15">
        <v>0</v>
      </c>
      <c r="O12" s="58">
        <f t="shared" si="2"/>
        <v>0</v>
      </c>
      <c r="P12" s="39">
        <f t="shared" si="3"/>
        <v>7</v>
      </c>
      <c r="Q12" s="40">
        <f t="shared" si="4"/>
        <v>17</v>
      </c>
      <c r="R12" s="7"/>
      <c r="S12" s="6">
        <v>17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0.29166666666666669</v>
      </c>
      <c r="AD12" s="10">
        <f t="shared" ref="AD12:AD13" si="10">AC12*AB12*(1-O12)</f>
        <v>0.29166666666666669</v>
      </c>
      <c r="AE12" s="36">
        <f t="shared" si="8"/>
        <v>0.42785771382893689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117</v>
      </c>
      <c r="E13" s="53" t="s">
        <v>242</v>
      </c>
      <c r="F13" s="30" t="s">
        <v>243</v>
      </c>
      <c r="G13" s="33">
        <v>2</v>
      </c>
      <c r="H13" s="35">
        <v>24</v>
      </c>
      <c r="I13" s="7">
        <v>12000</v>
      </c>
      <c r="J13" s="14">
        <v>5052</v>
      </c>
      <c r="K13" s="15">
        <f>L13+9692</f>
        <v>14744</v>
      </c>
      <c r="L13" s="15">
        <f>2526*2</f>
        <v>5052</v>
      </c>
      <c r="M13" s="15">
        <f t="shared" si="1"/>
        <v>5052</v>
      </c>
      <c r="N13" s="15">
        <v>0</v>
      </c>
      <c r="O13" s="58">
        <f t="shared" si="2"/>
        <v>0</v>
      </c>
      <c r="P13" s="39">
        <f t="shared" si="3"/>
        <v>9</v>
      </c>
      <c r="Q13" s="40">
        <f t="shared" si="4"/>
        <v>15</v>
      </c>
      <c r="R13" s="7"/>
      <c r="S13" s="6"/>
      <c r="T13" s="16"/>
      <c r="U13" s="16"/>
      <c r="V13" s="17"/>
      <c r="W13" s="5">
        <v>15</v>
      </c>
      <c r="X13" s="16"/>
      <c r="Y13" s="16"/>
      <c r="Z13" s="16"/>
      <c r="AA13" s="18"/>
      <c r="AB13" s="8">
        <f t="shared" si="5"/>
        <v>1</v>
      </c>
      <c r="AC13" s="9">
        <f t="shared" si="6"/>
        <v>0.375</v>
      </c>
      <c r="AD13" s="10">
        <f t="shared" si="10"/>
        <v>0.375</v>
      </c>
      <c r="AE13" s="36">
        <f t="shared" si="8"/>
        <v>0.42785771382893689</v>
      </c>
      <c r="AF13" s="87">
        <f t="shared" si="9"/>
        <v>8</v>
      </c>
    </row>
    <row r="14" spans="1:32" ht="27" customHeight="1">
      <c r="A14" s="103">
        <v>8</v>
      </c>
      <c r="B14" s="11" t="s">
        <v>57</v>
      </c>
      <c r="C14" s="11" t="s">
        <v>128</v>
      </c>
      <c r="D14" s="52" t="s">
        <v>520</v>
      </c>
      <c r="E14" s="53" t="s">
        <v>353</v>
      </c>
      <c r="F14" s="30" t="s">
        <v>190</v>
      </c>
      <c r="G14" s="33">
        <v>1</v>
      </c>
      <c r="H14" s="35">
        <v>24</v>
      </c>
      <c r="I14" s="7">
        <v>2000</v>
      </c>
      <c r="J14" s="14">
        <v>2541</v>
      </c>
      <c r="K14" s="15">
        <f>L14</f>
        <v>2541</v>
      </c>
      <c r="L14" s="15">
        <f>2541</f>
        <v>2541</v>
      </c>
      <c r="M14" s="15">
        <f t="shared" ref="M14" si="11">L14-N14</f>
        <v>2541</v>
      </c>
      <c r="N14" s="15">
        <v>0</v>
      </c>
      <c r="O14" s="58">
        <f t="shared" ref="O14" si="12">IF(L14=0,"0",N14/L14)</f>
        <v>0</v>
      </c>
      <c r="P14" s="39">
        <f t="shared" ref="P14" si="13">IF(L14=0,"0",(24-Q14))</f>
        <v>14</v>
      </c>
      <c r="Q14" s="40">
        <f t="shared" ref="Q14" si="14">SUM(R14:AA14)</f>
        <v>10</v>
      </c>
      <c r="R14" s="7"/>
      <c r="S14" s="6"/>
      <c r="T14" s="16">
        <v>10</v>
      </c>
      <c r="U14" s="16"/>
      <c r="V14" s="17"/>
      <c r="W14" s="5"/>
      <c r="X14" s="16"/>
      <c r="Y14" s="16"/>
      <c r="Z14" s="16"/>
      <c r="AA14" s="18"/>
      <c r="AB14" s="8">
        <f t="shared" ref="AB14" si="15">IF(J14=0,"0",(L14/J14))</f>
        <v>1</v>
      </c>
      <c r="AC14" s="9">
        <f t="shared" ref="AC14" si="16">IF(P14=0,"0",(P14/24))</f>
        <v>0.58333333333333337</v>
      </c>
      <c r="AD14" s="10">
        <f t="shared" ref="AD14" si="17">AC14*AB14*(1-O14)</f>
        <v>0.58333333333333337</v>
      </c>
      <c r="AE14" s="36">
        <f t="shared" si="8"/>
        <v>0.42785771382893689</v>
      </c>
      <c r="AF14" s="87">
        <f t="shared" ref="AF14" si="18">A14</f>
        <v>8</v>
      </c>
    </row>
    <row r="15" spans="1:32" ht="27" customHeight="1">
      <c r="A15" s="118">
        <v>9</v>
      </c>
      <c r="B15" s="11" t="s">
        <v>57</v>
      </c>
      <c r="C15" s="34" t="s">
        <v>381</v>
      </c>
      <c r="D15" s="52"/>
      <c r="E15" s="53" t="s">
        <v>382</v>
      </c>
      <c r="F15" s="30" t="s">
        <v>383</v>
      </c>
      <c r="G15" s="33">
        <v>1</v>
      </c>
      <c r="H15" s="35">
        <v>24</v>
      </c>
      <c r="I15" s="7">
        <v>200</v>
      </c>
      <c r="J15" s="5">
        <v>318</v>
      </c>
      <c r="K15" s="15">
        <f>L15+318</f>
        <v>318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0.42785771382893689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138</v>
      </c>
      <c r="D16" s="52"/>
      <c r="E16" s="53" t="s">
        <v>338</v>
      </c>
      <c r="F16" s="12" t="s">
        <v>339</v>
      </c>
      <c r="G16" s="12">
        <v>1</v>
      </c>
      <c r="H16" s="13">
        <v>24</v>
      </c>
      <c r="I16" s="31">
        <v>1100</v>
      </c>
      <c r="J16" s="14">
        <v>1500</v>
      </c>
      <c r="K16" s="15">
        <f>L16</f>
        <v>1500</v>
      </c>
      <c r="L16" s="15">
        <f>1500</f>
        <v>1500</v>
      </c>
      <c r="M16" s="15">
        <f t="shared" si="1"/>
        <v>1500</v>
      </c>
      <c r="N16" s="15">
        <v>0</v>
      </c>
      <c r="O16" s="58">
        <f t="shared" si="2"/>
        <v>0</v>
      </c>
      <c r="P16" s="39">
        <f t="shared" si="3"/>
        <v>8</v>
      </c>
      <c r="Q16" s="40">
        <f t="shared" si="4"/>
        <v>16</v>
      </c>
      <c r="R16" s="7"/>
      <c r="S16" s="6">
        <v>4</v>
      </c>
      <c r="T16" s="16"/>
      <c r="U16" s="16"/>
      <c r="V16" s="17"/>
      <c r="W16" s="5">
        <v>12</v>
      </c>
      <c r="X16" s="16"/>
      <c r="Y16" s="16"/>
      <c r="Z16" s="16"/>
      <c r="AA16" s="18"/>
      <c r="AB16" s="8">
        <f t="shared" si="5"/>
        <v>1</v>
      </c>
      <c r="AC16" s="9">
        <f t="shared" si="6"/>
        <v>0.33333333333333331</v>
      </c>
      <c r="AD16" s="10">
        <f t="shared" si="7"/>
        <v>0.33333333333333331</v>
      </c>
      <c r="AE16" s="36">
        <f t="shared" si="8"/>
        <v>0.42785771382893689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114</v>
      </c>
      <c r="D17" s="52" t="s">
        <v>125</v>
      </c>
      <c r="E17" s="53" t="s">
        <v>149</v>
      </c>
      <c r="F17" s="30" t="s">
        <v>126</v>
      </c>
      <c r="G17" s="12">
        <v>1</v>
      </c>
      <c r="H17" s="13">
        <v>28</v>
      </c>
      <c r="I17" s="7">
        <v>50000</v>
      </c>
      <c r="J17" s="14">
        <v>5413</v>
      </c>
      <c r="K17" s="15">
        <f>L17+2312+5350+5082</f>
        <v>18157</v>
      </c>
      <c r="L17" s="15">
        <f>2741+2672</f>
        <v>5413</v>
      </c>
      <c r="M17" s="15">
        <f t="shared" si="1"/>
        <v>5413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8"/>
        <v>0.42785771382893689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34" t="s">
        <v>114</v>
      </c>
      <c r="D18" s="52" t="s">
        <v>449</v>
      </c>
      <c r="E18" s="53" t="s">
        <v>441</v>
      </c>
      <c r="F18" s="30" t="s">
        <v>249</v>
      </c>
      <c r="G18" s="33">
        <v>1</v>
      </c>
      <c r="H18" s="35">
        <v>24</v>
      </c>
      <c r="I18" s="7">
        <v>24000</v>
      </c>
      <c r="J18" s="5">
        <v>6001</v>
      </c>
      <c r="K18" s="15">
        <f>L18+5168+2206+4833+5412+6386+6001</f>
        <v>30006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0.42785771382893689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122</v>
      </c>
      <c r="E19" s="53" t="s">
        <v>147</v>
      </c>
      <c r="F19" s="30" t="s">
        <v>123</v>
      </c>
      <c r="G19" s="33">
        <v>1</v>
      </c>
      <c r="H19" s="35">
        <v>24</v>
      </c>
      <c r="I19" s="7">
        <v>60000</v>
      </c>
      <c r="J19" s="5">
        <v>2583</v>
      </c>
      <c r="K19" s="15">
        <f>L19+1915+5043+1754+4429+1736+4741+3615+930+3442+701+570+603</f>
        <v>32062</v>
      </c>
      <c r="L19" s="15">
        <v>2583</v>
      </c>
      <c r="M19" s="15">
        <f t="shared" si="1"/>
        <v>2583</v>
      </c>
      <c r="N19" s="15">
        <v>0</v>
      </c>
      <c r="O19" s="58">
        <f t="shared" si="2"/>
        <v>0</v>
      </c>
      <c r="P19" s="39">
        <f t="shared" si="3"/>
        <v>14</v>
      </c>
      <c r="Q19" s="40">
        <f t="shared" si="4"/>
        <v>10</v>
      </c>
      <c r="R19" s="7"/>
      <c r="S19" s="6">
        <v>10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0.58333333333333337</v>
      </c>
      <c r="AD19" s="10">
        <f>AC19*AB19*(1-O19)</f>
        <v>0.58333333333333337</v>
      </c>
      <c r="AE19" s="36">
        <f t="shared" si="8"/>
        <v>0.42785771382893689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138</v>
      </c>
      <c r="D20" s="52"/>
      <c r="E20" s="53" t="s">
        <v>501</v>
      </c>
      <c r="F20" s="30" t="s">
        <v>417</v>
      </c>
      <c r="G20" s="33">
        <v>1</v>
      </c>
      <c r="H20" s="35">
        <v>24</v>
      </c>
      <c r="I20" s="7">
        <v>7500</v>
      </c>
      <c r="J20" s="14">
        <v>695</v>
      </c>
      <c r="K20" s="15">
        <f>L20+2288+5489</f>
        <v>8472</v>
      </c>
      <c r="L20" s="15">
        <v>695</v>
      </c>
      <c r="M20" s="15">
        <f t="shared" ref="M20" si="19">L20-N20</f>
        <v>695</v>
      </c>
      <c r="N20" s="15">
        <v>0</v>
      </c>
      <c r="O20" s="58">
        <f t="shared" ref="O20" si="20">IF(L20=0,"0",N20/L20)</f>
        <v>0</v>
      </c>
      <c r="P20" s="39">
        <f t="shared" ref="P20" si="21">IF(L20=0,"0",(24-Q20))</f>
        <v>4</v>
      </c>
      <c r="Q20" s="40">
        <f t="shared" ref="Q20" si="22">SUM(R20:AA20)</f>
        <v>20</v>
      </c>
      <c r="R20" s="7"/>
      <c r="S20" s="6"/>
      <c r="T20" s="16"/>
      <c r="U20" s="16"/>
      <c r="V20" s="17"/>
      <c r="W20" s="5">
        <v>20</v>
      </c>
      <c r="X20" s="16"/>
      <c r="Y20" s="16"/>
      <c r="Z20" s="16"/>
      <c r="AA20" s="18"/>
      <c r="AB20" s="8">
        <f t="shared" ref="AB20" si="23">IF(J20=0,"0",(L20/J20))</f>
        <v>1</v>
      </c>
      <c r="AC20" s="9">
        <f t="shared" ref="AC20" si="24">IF(P20=0,"0",(P20/24))</f>
        <v>0.16666666666666666</v>
      </c>
      <c r="AD20" s="10">
        <f t="shared" ref="AD20" si="25">AC20*AB20*(1-O20)</f>
        <v>0.16666666666666666</v>
      </c>
      <c r="AE20" s="36">
        <f t="shared" si="8"/>
        <v>0.42785771382893689</v>
      </c>
      <c r="AF20" s="87">
        <f t="shared" ref="AF20" si="26">A20</f>
        <v>14</v>
      </c>
    </row>
    <row r="21" spans="1:32" ht="27" customHeight="1">
      <c r="A21" s="103">
        <v>14</v>
      </c>
      <c r="B21" s="11" t="s">
        <v>57</v>
      </c>
      <c r="C21" s="11" t="s">
        <v>124</v>
      </c>
      <c r="D21" s="52" t="s">
        <v>117</v>
      </c>
      <c r="E21" s="53" t="s">
        <v>393</v>
      </c>
      <c r="F21" s="30" t="s">
        <v>121</v>
      </c>
      <c r="G21" s="33">
        <v>1</v>
      </c>
      <c r="H21" s="35">
        <v>24</v>
      </c>
      <c r="I21" s="7">
        <v>46000</v>
      </c>
      <c r="J21" s="14">
        <v>695</v>
      </c>
      <c r="K21" s="15">
        <f>L21</f>
        <v>470</v>
      </c>
      <c r="L21" s="15">
        <v>470</v>
      </c>
      <c r="M21" s="15">
        <f t="shared" si="1"/>
        <v>470</v>
      </c>
      <c r="N21" s="15">
        <v>0</v>
      </c>
      <c r="O21" s="58">
        <f t="shared" si="2"/>
        <v>0</v>
      </c>
      <c r="P21" s="39">
        <f t="shared" si="3"/>
        <v>3</v>
      </c>
      <c r="Q21" s="40">
        <f t="shared" si="4"/>
        <v>21</v>
      </c>
      <c r="R21" s="7"/>
      <c r="S21" s="6">
        <v>21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0.67625899280575541</v>
      </c>
      <c r="AC21" s="9">
        <f t="shared" si="6"/>
        <v>0.125</v>
      </c>
      <c r="AD21" s="10">
        <f t="shared" si="7"/>
        <v>8.4532374100719426E-2</v>
      </c>
      <c r="AE21" s="36">
        <f t="shared" si="8"/>
        <v>0.42785771382893689</v>
      </c>
      <c r="AF21" s="87">
        <f t="shared" si="9"/>
        <v>14</v>
      </c>
    </row>
    <row r="22" spans="1:32" ht="27" customHeight="1" thickBot="1">
      <c r="A22" s="103">
        <v>15</v>
      </c>
      <c r="B22" s="11" t="s">
        <v>57</v>
      </c>
      <c r="C22" s="11" t="s">
        <v>115</v>
      </c>
      <c r="D22" s="52"/>
      <c r="E22" s="53" t="s">
        <v>268</v>
      </c>
      <c r="F22" s="12" t="s">
        <v>116</v>
      </c>
      <c r="G22" s="12">
        <v>4</v>
      </c>
      <c r="H22" s="35">
        <v>20</v>
      </c>
      <c r="I22" s="7">
        <v>200000</v>
      </c>
      <c r="J22" s="14">
        <v>30378</v>
      </c>
      <c r="K22" s="15">
        <f>L22+30099+30702+30357</f>
        <v>121536</v>
      </c>
      <c r="L22" s="15">
        <f>10126*3</f>
        <v>30378</v>
      </c>
      <c r="M22" s="15">
        <f t="shared" si="1"/>
        <v>30378</v>
      </c>
      <c r="N22" s="15">
        <v>0</v>
      </c>
      <c r="O22" s="58">
        <f t="shared" si="2"/>
        <v>0</v>
      </c>
      <c r="P22" s="39">
        <f t="shared" si="3"/>
        <v>13</v>
      </c>
      <c r="Q22" s="40">
        <f t="shared" si="4"/>
        <v>11</v>
      </c>
      <c r="R22" s="7"/>
      <c r="S22" s="6"/>
      <c r="T22" s="16"/>
      <c r="U22" s="16"/>
      <c r="V22" s="17">
        <v>11</v>
      </c>
      <c r="W22" s="5"/>
      <c r="X22" s="16"/>
      <c r="Y22" s="16"/>
      <c r="Z22" s="16"/>
      <c r="AA22" s="18"/>
      <c r="AB22" s="8">
        <f t="shared" si="5"/>
        <v>1</v>
      </c>
      <c r="AC22" s="9">
        <f t="shared" si="6"/>
        <v>0.54166666666666663</v>
      </c>
      <c r="AD22" s="10">
        <f t="shared" si="7"/>
        <v>0.54166666666666663</v>
      </c>
      <c r="AE22" s="36">
        <f t="shared" si="8"/>
        <v>0.42785771382893689</v>
      </c>
      <c r="AF22" s="87">
        <f t="shared" si="9"/>
        <v>15</v>
      </c>
    </row>
    <row r="23" spans="1:32" ht="31.5" customHeight="1" thickBot="1">
      <c r="A23" s="541" t="s">
        <v>34</v>
      </c>
      <c r="B23" s="542"/>
      <c r="C23" s="542"/>
      <c r="D23" s="542"/>
      <c r="E23" s="542"/>
      <c r="F23" s="542"/>
      <c r="G23" s="542"/>
      <c r="H23" s="543"/>
      <c r="I23" s="22">
        <f t="shared" ref="I23:N23" si="27">SUM(I6:I22)</f>
        <v>652800</v>
      </c>
      <c r="J23" s="19">
        <f t="shared" si="27"/>
        <v>75367</v>
      </c>
      <c r="K23" s="20">
        <f t="shared" si="27"/>
        <v>420870</v>
      </c>
      <c r="L23" s="21">
        <f t="shared" si="27"/>
        <v>66762</v>
      </c>
      <c r="M23" s="20">
        <f t="shared" si="27"/>
        <v>66762</v>
      </c>
      <c r="N23" s="21">
        <f t="shared" si="27"/>
        <v>0</v>
      </c>
      <c r="O23" s="41">
        <f t="shared" si="2"/>
        <v>0</v>
      </c>
      <c r="P23" s="42">
        <f t="shared" ref="P23:AA23" si="28">SUM(P6:P22)</f>
        <v>155</v>
      </c>
      <c r="Q23" s="43">
        <f t="shared" si="28"/>
        <v>253</v>
      </c>
      <c r="R23" s="23">
        <f t="shared" si="28"/>
        <v>24</v>
      </c>
      <c r="S23" s="24">
        <f t="shared" si="28"/>
        <v>76</v>
      </c>
      <c r="T23" s="24">
        <f t="shared" si="28"/>
        <v>15</v>
      </c>
      <c r="U23" s="24">
        <f t="shared" si="28"/>
        <v>0</v>
      </c>
      <c r="V23" s="25">
        <f t="shared" si="28"/>
        <v>35</v>
      </c>
      <c r="W23" s="26">
        <f t="shared" si="28"/>
        <v>103</v>
      </c>
      <c r="X23" s="27">
        <f t="shared" si="28"/>
        <v>0</v>
      </c>
      <c r="Y23" s="27">
        <f t="shared" si="28"/>
        <v>0</v>
      </c>
      <c r="Z23" s="27">
        <f t="shared" si="28"/>
        <v>0</v>
      </c>
      <c r="AA23" s="27">
        <f t="shared" si="28"/>
        <v>0</v>
      </c>
      <c r="AB23" s="28">
        <f>SUM(AB6:AB22)/15</f>
        <v>0.84508393285371697</v>
      </c>
      <c r="AC23" s="4">
        <f>SUM(AC6:AC22)/15</f>
        <v>0.43055555555555558</v>
      </c>
      <c r="AD23" s="4">
        <f>SUM(AD6:AD22)/15</f>
        <v>0.42785771382893689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8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44" t="s">
        <v>45</v>
      </c>
      <c r="B50" s="544"/>
      <c r="C50" s="544"/>
      <c r="D50" s="544"/>
      <c r="E50" s="544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45" t="s">
        <v>534</v>
      </c>
      <c r="B51" s="546"/>
      <c r="C51" s="546"/>
      <c r="D51" s="546"/>
      <c r="E51" s="546"/>
      <c r="F51" s="546"/>
      <c r="G51" s="546"/>
      <c r="H51" s="546"/>
      <c r="I51" s="546"/>
      <c r="J51" s="546"/>
      <c r="K51" s="546"/>
      <c r="L51" s="546"/>
      <c r="M51" s="547"/>
      <c r="N51" s="548" t="s">
        <v>539</v>
      </c>
      <c r="O51" s="549"/>
      <c r="P51" s="549"/>
      <c r="Q51" s="549"/>
      <c r="R51" s="549"/>
      <c r="S51" s="549"/>
      <c r="T51" s="549"/>
      <c r="U51" s="549"/>
      <c r="V51" s="549"/>
      <c r="W51" s="549"/>
      <c r="X51" s="549"/>
      <c r="Y51" s="549"/>
      <c r="Z51" s="549"/>
      <c r="AA51" s="549"/>
      <c r="AB51" s="549"/>
      <c r="AC51" s="549"/>
      <c r="AD51" s="550"/>
    </row>
    <row r="52" spans="1:32" ht="27" customHeight="1">
      <c r="A52" s="551" t="s">
        <v>2</v>
      </c>
      <c r="B52" s="552"/>
      <c r="C52" s="372" t="s">
        <v>46</v>
      </c>
      <c r="D52" s="372" t="s">
        <v>47</v>
      </c>
      <c r="E52" s="372" t="s">
        <v>108</v>
      </c>
      <c r="F52" s="552" t="s">
        <v>107</v>
      </c>
      <c r="G52" s="552"/>
      <c r="H52" s="552"/>
      <c r="I52" s="552"/>
      <c r="J52" s="552"/>
      <c r="K52" s="552"/>
      <c r="L52" s="552"/>
      <c r="M52" s="553"/>
      <c r="N52" s="67" t="s">
        <v>112</v>
      </c>
      <c r="O52" s="372" t="s">
        <v>46</v>
      </c>
      <c r="P52" s="554" t="s">
        <v>47</v>
      </c>
      <c r="Q52" s="555"/>
      <c r="R52" s="554" t="s">
        <v>38</v>
      </c>
      <c r="S52" s="556"/>
      <c r="T52" s="556"/>
      <c r="U52" s="555"/>
      <c r="V52" s="554" t="s">
        <v>48</v>
      </c>
      <c r="W52" s="556"/>
      <c r="X52" s="556"/>
      <c r="Y52" s="556"/>
      <c r="Z52" s="556"/>
      <c r="AA52" s="556"/>
      <c r="AB52" s="556"/>
      <c r="AC52" s="556"/>
      <c r="AD52" s="557"/>
    </row>
    <row r="53" spans="1:32" ht="27" customHeight="1">
      <c r="A53" s="524" t="s">
        <v>114</v>
      </c>
      <c r="B53" s="525"/>
      <c r="C53" s="370" t="s">
        <v>131</v>
      </c>
      <c r="D53" s="370" t="s">
        <v>142</v>
      </c>
      <c r="E53" s="370" t="s">
        <v>145</v>
      </c>
      <c r="F53" s="517" t="s">
        <v>535</v>
      </c>
      <c r="G53" s="518"/>
      <c r="H53" s="518"/>
      <c r="I53" s="518"/>
      <c r="J53" s="518"/>
      <c r="K53" s="518"/>
      <c r="L53" s="518"/>
      <c r="M53" s="526"/>
      <c r="N53" s="369" t="s">
        <v>124</v>
      </c>
      <c r="O53" s="367" t="s">
        <v>171</v>
      </c>
      <c r="P53" s="536" t="s">
        <v>117</v>
      </c>
      <c r="Q53" s="537"/>
      <c r="R53" s="536" t="s">
        <v>393</v>
      </c>
      <c r="S53" s="538"/>
      <c r="T53" s="538"/>
      <c r="U53" s="537"/>
      <c r="V53" s="503" t="s">
        <v>157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114</v>
      </c>
      <c r="B54" s="525"/>
      <c r="C54" s="370" t="s">
        <v>150</v>
      </c>
      <c r="D54" s="370" t="s">
        <v>117</v>
      </c>
      <c r="E54" s="370" t="s">
        <v>144</v>
      </c>
      <c r="F54" s="517" t="s">
        <v>536</v>
      </c>
      <c r="G54" s="518"/>
      <c r="H54" s="518"/>
      <c r="I54" s="518"/>
      <c r="J54" s="518"/>
      <c r="K54" s="518"/>
      <c r="L54" s="518"/>
      <c r="M54" s="526"/>
      <c r="N54" s="369" t="s">
        <v>124</v>
      </c>
      <c r="O54" s="367" t="s">
        <v>132</v>
      </c>
      <c r="P54" s="536" t="s">
        <v>183</v>
      </c>
      <c r="Q54" s="537"/>
      <c r="R54" s="536" t="s">
        <v>300</v>
      </c>
      <c r="S54" s="538"/>
      <c r="T54" s="538"/>
      <c r="U54" s="537"/>
      <c r="V54" s="503" t="s">
        <v>157</v>
      </c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114</v>
      </c>
      <c r="B55" s="525"/>
      <c r="C55" s="370" t="s">
        <v>234</v>
      </c>
      <c r="D55" s="370" t="s">
        <v>122</v>
      </c>
      <c r="E55" s="370" t="s">
        <v>147</v>
      </c>
      <c r="F55" s="517" t="s">
        <v>537</v>
      </c>
      <c r="G55" s="518"/>
      <c r="H55" s="518"/>
      <c r="I55" s="518"/>
      <c r="J55" s="518"/>
      <c r="K55" s="518"/>
      <c r="L55" s="518"/>
      <c r="M55" s="526"/>
      <c r="N55" s="369" t="s">
        <v>138</v>
      </c>
      <c r="O55" s="367" t="s">
        <v>150</v>
      </c>
      <c r="P55" s="536"/>
      <c r="Q55" s="537"/>
      <c r="R55" s="536" t="s">
        <v>540</v>
      </c>
      <c r="S55" s="538"/>
      <c r="T55" s="538"/>
      <c r="U55" s="537"/>
      <c r="V55" s="503" t="s">
        <v>120</v>
      </c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 t="s">
        <v>124</v>
      </c>
      <c r="B56" s="525"/>
      <c r="C56" s="370" t="s">
        <v>132</v>
      </c>
      <c r="D56" s="370" t="s">
        <v>183</v>
      </c>
      <c r="E56" s="370" t="s">
        <v>300</v>
      </c>
      <c r="F56" s="517" t="s">
        <v>251</v>
      </c>
      <c r="G56" s="518"/>
      <c r="H56" s="518"/>
      <c r="I56" s="518"/>
      <c r="J56" s="518"/>
      <c r="K56" s="518"/>
      <c r="L56" s="518"/>
      <c r="M56" s="526"/>
      <c r="N56" s="369" t="s">
        <v>138</v>
      </c>
      <c r="O56" s="367" t="s">
        <v>179</v>
      </c>
      <c r="P56" s="536"/>
      <c r="Q56" s="537"/>
      <c r="R56" s="536" t="s">
        <v>541</v>
      </c>
      <c r="S56" s="538"/>
      <c r="T56" s="538"/>
      <c r="U56" s="537"/>
      <c r="V56" s="503" t="s">
        <v>120</v>
      </c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 t="s">
        <v>128</v>
      </c>
      <c r="B57" s="525"/>
      <c r="C57" s="370" t="s">
        <v>155</v>
      </c>
      <c r="D57" s="370" t="s">
        <v>538</v>
      </c>
      <c r="E57" s="370" t="s">
        <v>526</v>
      </c>
      <c r="F57" s="517" t="s">
        <v>120</v>
      </c>
      <c r="G57" s="518"/>
      <c r="H57" s="518"/>
      <c r="I57" s="518"/>
      <c r="J57" s="518"/>
      <c r="K57" s="518"/>
      <c r="L57" s="518"/>
      <c r="M57" s="526"/>
      <c r="N57" s="369" t="s">
        <v>114</v>
      </c>
      <c r="O57" s="367" t="s">
        <v>155</v>
      </c>
      <c r="P57" s="536" t="s">
        <v>117</v>
      </c>
      <c r="Q57" s="537"/>
      <c r="R57" s="536" t="s">
        <v>542</v>
      </c>
      <c r="S57" s="538"/>
      <c r="T57" s="538"/>
      <c r="U57" s="537"/>
      <c r="V57" s="503" t="s">
        <v>120</v>
      </c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 t="s">
        <v>128</v>
      </c>
      <c r="B58" s="525"/>
      <c r="C58" s="370" t="s">
        <v>179</v>
      </c>
      <c r="D58" s="370" t="s">
        <v>538</v>
      </c>
      <c r="E58" s="370" t="s">
        <v>353</v>
      </c>
      <c r="F58" s="517" t="s">
        <v>120</v>
      </c>
      <c r="G58" s="518"/>
      <c r="H58" s="518"/>
      <c r="I58" s="518"/>
      <c r="J58" s="518"/>
      <c r="K58" s="518"/>
      <c r="L58" s="518"/>
      <c r="M58" s="526"/>
      <c r="N58" s="369" t="s">
        <v>114</v>
      </c>
      <c r="O58" s="367" t="s">
        <v>131</v>
      </c>
      <c r="P58" s="536" t="s">
        <v>142</v>
      </c>
      <c r="Q58" s="537"/>
      <c r="R58" s="525" t="s">
        <v>145</v>
      </c>
      <c r="S58" s="525"/>
      <c r="T58" s="525"/>
      <c r="U58" s="525"/>
      <c r="V58" s="503" t="s">
        <v>157</v>
      </c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 t="s">
        <v>124</v>
      </c>
      <c r="B59" s="525"/>
      <c r="C59" s="370" t="s">
        <v>171</v>
      </c>
      <c r="D59" s="370" t="s">
        <v>117</v>
      </c>
      <c r="E59" s="370" t="s">
        <v>393</v>
      </c>
      <c r="F59" s="517" t="s">
        <v>174</v>
      </c>
      <c r="G59" s="518"/>
      <c r="H59" s="518"/>
      <c r="I59" s="518"/>
      <c r="J59" s="518"/>
      <c r="K59" s="518"/>
      <c r="L59" s="518"/>
      <c r="M59" s="526"/>
      <c r="N59" s="369"/>
      <c r="O59" s="367"/>
      <c r="P59" s="536"/>
      <c r="Q59" s="537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</row>
    <row r="60" spans="1:32" ht="27" customHeight="1">
      <c r="A60" s="524"/>
      <c r="B60" s="525"/>
      <c r="C60" s="370"/>
      <c r="D60" s="370"/>
      <c r="E60" s="370"/>
      <c r="F60" s="517"/>
      <c r="G60" s="518"/>
      <c r="H60" s="518"/>
      <c r="I60" s="518"/>
      <c r="J60" s="518"/>
      <c r="K60" s="518"/>
      <c r="L60" s="518"/>
      <c r="M60" s="526"/>
      <c r="N60" s="369"/>
      <c r="O60" s="367"/>
      <c r="P60" s="536"/>
      <c r="Q60" s="537"/>
      <c r="R60" s="525"/>
      <c r="S60" s="525"/>
      <c r="T60" s="525"/>
      <c r="U60" s="525"/>
      <c r="V60" s="503"/>
      <c r="W60" s="503"/>
      <c r="X60" s="503"/>
      <c r="Y60" s="503"/>
      <c r="Z60" s="503"/>
      <c r="AA60" s="503"/>
      <c r="AB60" s="503"/>
      <c r="AC60" s="503"/>
      <c r="AD60" s="527"/>
    </row>
    <row r="61" spans="1:32" ht="27" customHeight="1">
      <c r="A61" s="524"/>
      <c r="B61" s="525"/>
      <c r="C61" s="370"/>
      <c r="D61" s="370"/>
      <c r="E61" s="370"/>
      <c r="F61" s="517"/>
      <c r="G61" s="518"/>
      <c r="H61" s="518"/>
      <c r="I61" s="518"/>
      <c r="J61" s="518"/>
      <c r="K61" s="518"/>
      <c r="L61" s="518"/>
      <c r="M61" s="526"/>
      <c r="N61" s="369"/>
      <c r="O61" s="367"/>
      <c r="P61" s="525"/>
      <c r="Q61" s="525"/>
      <c r="R61" s="525"/>
      <c r="S61" s="525"/>
      <c r="T61" s="525"/>
      <c r="U61" s="525"/>
      <c r="V61" s="503"/>
      <c r="W61" s="503"/>
      <c r="X61" s="503"/>
      <c r="Y61" s="503"/>
      <c r="Z61" s="503"/>
      <c r="AA61" s="503"/>
      <c r="AB61" s="503"/>
      <c r="AC61" s="503"/>
      <c r="AD61" s="527"/>
      <c r="AF61" s="87">
        <f>8*3000</f>
        <v>24000</v>
      </c>
    </row>
    <row r="62" spans="1:32" ht="27" customHeight="1" thickBot="1">
      <c r="A62" s="528"/>
      <c r="B62" s="529"/>
      <c r="C62" s="371"/>
      <c r="D62" s="371"/>
      <c r="E62" s="371"/>
      <c r="F62" s="530"/>
      <c r="G62" s="531"/>
      <c r="H62" s="531"/>
      <c r="I62" s="531"/>
      <c r="J62" s="531"/>
      <c r="K62" s="531"/>
      <c r="L62" s="531"/>
      <c r="M62" s="532"/>
      <c r="N62" s="124"/>
      <c r="O62" s="114"/>
      <c r="P62" s="533"/>
      <c r="Q62" s="533"/>
      <c r="R62" s="533"/>
      <c r="S62" s="533"/>
      <c r="T62" s="533"/>
      <c r="U62" s="533"/>
      <c r="V62" s="534"/>
      <c r="W62" s="534"/>
      <c r="X62" s="534"/>
      <c r="Y62" s="534"/>
      <c r="Z62" s="534"/>
      <c r="AA62" s="534"/>
      <c r="AB62" s="534"/>
      <c r="AC62" s="534"/>
      <c r="AD62" s="535"/>
      <c r="AF62" s="87">
        <f>16*3000</f>
        <v>48000</v>
      </c>
    </row>
    <row r="63" spans="1:32" ht="27.75" thickBot="1">
      <c r="A63" s="522" t="s">
        <v>543</v>
      </c>
      <c r="B63" s="522"/>
      <c r="C63" s="522"/>
      <c r="D63" s="522"/>
      <c r="E63" s="522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7">
        <v>24000</v>
      </c>
    </row>
    <row r="64" spans="1:32" ht="29.25" customHeight="1" thickBot="1">
      <c r="A64" s="523" t="s">
        <v>113</v>
      </c>
      <c r="B64" s="515"/>
      <c r="C64" s="368" t="s">
        <v>2</v>
      </c>
      <c r="D64" s="368" t="s">
        <v>37</v>
      </c>
      <c r="E64" s="368" t="s">
        <v>3</v>
      </c>
      <c r="F64" s="515" t="s">
        <v>110</v>
      </c>
      <c r="G64" s="515"/>
      <c r="H64" s="515"/>
      <c r="I64" s="515"/>
      <c r="J64" s="515"/>
      <c r="K64" s="515" t="s">
        <v>39</v>
      </c>
      <c r="L64" s="515"/>
      <c r="M64" s="368" t="s">
        <v>40</v>
      </c>
      <c r="N64" s="515" t="s">
        <v>41</v>
      </c>
      <c r="O64" s="515"/>
      <c r="P64" s="512" t="s">
        <v>42</v>
      </c>
      <c r="Q64" s="514"/>
      <c r="R64" s="512" t="s">
        <v>43</v>
      </c>
      <c r="S64" s="513"/>
      <c r="T64" s="513"/>
      <c r="U64" s="513"/>
      <c r="V64" s="513"/>
      <c r="W64" s="513"/>
      <c r="X64" s="513"/>
      <c r="Y64" s="513"/>
      <c r="Z64" s="513"/>
      <c r="AA64" s="514"/>
      <c r="AB64" s="515" t="s">
        <v>44</v>
      </c>
      <c r="AC64" s="515"/>
      <c r="AD64" s="516"/>
      <c r="AF64" s="87">
        <f>SUM(AF61:AF63)</f>
        <v>96000</v>
      </c>
    </row>
    <row r="65" spans="1:32" ht="25.5" customHeight="1">
      <c r="A65" s="498">
        <v>1</v>
      </c>
      <c r="B65" s="499"/>
      <c r="C65" s="117" t="s">
        <v>124</v>
      </c>
      <c r="D65" s="363"/>
      <c r="E65" s="366" t="s">
        <v>135</v>
      </c>
      <c r="F65" s="500" t="s">
        <v>143</v>
      </c>
      <c r="G65" s="492"/>
      <c r="H65" s="492"/>
      <c r="I65" s="492"/>
      <c r="J65" s="492"/>
      <c r="K65" s="492" t="s">
        <v>133</v>
      </c>
      <c r="L65" s="492"/>
      <c r="M65" s="51" t="s">
        <v>162</v>
      </c>
      <c r="N65" s="501" t="s">
        <v>163</v>
      </c>
      <c r="O65" s="501"/>
      <c r="P65" s="502">
        <v>50</v>
      </c>
      <c r="Q65" s="502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507"/>
      <c r="AC65" s="520"/>
      <c r="AD65" s="521"/>
      <c r="AF65" s="50"/>
    </row>
    <row r="66" spans="1:32" ht="25.5" customHeight="1">
      <c r="A66" s="498">
        <v>2</v>
      </c>
      <c r="B66" s="499"/>
      <c r="C66" s="117" t="s">
        <v>138</v>
      </c>
      <c r="D66" s="363"/>
      <c r="E66" s="366"/>
      <c r="F66" s="504" t="s">
        <v>338</v>
      </c>
      <c r="G66" s="505"/>
      <c r="H66" s="505"/>
      <c r="I66" s="505"/>
      <c r="J66" s="506"/>
      <c r="K66" s="507" t="s">
        <v>339</v>
      </c>
      <c r="L66" s="499"/>
      <c r="M66" s="51" t="s">
        <v>162</v>
      </c>
      <c r="N66" s="501" t="s">
        <v>217</v>
      </c>
      <c r="O66" s="501"/>
      <c r="P66" s="502">
        <v>50</v>
      </c>
      <c r="Q66" s="502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3</v>
      </c>
      <c r="B67" s="499"/>
      <c r="C67" s="117" t="s">
        <v>128</v>
      </c>
      <c r="D67" s="363"/>
      <c r="E67" s="366" t="s">
        <v>183</v>
      </c>
      <c r="F67" s="504" t="s">
        <v>340</v>
      </c>
      <c r="G67" s="505"/>
      <c r="H67" s="505"/>
      <c r="I67" s="505"/>
      <c r="J67" s="506"/>
      <c r="K67" s="507" t="s">
        <v>161</v>
      </c>
      <c r="L67" s="499"/>
      <c r="M67" s="51" t="s">
        <v>162</v>
      </c>
      <c r="N67" s="501" t="s">
        <v>163</v>
      </c>
      <c r="O67" s="501"/>
      <c r="P67" s="502">
        <v>50</v>
      </c>
      <c r="Q67" s="502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4</v>
      </c>
      <c r="B68" s="499"/>
      <c r="C68" s="117" t="s">
        <v>114</v>
      </c>
      <c r="D68" s="363"/>
      <c r="E68" s="366" t="s">
        <v>117</v>
      </c>
      <c r="F68" s="504" t="s">
        <v>544</v>
      </c>
      <c r="G68" s="505"/>
      <c r="H68" s="505"/>
      <c r="I68" s="505"/>
      <c r="J68" s="506"/>
      <c r="K68" s="507" t="s">
        <v>141</v>
      </c>
      <c r="L68" s="499"/>
      <c r="M68" s="51" t="s">
        <v>162</v>
      </c>
      <c r="N68" s="501" t="s">
        <v>155</v>
      </c>
      <c r="O68" s="501"/>
      <c r="P68" s="502">
        <v>50</v>
      </c>
      <c r="Q68" s="502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5</v>
      </c>
      <c r="B69" s="499"/>
      <c r="C69" s="117"/>
      <c r="D69" s="363"/>
      <c r="E69" s="366"/>
      <c r="F69" s="504"/>
      <c r="G69" s="505"/>
      <c r="H69" s="505"/>
      <c r="I69" s="505"/>
      <c r="J69" s="506"/>
      <c r="K69" s="507"/>
      <c r="L69" s="499"/>
      <c r="M69" s="51"/>
      <c r="N69" s="508"/>
      <c r="O69" s="509"/>
      <c r="P69" s="510"/>
      <c r="Q69" s="511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6</v>
      </c>
      <c r="B70" s="499"/>
      <c r="C70" s="117"/>
      <c r="D70" s="363"/>
      <c r="E70" s="366"/>
      <c r="F70" s="500"/>
      <c r="G70" s="492"/>
      <c r="H70" s="492"/>
      <c r="I70" s="492"/>
      <c r="J70" s="492"/>
      <c r="K70" s="492"/>
      <c r="L70" s="492"/>
      <c r="M70" s="51"/>
      <c r="N70" s="508"/>
      <c r="O70" s="509"/>
      <c r="P70" s="510"/>
      <c r="Q70" s="511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5.5" customHeight="1">
      <c r="A71" s="498">
        <v>7</v>
      </c>
      <c r="B71" s="499"/>
      <c r="C71" s="117"/>
      <c r="D71" s="363"/>
      <c r="E71" s="366"/>
      <c r="F71" s="500"/>
      <c r="G71" s="492"/>
      <c r="H71" s="492"/>
      <c r="I71" s="492"/>
      <c r="J71" s="492"/>
      <c r="K71" s="492"/>
      <c r="L71" s="492"/>
      <c r="M71" s="51"/>
      <c r="N71" s="508"/>
      <c r="O71" s="509"/>
      <c r="P71" s="510"/>
      <c r="Q71" s="511"/>
      <c r="R71" s="503"/>
      <c r="S71" s="503"/>
      <c r="T71" s="503"/>
      <c r="U71" s="503"/>
      <c r="V71" s="503"/>
      <c r="W71" s="503"/>
      <c r="X71" s="503"/>
      <c r="Y71" s="503"/>
      <c r="Z71" s="503"/>
      <c r="AA71" s="503"/>
      <c r="AB71" s="492"/>
      <c r="AC71" s="492"/>
      <c r="AD71" s="493"/>
      <c r="AF71" s="50"/>
    </row>
    <row r="72" spans="1:32" ht="25.5" customHeight="1">
      <c r="A72" s="498">
        <v>8</v>
      </c>
      <c r="B72" s="499"/>
      <c r="C72" s="117"/>
      <c r="D72" s="363"/>
      <c r="E72" s="366"/>
      <c r="F72" s="500"/>
      <c r="G72" s="492"/>
      <c r="H72" s="492"/>
      <c r="I72" s="492"/>
      <c r="J72" s="492"/>
      <c r="K72" s="492"/>
      <c r="L72" s="492"/>
      <c r="M72" s="51"/>
      <c r="N72" s="508"/>
      <c r="O72" s="509"/>
      <c r="P72" s="510"/>
      <c r="Q72" s="511"/>
      <c r="R72" s="503"/>
      <c r="S72" s="503"/>
      <c r="T72" s="503"/>
      <c r="U72" s="503"/>
      <c r="V72" s="503"/>
      <c r="W72" s="503"/>
      <c r="X72" s="503"/>
      <c r="Y72" s="503"/>
      <c r="Z72" s="503"/>
      <c r="AA72" s="503"/>
      <c r="AB72" s="492"/>
      <c r="AC72" s="492"/>
      <c r="AD72" s="493"/>
      <c r="AF72" s="50"/>
    </row>
    <row r="73" spans="1:32" ht="26.25" customHeight="1" thickBot="1">
      <c r="A73" s="472" t="s">
        <v>545</v>
      </c>
      <c r="B73" s="472"/>
      <c r="C73" s="472"/>
      <c r="D73" s="472"/>
      <c r="E73" s="472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F73" s="50"/>
    </row>
    <row r="74" spans="1:32" ht="23.25" thickBot="1">
      <c r="A74" s="473" t="s">
        <v>113</v>
      </c>
      <c r="B74" s="474"/>
      <c r="C74" s="365" t="s">
        <v>2</v>
      </c>
      <c r="D74" s="365" t="s">
        <v>37</v>
      </c>
      <c r="E74" s="365" t="s">
        <v>3</v>
      </c>
      <c r="F74" s="474" t="s">
        <v>38</v>
      </c>
      <c r="G74" s="474"/>
      <c r="H74" s="474"/>
      <c r="I74" s="474"/>
      <c r="J74" s="474"/>
      <c r="K74" s="494" t="s">
        <v>58</v>
      </c>
      <c r="L74" s="495"/>
      <c r="M74" s="495"/>
      <c r="N74" s="495"/>
      <c r="O74" s="495"/>
      <c r="P74" s="495"/>
      <c r="Q74" s="495"/>
      <c r="R74" s="495"/>
      <c r="S74" s="496"/>
      <c r="T74" s="474" t="s">
        <v>49</v>
      </c>
      <c r="U74" s="474"/>
      <c r="V74" s="494" t="s">
        <v>50</v>
      </c>
      <c r="W74" s="496"/>
      <c r="X74" s="495" t="s">
        <v>51</v>
      </c>
      <c r="Y74" s="495"/>
      <c r="Z74" s="495"/>
      <c r="AA74" s="495"/>
      <c r="AB74" s="495"/>
      <c r="AC74" s="495"/>
      <c r="AD74" s="497"/>
      <c r="AF74" s="50"/>
    </row>
    <row r="75" spans="1:32" ht="33.75" customHeight="1">
      <c r="A75" s="466">
        <v>1</v>
      </c>
      <c r="B75" s="467"/>
      <c r="C75" s="364" t="s">
        <v>114</v>
      </c>
      <c r="D75" s="364"/>
      <c r="E75" s="65" t="s">
        <v>119</v>
      </c>
      <c r="F75" s="481" t="s">
        <v>118</v>
      </c>
      <c r="G75" s="482"/>
      <c r="H75" s="482"/>
      <c r="I75" s="482"/>
      <c r="J75" s="483"/>
      <c r="K75" s="484" t="s">
        <v>130</v>
      </c>
      <c r="L75" s="485"/>
      <c r="M75" s="485"/>
      <c r="N75" s="485"/>
      <c r="O75" s="485"/>
      <c r="P75" s="485"/>
      <c r="Q75" s="485"/>
      <c r="R75" s="485"/>
      <c r="S75" s="486"/>
      <c r="T75" s="487">
        <v>43675</v>
      </c>
      <c r="U75" s="488"/>
      <c r="V75" s="489"/>
      <c r="W75" s="489"/>
      <c r="X75" s="490"/>
      <c r="Y75" s="490"/>
      <c r="Z75" s="490"/>
      <c r="AA75" s="490"/>
      <c r="AB75" s="490"/>
      <c r="AC75" s="490"/>
      <c r="AD75" s="491"/>
      <c r="AF75" s="50"/>
    </row>
    <row r="76" spans="1:32" ht="30" customHeight="1">
      <c r="A76" s="459">
        <f>A75+1</f>
        <v>2</v>
      </c>
      <c r="B76" s="460"/>
      <c r="C76" s="363"/>
      <c r="D76" s="363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ref="A77:A83" si="29">A76+1</f>
        <v>3</v>
      </c>
      <c r="B77" s="460"/>
      <c r="C77" s="363"/>
      <c r="D77" s="363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29"/>
        <v>4</v>
      </c>
      <c r="B78" s="460"/>
      <c r="C78" s="363"/>
      <c r="D78" s="363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29"/>
        <v>5</v>
      </c>
      <c r="B79" s="460"/>
      <c r="C79" s="363"/>
      <c r="D79" s="363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29"/>
        <v>6</v>
      </c>
      <c r="B80" s="460"/>
      <c r="C80" s="363"/>
      <c r="D80" s="363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29"/>
        <v>7</v>
      </c>
      <c r="B81" s="460"/>
      <c r="C81" s="363"/>
      <c r="D81" s="363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0" customHeight="1">
      <c r="A82" s="459">
        <f t="shared" si="29"/>
        <v>8</v>
      </c>
      <c r="B82" s="460"/>
      <c r="C82" s="363"/>
      <c r="D82" s="363"/>
      <c r="E82" s="32"/>
      <c r="F82" s="460"/>
      <c r="G82" s="460"/>
      <c r="H82" s="460"/>
      <c r="I82" s="460"/>
      <c r="J82" s="460"/>
      <c r="K82" s="475"/>
      <c r="L82" s="476"/>
      <c r="M82" s="476"/>
      <c r="N82" s="476"/>
      <c r="O82" s="476"/>
      <c r="P82" s="476"/>
      <c r="Q82" s="476"/>
      <c r="R82" s="476"/>
      <c r="S82" s="477"/>
      <c r="T82" s="478"/>
      <c r="U82" s="478"/>
      <c r="V82" s="478"/>
      <c r="W82" s="478"/>
      <c r="X82" s="479"/>
      <c r="Y82" s="479"/>
      <c r="Z82" s="479"/>
      <c r="AA82" s="479"/>
      <c r="AB82" s="479"/>
      <c r="AC82" s="479"/>
      <c r="AD82" s="480"/>
      <c r="AF82" s="50"/>
    </row>
    <row r="83" spans="1:32" ht="30" customHeight="1">
      <c r="A83" s="459">
        <f t="shared" si="29"/>
        <v>9</v>
      </c>
      <c r="B83" s="460"/>
      <c r="C83" s="363"/>
      <c r="D83" s="363"/>
      <c r="E83" s="32"/>
      <c r="F83" s="460"/>
      <c r="G83" s="460"/>
      <c r="H83" s="460"/>
      <c r="I83" s="460"/>
      <c r="J83" s="460"/>
      <c r="K83" s="475"/>
      <c r="L83" s="476"/>
      <c r="M83" s="476"/>
      <c r="N83" s="476"/>
      <c r="O83" s="476"/>
      <c r="P83" s="476"/>
      <c r="Q83" s="476"/>
      <c r="R83" s="476"/>
      <c r="S83" s="477"/>
      <c r="T83" s="478"/>
      <c r="U83" s="478"/>
      <c r="V83" s="478"/>
      <c r="W83" s="478"/>
      <c r="X83" s="479"/>
      <c r="Y83" s="479"/>
      <c r="Z83" s="479"/>
      <c r="AA83" s="479"/>
      <c r="AB83" s="479"/>
      <c r="AC83" s="479"/>
      <c r="AD83" s="480"/>
      <c r="AF83" s="50"/>
    </row>
    <row r="84" spans="1:32" ht="36" thickBot="1">
      <c r="A84" s="472" t="s">
        <v>546</v>
      </c>
      <c r="B84" s="472"/>
      <c r="C84" s="472"/>
      <c r="D84" s="472"/>
      <c r="E84" s="472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73" t="s">
        <v>113</v>
      </c>
      <c r="B85" s="474"/>
      <c r="C85" s="464" t="s">
        <v>52</v>
      </c>
      <c r="D85" s="464"/>
      <c r="E85" s="464" t="s">
        <v>53</v>
      </c>
      <c r="F85" s="464"/>
      <c r="G85" s="464"/>
      <c r="H85" s="464"/>
      <c r="I85" s="464"/>
      <c r="J85" s="464"/>
      <c r="K85" s="464" t="s">
        <v>54</v>
      </c>
      <c r="L85" s="464"/>
      <c r="M85" s="464"/>
      <c r="N85" s="464"/>
      <c r="O85" s="464"/>
      <c r="P85" s="464"/>
      <c r="Q85" s="464"/>
      <c r="R85" s="464"/>
      <c r="S85" s="464"/>
      <c r="T85" s="464" t="s">
        <v>55</v>
      </c>
      <c r="U85" s="464"/>
      <c r="V85" s="464" t="s">
        <v>56</v>
      </c>
      <c r="W85" s="464"/>
      <c r="X85" s="464"/>
      <c r="Y85" s="464" t="s">
        <v>51</v>
      </c>
      <c r="Z85" s="464"/>
      <c r="AA85" s="464"/>
      <c r="AB85" s="464"/>
      <c r="AC85" s="464"/>
      <c r="AD85" s="465"/>
      <c r="AF85" s="50"/>
    </row>
    <row r="86" spans="1:32" ht="30.75" customHeight="1">
      <c r="A86" s="466">
        <v>1</v>
      </c>
      <c r="B86" s="467"/>
      <c r="C86" s="468"/>
      <c r="D86" s="468"/>
      <c r="E86" s="468"/>
      <c r="F86" s="468"/>
      <c r="G86" s="468"/>
      <c r="H86" s="468"/>
      <c r="I86" s="468"/>
      <c r="J86" s="468"/>
      <c r="K86" s="468"/>
      <c r="L86" s="468"/>
      <c r="M86" s="468"/>
      <c r="N86" s="468"/>
      <c r="O86" s="468"/>
      <c r="P86" s="468"/>
      <c r="Q86" s="468"/>
      <c r="R86" s="468"/>
      <c r="S86" s="468"/>
      <c r="T86" s="468"/>
      <c r="U86" s="468"/>
      <c r="V86" s="469"/>
      <c r="W86" s="469"/>
      <c r="X86" s="469"/>
      <c r="Y86" s="470"/>
      <c r="Z86" s="470"/>
      <c r="AA86" s="470"/>
      <c r="AB86" s="470"/>
      <c r="AC86" s="470"/>
      <c r="AD86" s="471"/>
      <c r="AF86" s="50"/>
    </row>
    <row r="87" spans="1:32" ht="30.75" customHeight="1">
      <c r="A87" s="459">
        <v>2</v>
      </c>
      <c r="B87" s="460"/>
      <c r="C87" s="461"/>
      <c r="D87" s="461"/>
      <c r="E87" s="461"/>
      <c r="F87" s="461"/>
      <c r="G87" s="461"/>
      <c r="H87" s="461"/>
      <c r="I87" s="461"/>
      <c r="J87" s="461"/>
      <c r="K87" s="461"/>
      <c r="L87" s="461"/>
      <c r="M87" s="461"/>
      <c r="N87" s="461"/>
      <c r="O87" s="461"/>
      <c r="P87" s="461"/>
      <c r="Q87" s="461"/>
      <c r="R87" s="461"/>
      <c r="S87" s="461"/>
      <c r="T87" s="462"/>
      <c r="U87" s="462"/>
      <c r="V87" s="463"/>
      <c r="W87" s="463"/>
      <c r="X87" s="463"/>
      <c r="Y87" s="452"/>
      <c r="Z87" s="452"/>
      <c r="AA87" s="452"/>
      <c r="AB87" s="452"/>
      <c r="AC87" s="452"/>
      <c r="AD87" s="453"/>
      <c r="AF87" s="50"/>
    </row>
    <row r="88" spans="1:32" ht="30.75" customHeight="1" thickBot="1">
      <c r="A88" s="454">
        <v>3</v>
      </c>
      <c r="B88" s="455"/>
      <c r="C88" s="456"/>
      <c r="D88" s="456"/>
      <c r="E88" s="456"/>
      <c r="F88" s="456"/>
      <c r="G88" s="456"/>
      <c r="H88" s="456"/>
      <c r="I88" s="456"/>
      <c r="J88" s="456"/>
      <c r="K88" s="456"/>
      <c r="L88" s="456"/>
      <c r="M88" s="456"/>
      <c r="N88" s="456"/>
      <c r="O88" s="456"/>
      <c r="P88" s="456"/>
      <c r="Q88" s="456"/>
      <c r="R88" s="456"/>
      <c r="S88" s="456"/>
      <c r="T88" s="456"/>
      <c r="U88" s="456"/>
      <c r="V88" s="456"/>
      <c r="W88" s="456"/>
      <c r="X88" s="456"/>
      <c r="Y88" s="457"/>
      <c r="Z88" s="457"/>
      <c r="AA88" s="457"/>
      <c r="AB88" s="457"/>
      <c r="AC88" s="457"/>
      <c r="AD88" s="458"/>
      <c r="AF88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8" max="29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4D74-D0BC-48CC-9AA1-0F212D0F4866}">
  <dimension ref="A1:AF86"/>
  <sheetViews>
    <sheetView zoomScale="72" zoomScaleNormal="72" zoomScaleSheetLayoutView="70" workbookViewId="0">
      <selection activeCell="F79" sqref="F79:J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547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374" t="s">
        <v>17</v>
      </c>
      <c r="L5" s="374" t="s">
        <v>18</v>
      </c>
      <c r="M5" s="374" t="s">
        <v>19</v>
      </c>
      <c r="N5" s="37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0.375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0.375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352</v>
      </c>
      <c r="E8" s="53" t="s">
        <v>486</v>
      </c>
      <c r="F8" s="30" t="s">
        <v>141</v>
      </c>
      <c r="G8" s="33">
        <v>2</v>
      </c>
      <c r="H8" s="35">
        <v>24</v>
      </c>
      <c r="I8" s="7">
        <v>50000</v>
      </c>
      <c r="J8" s="14">
        <v>10168</v>
      </c>
      <c r="K8" s="15">
        <f>L8+4928+9946+9956+9982</f>
        <v>44980</v>
      </c>
      <c r="L8" s="15">
        <f>2706*2+2378*2</f>
        <v>10168</v>
      </c>
      <c r="M8" s="15">
        <f t="shared" si="1"/>
        <v>10168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0.375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2156</v>
      </c>
      <c r="K9" s="15">
        <f>L9+1036+2500+4639+2951+2392+2902+2784+3566+4110+4299+4289+1910+4734+4854+3892+4611+3795+5160+1762+3528+5214+2558+4569+2950</f>
        <v>87161</v>
      </c>
      <c r="L9" s="15">
        <f>1488+668</f>
        <v>2156</v>
      </c>
      <c r="M9" s="15">
        <f t="shared" si="1"/>
        <v>2156</v>
      </c>
      <c r="N9" s="15">
        <v>0</v>
      </c>
      <c r="O9" s="58">
        <f t="shared" si="2"/>
        <v>0</v>
      </c>
      <c r="P9" s="39">
        <f t="shared" si="3"/>
        <v>10</v>
      </c>
      <c r="Q9" s="40">
        <f t="shared" si="4"/>
        <v>14</v>
      </c>
      <c r="R9" s="7"/>
      <c r="S9" s="6">
        <v>14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0.41666666666666669</v>
      </c>
      <c r="AD9" s="10">
        <f t="shared" si="7"/>
        <v>0.41666666666666669</v>
      </c>
      <c r="AE9" s="36">
        <f t="shared" si="8"/>
        <v>0.375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117</v>
      </c>
      <c r="E10" s="53" t="s">
        <v>542</v>
      </c>
      <c r="F10" s="30" t="s">
        <v>123</v>
      </c>
      <c r="G10" s="33">
        <v>1</v>
      </c>
      <c r="H10" s="35">
        <v>24</v>
      </c>
      <c r="I10" s="7">
        <v>12000</v>
      </c>
      <c r="J10" s="5">
        <v>5344</v>
      </c>
      <c r="K10" s="15">
        <f>L10</f>
        <v>5344</v>
      </c>
      <c r="L10" s="15">
        <f>2340+3004</f>
        <v>5344</v>
      </c>
      <c r="M10" s="15">
        <f t="shared" si="1"/>
        <v>5344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0.375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300</v>
      </c>
      <c r="F11" s="30" t="s">
        <v>126</v>
      </c>
      <c r="G11" s="33">
        <v>1</v>
      </c>
      <c r="H11" s="35">
        <v>24</v>
      </c>
      <c r="I11" s="7">
        <v>37000</v>
      </c>
      <c r="J11" s="5">
        <v>654</v>
      </c>
      <c r="K11" s="15">
        <f>L11+1500</f>
        <v>2154</v>
      </c>
      <c r="L11" s="15">
        <f>120+534</f>
        <v>654</v>
      </c>
      <c r="M11" s="15">
        <f t="shared" si="1"/>
        <v>654</v>
      </c>
      <c r="N11" s="15">
        <v>0</v>
      </c>
      <c r="O11" s="58">
        <f t="shared" si="2"/>
        <v>0</v>
      </c>
      <c r="P11" s="39">
        <f t="shared" si="3"/>
        <v>4</v>
      </c>
      <c r="Q11" s="40">
        <f t="shared" si="4"/>
        <v>20</v>
      </c>
      <c r="R11" s="7"/>
      <c r="S11" s="6">
        <v>20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0.16666666666666666</v>
      </c>
      <c r="AD11" s="10">
        <f>AC11*AB11*(1-O11)</f>
        <v>0.16666666666666666</v>
      </c>
      <c r="AE11" s="36">
        <f t="shared" si="8"/>
        <v>0.375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138</v>
      </c>
      <c r="D12" s="52" t="s">
        <v>125</v>
      </c>
      <c r="E12" s="53" t="s">
        <v>540</v>
      </c>
      <c r="F12" s="30" t="s">
        <v>417</v>
      </c>
      <c r="G12" s="33">
        <v>1</v>
      </c>
      <c r="H12" s="35">
        <v>24</v>
      </c>
      <c r="I12" s="7">
        <v>1100</v>
      </c>
      <c r="J12" s="14">
        <v>1125</v>
      </c>
      <c r="K12" s="15">
        <f>L12</f>
        <v>1125</v>
      </c>
      <c r="L12" s="15">
        <f>1125</f>
        <v>1125</v>
      </c>
      <c r="M12" s="15">
        <f t="shared" si="1"/>
        <v>1125</v>
      </c>
      <c r="N12" s="15">
        <v>0</v>
      </c>
      <c r="O12" s="58">
        <f t="shared" si="2"/>
        <v>0</v>
      </c>
      <c r="P12" s="39">
        <f t="shared" si="3"/>
        <v>7</v>
      </c>
      <c r="Q12" s="40">
        <f t="shared" si="4"/>
        <v>17</v>
      </c>
      <c r="R12" s="7"/>
      <c r="S12" s="6"/>
      <c r="T12" s="16"/>
      <c r="U12" s="16"/>
      <c r="V12" s="17"/>
      <c r="W12" s="5">
        <v>17</v>
      </c>
      <c r="X12" s="16"/>
      <c r="Y12" s="16"/>
      <c r="Z12" s="16"/>
      <c r="AA12" s="18"/>
      <c r="AB12" s="8">
        <f t="shared" si="5"/>
        <v>1</v>
      </c>
      <c r="AC12" s="9">
        <f t="shared" si="6"/>
        <v>0.29166666666666669</v>
      </c>
      <c r="AD12" s="10">
        <f t="shared" ref="AD12:AD13" si="10">AC12*AB12*(1-O12)</f>
        <v>0.29166666666666669</v>
      </c>
      <c r="AE12" s="36">
        <f t="shared" si="8"/>
        <v>0.375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138</v>
      </c>
      <c r="D13" s="52" t="s">
        <v>433</v>
      </c>
      <c r="E13" s="53" t="s">
        <v>541</v>
      </c>
      <c r="F13" s="30" t="s">
        <v>417</v>
      </c>
      <c r="G13" s="33" t="s">
        <v>136</v>
      </c>
      <c r="H13" s="35">
        <v>24</v>
      </c>
      <c r="I13" s="7">
        <v>2000</v>
      </c>
      <c r="J13" s="14">
        <v>2305</v>
      </c>
      <c r="K13" s="15">
        <f>L13</f>
        <v>2305</v>
      </c>
      <c r="L13" s="15">
        <f>2305</f>
        <v>2305</v>
      </c>
      <c r="M13" s="15">
        <f t="shared" si="1"/>
        <v>2305</v>
      </c>
      <c r="N13" s="15">
        <v>0</v>
      </c>
      <c r="O13" s="58">
        <f t="shared" si="2"/>
        <v>0</v>
      </c>
      <c r="P13" s="39">
        <f t="shared" si="3"/>
        <v>14</v>
      </c>
      <c r="Q13" s="40">
        <f t="shared" si="4"/>
        <v>10</v>
      </c>
      <c r="R13" s="7"/>
      <c r="S13" s="6"/>
      <c r="T13" s="16"/>
      <c r="U13" s="16"/>
      <c r="V13" s="17"/>
      <c r="W13" s="5">
        <v>10</v>
      </c>
      <c r="X13" s="16"/>
      <c r="Y13" s="16"/>
      <c r="Z13" s="16"/>
      <c r="AA13" s="18"/>
      <c r="AB13" s="8">
        <f t="shared" si="5"/>
        <v>1</v>
      </c>
      <c r="AC13" s="9">
        <f t="shared" si="6"/>
        <v>0.58333333333333337</v>
      </c>
      <c r="AD13" s="10">
        <f t="shared" si="10"/>
        <v>0.58333333333333337</v>
      </c>
      <c r="AE13" s="36">
        <f t="shared" si="8"/>
        <v>0.375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381</v>
      </c>
      <c r="D14" s="52"/>
      <c r="E14" s="53" t="s">
        <v>382</v>
      </c>
      <c r="F14" s="30" t="s">
        <v>383</v>
      </c>
      <c r="G14" s="33">
        <v>1</v>
      </c>
      <c r="H14" s="35">
        <v>24</v>
      </c>
      <c r="I14" s="7">
        <v>200</v>
      </c>
      <c r="J14" s="5">
        <v>318</v>
      </c>
      <c r="K14" s="15">
        <f>L14+318</f>
        <v>318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0.375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138</v>
      </c>
      <c r="D15" s="52"/>
      <c r="E15" s="53" t="s">
        <v>338</v>
      </c>
      <c r="F15" s="12" t="s">
        <v>339</v>
      </c>
      <c r="G15" s="12">
        <v>1</v>
      </c>
      <c r="H15" s="13">
        <v>24</v>
      </c>
      <c r="I15" s="31">
        <v>1100</v>
      </c>
      <c r="J15" s="14">
        <v>1500</v>
      </c>
      <c r="K15" s="15">
        <f>L15+1500</f>
        <v>1500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0.375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125</v>
      </c>
      <c r="E16" s="53" t="s">
        <v>149</v>
      </c>
      <c r="F16" s="30" t="s">
        <v>126</v>
      </c>
      <c r="G16" s="12">
        <v>1</v>
      </c>
      <c r="H16" s="13">
        <v>28</v>
      </c>
      <c r="I16" s="7">
        <v>50000</v>
      </c>
      <c r="J16" s="14">
        <v>1290</v>
      </c>
      <c r="K16" s="15">
        <f>L16+2312+5350+5082+5413</f>
        <v>19447</v>
      </c>
      <c r="L16" s="15">
        <v>1290</v>
      </c>
      <c r="M16" s="15">
        <f t="shared" si="1"/>
        <v>1290</v>
      </c>
      <c r="N16" s="15">
        <v>0</v>
      </c>
      <c r="O16" s="58">
        <f t="shared" si="2"/>
        <v>0</v>
      </c>
      <c r="P16" s="39">
        <f t="shared" si="3"/>
        <v>8</v>
      </c>
      <c r="Q16" s="40">
        <f t="shared" si="4"/>
        <v>16</v>
      </c>
      <c r="R16" s="7"/>
      <c r="S16" s="6">
        <v>16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0.33333333333333331</v>
      </c>
      <c r="AD16" s="10">
        <f t="shared" si="7"/>
        <v>0.33333333333333331</v>
      </c>
      <c r="AE16" s="36">
        <f t="shared" si="8"/>
        <v>0.375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449</v>
      </c>
      <c r="E17" s="53" t="s">
        <v>441</v>
      </c>
      <c r="F17" s="30" t="s">
        <v>249</v>
      </c>
      <c r="G17" s="33">
        <v>1</v>
      </c>
      <c r="H17" s="35">
        <v>24</v>
      </c>
      <c r="I17" s="7">
        <v>24000</v>
      </c>
      <c r="J17" s="5">
        <v>6001</v>
      </c>
      <c r="K17" s="15">
        <f>L17+5168+2206+4833+5412+6386+6001</f>
        <v>30006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0.375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122</v>
      </c>
      <c r="E18" s="53" t="s">
        <v>147</v>
      </c>
      <c r="F18" s="30" t="s">
        <v>123</v>
      </c>
      <c r="G18" s="33">
        <v>1</v>
      </c>
      <c r="H18" s="35">
        <v>24</v>
      </c>
      <c r="I18" s="7">
        <v>60000</v>
      </c>
      <c r="J18" s="5">
        <v>5263</v>
      </c>
      <c r="K18" s="15">
        <f>L18+1915+5043+1754+4429+1736+4741+3615+930+3442+701+570+603+2583</f>
        <v>37325</v>
      </c>
      <c r="L18" s="15">
        <f>2517+2746</f>
        <v>5263</v>
      </c>
      <c r="M18" s="15">
        <f t="shared" si="1"/>
        <v>5263</v>
      </c>
      <c r="N18" s="15">
        <v>0</v>
      </c>
      <c r="O18" s="58">
        <f t="shared" si="2"/>
        <v>0</v>
      </c>
      <c r="P18" s="39">
        <f t="shared" si="3"/>
        <v>23</v>
      </c>
      <c r="Q18" s="40">
        <f t="shared" si="4"/>
        <v>1</v>
      </c>
      <c r="R18" s="7"/>
      <c r="S18" s="6">
        <v>1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0.95833333333333337</v>
      </c>
      <c r="AD18" s="10">
        <f>AC18*AB18*(1-O18)</f>
        <v>0.95833333333333337</v>
      </c>
      <c r="AE18" s="36">
        <f t="shared" si="8"/>
        <v>0.375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393</v>
      </c>
      <c r="F19" s="30" t="s">
        <v>121</v>
      </c>
      <c r="G19" s="33">
        <v>1</v>
      </c>
      <c r="H19" s="35">
        <v>24</v>
      </c>
      <c r="I19" s="7">
        <v>46000</v>
      </c>
      <c r="J19" s="14">
        <v>4165</v>
      </c>
      <c r="K19" s="15">
        <f>L19+470</f>
        <v>4635</v>
      </c>
      <c r="L19" s="15">
        <f>1541+2624</f>
        <v>4165</v>
      </c>
      <c r="M19" s="15">
        <f t="shared" si="1"/>
        <v>4165</v>
      </c>
      <c r="N19" s="15">
        <v>0</v>
      </c>
      <c r="O19" s="58">
        <f t="shared" si="2"/>
        <v>0</v>
      </c>
      <c r="P19" s="39">
        <f t="shared" si="3"/>
        <v>21</v>
      </c>
      <c r="Q19" s="40">
        <f t="shared" si="4"/>
        <v>3</v>
      </c>
      <c r="R19" s="7"/>
      <c r="S19" s="6">
        <v>3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0.875</v>
      </c>
      <c r="AD19" s="10">
        <f t="shared" si="7"/>
        <v>0.875</v>
      </c>
      <c r="AE19" s="36">
        <f t="shared" si="8"/>
        <v>0.375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268</v>
      </c>
      <c r="F20" s="12" t="s">
        <v>116</v>
      </c>
      <c r="G20" s="12">
        <v>4</v>
      </c>
      <c r="H20" s="35">
        <v>20</v>
      </c>
      <c r="I20" s="7">
        <v>200000</v>
      </c>
      <c r="J20" s="14">
        <v>30378</v>
      </c>
      <c r="K20" s="15">
        <f>L20+30099+30702+30357+30378</f>
        <v>121536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0.375</v>
      </c>
      <c r="AF20" s="87">
        <f t="shared" si="9"/>
        <v>15</v>
      </c>
    </row>
    <row r="21" spans="1:32" ht="31.5" customHeight="1" thickBot="1">
      <c r="A21" s="541" t="s">
        <v>34</v>
      </c>
      <c r="B21" s="542"/>
      <c r="C21" s="542"/>
      <c r="D21" s="542"/>
      <c r="E21" s="542"/>
      <c r="F21" s="542"/>
      <c r="G21" s="542"/>
      <c r="H21" s="543"/>
      <c r="I21" s="22">
        <f t="shared" ref="I21:N21" si="11">SUM(I6:I20)</f>
        <v>574400</v>
      </c>
      <c r="J21" s="19">
        <f t="shared" si="11"/>
        <v>72728</v>
      </c>
      <c r="K21" s="20">
        <f t="shared" si="11"/>
        <v>369384</v>
      </c>
      <c r="L21" s="21">
        <f t="shared" si="11"/>
        <v>32470</v>
      </c>
      <c r="M21" s="20">
        <f t="shared" si="11"/>
        <v>32470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135</v>
      </c>
      <c r="Q21" s="43">
        <f t="shared" si="12"/>
        <v>225</v>
      </c>
      <c r="R21" s="23">
        <f t="shared" si="12"/>
        <v>24</v>
      </c>
      <c r="S21" s="24">
        <f t="shared" si="12"/>
        <v>54</v>
      </c>
      <c r="T21" s="24">
        <f t="shared" si="12"/>
        <v>0</v>
      </c>
      <c r="U21" s="24">
        <f t="shared" si="12"/>
        <v>0</v>
      </c>
      <c r="V21" s="25">
        <f t="shared" si="12"/>
        <v>48</v>
      </c>
      <c r="W21" s="26">
        <f t="shared" si="12"/>
        <v>99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0.6</v>
      </c>
      <c r="AC21" s="4">
        <f>SUM(AC6:AC20)/15</f>
        <v>0.375</v>
      </c>
      <c r="AD21" s="4">
        <f>SUM(AD6:AD20)/15</f>
        <v>0.375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44" t="s">
        <v>45</v>
      </c>
      <c r="B48" s="544"/>
      <c r="C48" s="544"/>
      <c r="D48" s="544"/>
      <c r="E48" s="54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45" t="s">
        <v>548</v>
      </c>
      <c r="B49" s="546"/>
      <c r="C49" s="546"/>
      <c r="D49" s="546"/>
      <c r="E49" s="546"/>
      <c r="F49" s="546"/>
      <c r="G49" s="546"/>
      <c r="H49" s="546"/>
      <c r="I49" s="546"/>
      <c r="J49" s="546"/>
      <c r="K49" s="546"/>
      <c r="L49" s="546"/>
      <c r="M49" s="547"/>
      <c r="N49" s="548" t="s">
        <v>551</v>
      </c>
      <c r="O49" s="549"/>
      <c r="P49" s="549"/>
      <c r="Q49" s="549"/>
      <c r="R49" s="549"/>
      <c r="S49" s="549"/>
      <c r="T49" s="549"/>
      <c r="U49" s="549"/>
      <c r="V49" s="549"/>
      <c r="W49" s="549"/>
      <c r="X49" s="549"/>
      <c r="Y49" s="549"/>
      <c r="Z49" s="549"/>
      <c r="AA49" s="549"/>
      <c r="AB49" s="549"/>
      <c r="AC49" s="549"/>
      <c r="AD49" s="550"/>
    </row>
    <row r="50" spans="1:32" ht="27" customHeight="1">
      <c r="A50" s="551" t="s">
        <v>2</v>
      </c>
      <c r="B50" s="552"/>
      <c r="C50" s="375" t="s">
        <v>46</v>
      </c>
      <c r="D50" s="375" t="s">
        <v>47</v>
      </c>
      <c r="E50" s="375" t="s">
        <v>108</v>
      </c>
      <c r="F50" s="552" t="s">
        <v>107</v>
      </c>
      <c r="G50" s="552"/>
      <c r="H50" s="552"/>
      <c r="I50" s="552"/>
      <c r="J50" s="552"/>
      <c r="K50" s="552"/>
      <c r="L50" s="552"/>
      <c r="M50" s="553"/>
      <c r="N50" s="67" t="s">
        <v>112</v>
      </c>
      <c r="O50" s="375" t="s">
        <v>46</v>
      </c>
      <c r="P50" s="554" t="s">
        <v>47</v>
      </c>
      <c r="Q50" s="555"/>
      <c r="R50" s="554" t="s">
        <v>38</v>
      </c>
      <c r="S50" s="556"/>
      <c r="T50" s="556"/>
      <c r="U50" s="555"/>
      <c r="V50" s="554" t="s">
        <v>48</v>
      </c>
      <c r="W50" s="556"/>
      <c r="X50" s="556"/>
      <c r="Y50" s="556"/>
      <c r="Z50" s="556"/>
      <c r="AA50" s="556"/>
      <c r="AB50" s="556"/>
      <c r="AC50" s="556"/>
      <c r="AD50" s="557"/>
    </row>
    <row r="51" spans="1:32" ht="27" customHeight="1">
      <c r="A51" s="524" t="s">
        <v>114</v>
      </c>
      <c r="B51" s="525"/>
      <c r="C51" s="377" t="s">
        <v>131</v>
      </c>
      <c r="D51" s="377" t="s">
        <v>142</v>
      </c>
      <c r="E51" s="377" t="s">
        <v>145</v>
      </c>
      <c r="F51" s="517" t="s">
        <v>251</v>
      </c>
      <c r="G51" s="518"/>
      <c r="H51" s="518"/>
      <c r="I51" s="518"/>
      <c r="J51" s="518"/>
      <c r="K51" s="518"/>
      <c r="L51" s="518"/>
      <c r="M51" s="526"/>
      <c r="N51" s="376" t="s">
        <v>124</v>
      </c>
      <c r="O51" s="381" t="s">
        <v>132</v>
      </c>
      <c r="P51" s="536" t="s">
        <v>183</v>
      </c>
      <c r="Q51" s="537"/>
      <c r="R51" s="536" t="s">
        <v>300</v>
      </c>
      <c r="S51" s="538"/>
      <c r="T51" s="538"/>
      <c r="U51" s="537"/>
      <c r="V51" s="503" t="s">
        <v>157</v>
      </c>
      <c r="W51" s="503"/>
      <c r="X51" s="503"/>
      <c r="Y51" s="503"/>
      <c r="Z51" s="503"/>
      <c r="AA51" s="503"/>
      <c r="AB51" s="503"/>
      <c r="AC51" s="503"/>
      <c r="AD51" s="527"/>
    </row>
    <row r="52" spans="1:32" ht="27" customHeight="1">
      <c r="A52" s="524" t="s">
        <v>114</v>
      </c>
      <c r="B52" s="525"/>
      <c r="C52" s="377" t="s">
        <v>155</v>
      </c>
      <c r="D52" s="377" t="s">
        <v>117</v>
      </c>
      <c r="E52" s="377" t="s">
        <v>542</v>
      </c>
      <c r="F52" s="517" t="s">
        <v>120</v>
      </c>
      <c r="G52" s="518"/>
      <c r="H52" s="518"/>
      <c r="I52" s="518"/>
      <c r="J52" s="518"/>
      <c r="K52" s="518"/>
      <c r="L52" s="518"/>
      <c r="M52" s="526"/>
      <c r="N52" s="376" t="s">
        <v>114</v>
      </c>
      <c r="O52" s="381" t="s">
        <v>131</v>
      </c>
      <c r="P52" s="536" t="s">
        <v>142</v>
      </c>
      <c r="Q52" s="537"/>
      <c r="R52" s="525" t="s">
        <v>145</v>
      </c>
      <c r="S52" s="525"/>
      <c r="T52" s="525"/>
      <c r="U52" s="525"/>
      <c r="V52" s="503" t="s">
        <v>157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114</v>
      </c>
      <c r="B53" s="525"/>
      <c r="C53" s="377" t="s">
        <v>234</v>
      </c>
      <c r="D53" s="377" t="s">
        <v>122</v>
      </c>
      <c r="E53" s="377" t="s">
        <v>147</v>
      </c>
      <c r="F53" s="517" t="s">
        <v>199</v>
      </c>
      <c r="G53" s="518"/>
      <c r="H53" s="518"/>
      <c r="I53" s="518"/>
      <c r="J53" s="518"/>
      <c r="K53" s="518"/>
      <c r="L53" s="518"/>
      <c r="M53" s="526"/>
      <c r="N53" s="376" t="s">
        <v>114</v>
      </c>
      <c r="O53" s="381" t="s">
        <v>234</v>
      </c>
      <c r="P53" s="536" t="s">
        <v>122</v>
      </c>
      <c r="Q53" s="537"/>
      <c r="R53" s="536" t="s">
        <v>147</v>
      </c>
      <c r="S53" s="538"/>
      <c r="T53" s="538"/>
      <c r="U53" s="537"/>
      <c r="V53" s="503" t="s">
        <v>120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124</v>
      </c>
      <c r="B54" s="525"/>
      <c r="C54" s="377" t="s">
        <v>132</v>
      </c>
      <c r="D54" s="377" t="s">
        <v>183</v>
      </c>
      <c r="E54" s="377" t="s">
        <v>300</v>
      </c>
      <c r="F54" s="517" t="s">
        <v>301</v>
      </c>
      <c r="G54" s="518"/>
      <c r="H54" s="518"/>
      <c r="I54" s="518"/>
      <c r="J54" s="518"/>
      <c r="K54" s="518"/>
      <c r="L54" s="518"/>
      <c r="M54" s="526"/>
      <c r="N54" s="376" t="s">
        <v>114</v>
      </c>
      <c r="O54" s="381" t="s">
        <v>295</v>
      </c>
      <c r="P54" s="536" t="s">
        <v>125</v>
      </c>
      <c r="Q54" s="537"/>
      <c r="R54" s="536" t="s">
        <v>149</v>
      </c>
      <c r="S54" s="538"/>
      <c r="T54" s="538"/>
      <c r="U54" s="537"/>
      <c r="V54" s="503" t="s">
        <v>157</v>
      </c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114</v>
      </c>
      <c r="B55" s="525"/>
      <c r="C55" s="377" t="s">
        <v>295</v>
      </c>
      <c r="D55" s="377" t="s">
        <v>125</v>
      </c>
      <c r="E55" s="377" t="s">
        <v>149</v>
      </c>
      <c r="F55" s="517" t="s">
        <v>549</v>
      </c>
      <c r="G55" s="518"/>
      <c r="H55" s="518"/>
      <c r="I55" s="518"/>
      <c r="J55" s="518"/>
      <c r="K55" s="518"/>
      <c r="L55" s="518"/>
      <c r="M55" s="526"/>
      <c r="N55" s="376"/>
      <c r="O55" s="381"/>
      <c r="P55" s="536"/>
      <c r="Q55" s="537"/>
      <c r="R55" s="536"/>
      <c r="S55" s="538"/>
      <c r="T55" s="538"/>
      <c r="U55" s="537"/>
      <c r="V55" s="503"/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 t="s">
        <v>138</v>
      </c>
      <c r="B56" s="525"/>
      <c r="C56" s="377" t="s">
        <v>150</v>
      </c>
      <c r="D56" s="377"/>
      <c r="E56" s="377" t="s">
        <v>540</v>
      </c>
      <c r="F56" s="517" t="s">
        <v>120</v>
      </c>
      <c r="G56" s="518"/>
      <c r="H56" s="518"/>
      <c r="I56" s="518"/>
      <c r="J56" s="518"/>
      <c r="K56" s="518"/>
      <c r="L56" s="518"/>
      <c r="M56" s="526"/>
      <c r="N56" s="376"/>
      <c r="O56" s="381"/>
      <c r="P56" s="536"/>
      <c r="Q56" s="537"/>
      <c r="R56" s="525"/>
      <c r="S56" s="525"/>
      <c r="T56" s="525"/>
      <c r="U56" s="525"/>
      <c r="V56" s="503"/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 t="s">
        <v>124</v>
      </c>
      <c r="B57" s="525"/>
      <c r="C57" s="377" t="s">
        <v>171</v>
      </c>
      <c r="D57" s="377" t="s">
        <v>117</v>
      </c>
      <c r="E57" s="377" t="s">
        <v>393</v>
      </c>
      <c r="F57" s="517" t="s">
        <v>550</v>
      </c>
      <c r="G57" s="518"/>
      <c r="H57" s="518"/>
      <c r="I57" s="518"/>
      <c r="J57" s="518"/>
      <c r="K57" s="518"/>
      <c r="L57" s="518"/>
      <c r="M57" s="526"/>
      <c r="N57" s="376"/>
      <c r="O57" s="381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 t="s">
        <v>138</v>
      </c>
      <c r="B58" s="525"/>
      <c r="C58" s="377" t="s">
        <v>179</v>
      </c>
      <c r="D58" s="377"/>
      <c r="E58" s="377" t="s">
        <v>541</v>
      </c>
      <c r="F58" s="517" t="s">
        <v>120</v>
      </c>
      <c r="G58" s="518"/>
      <c r="H58" s="518"/>
      <c r="I58" s="518"/>
      <c r="J58" s="518"/>
      <c r="K58" s="518"/>
      <c r="L58" s="518"/>
      <c r="M58" s="526"/>
      <c r="N58" s="376"/>
      <c r="O58" s="381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/>
      <c r="B59" s="525"/>
      <c r="C59" s="377"/>
      <c r="D59" s="377"/>
      <c r="E59" s="377"/>
      <c r="F59" s="517"/>
      <c r="G59" s="518"/>
      <c r="H59" s="518"/>
      <c r="I59" s="518"/>
      <c r="J59" s="518"/>
      <c r="K59" s="518"/>
      <c r="L59" s="518"/>
      <c r="M59" s="526"/>
      <c r="N59" s="376"/>
      <c r="O59" s="381"/>
      <c r="P59" s="525"/>
      <c r="Q59" s="525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  <c r="AF59" s="87">
        <f>8*3000</f>
        <v>24000</v>
      </c>
    </row>
    <row r="60" spans="1:32" ht="27" customHeight="1" thickBot="1">
      <c r="A60" s="528"/>
      <c r="B60" s="529"/>
      <c r="C60" s="378"/>
      <c r="D60" s="378"/>
      <c r="E60" s="378"/>
      <c r="F60" s="530"/>
      <c r="G60" s="531"/>
      <c r="H60" s="531"/>
      <c r="I60" s="531"/>
      <c r="J60" s="531"/>
      <c r="K60" s="531"/>
      <c r="L60" s="531"/>
      <c r="M60" s="532"/>
      <c r="N60" s="124"/>
      <c r="O60" s="114"/>
      <c r="P60" s="533"/>
      <c r="Q60" s="533"/>
      <c r="R60" s="533"/>
      <c r="S60" s="533"/>
      <c r="T60" s="533"/>
      <c r="U60" s="533"/>
      <c r="V60" s="534"/>
      <c r="W60" s="534"/>
      <c r="X60" s="534"/>
      <c r="Y60" s="534"/>
      <c r="Z60" s="534"/>
      <c r="AA60" s="534"/>
      <c r="AB60" s="534"/>
      <c r="AC60" s="534"/>
      <c r="AD60" s="535"/>
      <c r="AF60" s="87">
        <f>16*3000</f>
        <v>48000</v>
      </c>
    </row>
    <row r="61" spans="1:32" ht="27.75" thickBot="1">
      <c r="A61" s="522" t="s">
        <v>552</v>
      </c>
      <c r="B61" s="522"/>
      <c r="C61" s="522"/>
      <c r="D61" s="522"/>
      <c r="E61" s="522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523" t="s">
        <v>113</v>
      </c>
      <c r="B62" s="515"/>
      <c r="C62" s="379" t="s">
        <v>2</v>
      </c>
      <c r="D62" s="379" t="s">
        <v>37</v>
      </c>
      <c r="E62" s="379" t="s">
        <v>3</v>
      </c>
      <c r="F62" s="515" t="s">
        <v>110</v>
      </c>
      <c r="G62" s="515"/>
      <c r="H62" s="515"/>
      <c r="I62" s="515"/>
      <c r="J62" s="515"/>
      <c r="K62" s="515" t="s">
        <v>39</v>
      </c>
      <c r="L62" s="515"/>
      <c r="M62" s="379" t="s">
        <v>40</v>
      </c>
      <c r="N62" s="515" t="s">
        <v>41</v>
      </c>
      <c r="O62" s="515"/>
      <c r="P62" s="512" t="s">
        <v>42</v>
      </c>
      <c r="Q62" s="514"/>
      <c r="R62" s="512" t="s">
        <v>43</v>
      </c>
      <c r="S62" s="513"/>
      <c r="T62" s="513"/>
      <c r="U62" s="513"/>
      <c r="V62" s="513"/>
      <c r="W62" s="513"/>
      <c r="X62" s="513"/>
      <c r="Y62" s="513"/>
      <c r="Z62" s="513"/>
      <c r="AA62" s="514"/>
      <c r="AB62" s="515" t="s">
        <v>44</v>
      </c>
      <c r="AC62" s="515"/>
      <c r="AD62" s="516"/>
      <c r="AF62" s="87">
        <f>SUM(AF59:AF61)</f>
        <v>96000</v>
      </c>
    </row>
    <row r="63" spans="1:32" ht="25.5" customHeight="1">
      <c r="A63" s="498">
        <v>1</v>
      </c>
      <c r="B63" s="499"/>
      <c r="C63" s="117" t="s">
        <v>128</v>
      </c>
      <c r="D63" s="383"/>
      <c r="E63" s="380" t="s">
        <v>117</v>
      </c>
      <c r="F63" s="500" t="s">
        <v>189</v>
      </c>
      <c r="G63" s="492"/>
      <c r="H63" s="492"/>
      <c r="I63" s="492"/>
      <c r="J63" s="492"/>
      <c r="K63" s="492" t="s">
        <v>553</v>
      </c>
      <c r="L63" s="492"/>
      <c r="M63" s="51" t="s">
        <v>162</v>
      </c>
      <c r="N63" s="501" t="s">
        <v>179</v>
      </c>
      <c r="O63" s="501"/>
      <c r="P63" s="502">
        <v>200</v>
      </c>
      <c r="Q63" s="502"/>
      <c r="R63" s="503" t="s">
        <v>554</v>
      </c>
      <c r="S63" s="503"/>
      <c r="T63" s="503"/>
      <c r="U63" s="503"/>
      <c r="V63" s="503"/>
      <c r="W63" s="503"/>
      <c r="X63" s="503"/>
      <c r="Y63" s="503"/>
      <c r="Z63" s="503"/>
      <c r="AA63" s="503"/>
      <c r="AB63" s="507"/>
      <c r="AC63" s="520"/>
      <c r="AD63" s="521"/>
      <c r="AF63" s="50"/>
    </row>
    <row r="64" spans="1:32" ht="25.5" customHeight="1">
      <c r="A64" s="498">
        <v>2</v>
      </c>
      <c r="B64" s="499"/>
      <c r="C64" s="117"/>
      <c r="D64" s="383"/>
      <c r="E64" s="380"/>
      <c r="F64" s="504"/>
      <c r="G64" s="505"/>
      <c r="H64" s="505"/>
      <c r="I64" s="505"/>
      <c r="J64" s="506"/>
      <c r="K64" s="507"/>
      <c r="L64" s="499"/>
      <c r="M64" s="51"/>
      <c r="N64" s="501"/>
      <c r="O64" s="501"/>
      <c r="P64" s="502"/>
      <c r="Q64" s="502"/>
      <c r="R64" s="503"/>
      <c r="S64" s="503"/>
      <c r="T64" s="503"/>
      <c r="U64" s="503"/>
      <c r="V64" s="503"/>
      <c r="W64" s="503"/>
      <c r="X64" s="503"/>
      <c r="Y64" s="503"/>
      <c r="Z64" s="503"/>
      <c r="AA64" s="503"/>
      <c r="AB64" s="492"/>
      <c r="AC64" s="492"/>
      <c r="AD64" s="493"/>
      <c r="AF64" s="50"/>
    </row>
    <row r="65" spans="1:32" ht="25.5" customHeight="1">
      <c r="A65" s="498">
        <v>3</v>
      </c>
      <c r="B65" s="499"/>
      <c r="C65" s="117"/>
      <c r="D65" s="383"/>
      <c r="E65" s="380"/>
      <c r="F65" s="504"/>
      <c r="G65" s="505"/>
      <c r="H65" s="505"/>
      <c r="I65" s="505"/>
      <c r="J65" s="506"/>
      <c r="K65" s="507"/>
      <c r="L65" s="499"/>
      <c r="M65" s="51"/>
      <c r="N65" s="501"/>
      <c r="O65" s="501"/>
      <c r="P65" s="502"/>
      <c r="Q65" s="502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4</v>
      </c>
      <c r="B66" s="499"/>
      <c r="C66" s="117"/>
      <c r="D66" s="383"/>
      <c r="E66" s="380"/>
      <c r="F66" s="504"/>
      <c r="G66" s="505"/>
      <c r="H66" s="505"/>
      <c r="I66" s="505"/>
      <c r="J66" s="506"/>
      <c r="K66" s="507"/>
      <c r="L66" s="499"/>
      <c r="M66" s="51"/>
      <c r="N66" s="501"/>
      <c r="O66" s="501"/>
      <c r="P66" s="502"/>
      <c r="Q66" s="502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5</v>
      </c>
      <c r="B67" s="499"/>
      <c r="C67" s="117"/>
      <c r="D67" s="383"/>
      <c r="E67" s="380"/>
      <c r="F67" s="504"/>
      <c r="G67" s="505"/>
      <c r="H67" s="505"/>
      <c r="I67" s="505"/>
      <c r="J67" s="506"/>
      <c r="K67" s="507"/>
      <c r="L67" s="499"/>
      <c r="M67" s="51"/>
      <c r="N67" s="508"/>
      <c r="O67" s="509"/>
      <c r="P67" s="510"/>
      <c r="Q67" s="511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6</v>
      </c>
      <c r="B68" s="499"/>
      <c r="C68" s="117"/>
      <c r="D68" s="383"/>
      <c r="E68" s="380"/>
      <c r="F68" s="500"/>
      <c r="G68" s="492"/>
      <c r="H68" s="492"/>
      <c r="I68" s="492"/>
      <c r="J68" s="492"/>
      <c r="K68" s="492"/>
      <c r="L68" s="492"/>
      <c r="M68" s="51"/>
      <c r="N68" s="508"/>
      <c r="O68" s="509"/>
      <c r="P68" s="510"/>
      <c r="Q68" s="511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7</v>
      </c>
      <c r="B69" s="499"/>
      <c r="C69" s="117"/>
      <c r="D69" s="383"/>
      <c r="E69" s="380"/>
      <c r="F69" s="500"/>
      <c r="G69" s="492"/>
      <c r="H69" s="492"/>
      <c r="I69" s="492"/>
      <c r="J69" s="492"/>
      <c r="K69" s="492"/>
      <c r="L69" s="492"/>
      <c r="M69" s="51"/>
      <c r="N69" s="508"/>
      <c r="O69" s="509"/>
      <c r="P69" s="510"/>
      <c r="Q69" s="511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8</v>
      </c>
      <c r="B70" s="499"/>
      <c r="C70" s="117"/>
      <c r="D70" s="383"/>
      <c r="E70" s="380"/>
      <c r="F70" s="500"/>
      <c r="G70" s="492"/>
      <c r="H70" s="492"/>
      <c r="I70" s="492"/>
      <c r="J70" s="492"/>
      <c r="K70" s="492"/>
      <c r="L70" s="492"/>
      <c r="M70" s="51"/>
      <c r="N70" s="508"/>
      <c r="O70" s="509"/>
      <c r="P70" s="510"/>
      <c r="Q70" s="511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6.25" customHeight="1" thickBot="1">
      <c r="A71" s="472" t="s">
        <v>555</v>
      </c>
      <c r="B71" s="472"/>
      <c r="C71" s="472"/>
      <c r="D71" s="472"/>
      <c r="E71" s="47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73" t="s">
        <v>113</v>
      </c>
      <c r="B72" s="474"/>
      <c r="C72" s="382" t="s">
        <v>2</v>
      </c>
      <c r="D72" s="382" t="s">
        <v>37</v>
      </c>
      <c r="E72" s="382" t="s">
        <v>3</v>
      </c>
      <c r="F72" s="474" t="s">
        <v>38</v>
      </c>
      <c r="G72" s="474"/>
      <c r="H72" s="474"/>
      <c r="I72" s="474"/>
      <c r="J72" s="474"/>
      <c r="K72" s="494" t="s">
        <v>58</v>
      </c>
      <c r="L72" s="495"/>
      <c r="M72" s="495"/>
      <c r="N72" s="495"/>
      <c r="O72" s="495"/>
      <c r="P72" s="495"/>
      <c r="Q72" s="495"/>
      <c r="R72" s="495"/>
      <c r="S72" s="496"/>
      <c r="T72" s="474" t="s">
        <v>49</v>
      </c>
      <c r="U72" s="474"/>
      <c r="V72" s="494" t="s">
        <v>50</v>
      </c>
      <c r="W72" s="496"/>
      <c r="X72" s="495" t="s">
        <v>51</v>
      </c>
      <c r="Y72" s="495"/>
      <c r="Z72" s="495"/>
      <c r="AA72" s="495"/>
      <c r="AB72" s="495"/>
      <c r="AC72" s="495"/>
      <c r="AD72" s="497"/>
      <c r="AF72" s="50"/>
    </row>
    <row r="73" spans="1:32" ht="33.75" customHeight="1">
      <c r="A73" s="466">
        <v>1</v>
      </c>
      <c r="B73" s="467"/>
      <c r="C73" s="384" t="s">
        <v>114</v>
      </c>
      <c r="D73" s="384"/>
      <c r="E73" s="65" t="s">
        <v>119</v>
      </c>
      <c r="F73" s="481" t="s">
        <v>118</v>
      </c>
      <c r="G73" s="482"/>
      <c r="H73" s="482"/>
      <c r="I73" s="482"/>
      <c r="J73" s="483"/>
      <c r="K73" s="484" t="s">
        <v>130</v>
      </c>
      <c r="L73" s="485"/>
      <c r="M73" s="485"/>
      <c r="N73" s="485"/>
      <c r="O73" s="485"/>
      <c r="P73" s="485"/>
      <c r="Q73" s="485"/>
      <c r="R73" s="485"/>
      <c r="S73" s="486"/>
      <c r="T73" s="487">
        <v>43675</v>
      </c>
      <c r="U73" s="488"/>
      <c r="V73" s="489"/>
      <c r="W73" s="489"/>
      <c r="X73" s="490"/>
      <c r="Y73" s="490"/>
      <c r="Z73" s="490"/>
      <c r="AA73" s="490"/>
      <c r="AB73" s="490"/>
      <c r="AC73" s="490"/>
      <c r="AD73" s="491"/>
      <c r="AF73" s="50"/>
    </row>
    <row r="74" spans="1:32" ht="30" customHeight="1">
      <c r="A74" s="459">
        <f>A73+1</f>
        <v>2</v>
      </c>
      <c r="B74" s="460"/>
      <c r="C74" s="383"/>
      <c r="D74" s="383"/>
      <c r="E74" s="32"/>
      <c r="F74" s="460"/>
      <c r="G74" s="460"/>
      <c r="H74" s="460"/>
      <c r="I74" s="460"/>
      <c r="J74" s="460"/>
      <c r="K74" s="475"/>
      <c r="L74" s="476"/>
      <c r="M74" s="476"/>
      <c r="N74" s="476"/>
      <c r="O74" s="476"/>
      <c r="P74" s="476"/>
      <c r="Q74" s="476"/>
      <c r="R74" s="476"/>
      <c r="S74" s="477"/>
      <c r="T74" s="478"/>
      <c r="U74" s="478"/>
      <c r="V74" s="478"/>
      <c r="W74" s="478"/>
      <c r="X74" s="479"/>
      <c r="Y74" s="479"/>
      <c r="Z74" s="479"/>
      <c r="AA74" s="479"/>
      <c r="AB74" s="479"/>
      <c r="AC74" s="479"/>
      <c r="AD74" s="480"/>
      <c r="AF74" s="50"/>
    </row>
    <row r="75" spans="1:32" ht="30" customHeight="1">
      <c r="A75" s="459">
        <f t="shared" ref="A75:A81" si="13">A74+1</f>
        <v>3</v>
      </c>
      <c r="B75" s="460"/>
      <c r="C75" s="383"/>
      <c r="D75" s="383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si="13"/>
        <v>4</v>
      </c>
      <c r="B76" s="460"/>
      <c r="C76" s="383"/>
      <c r="D76" s="383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13"/>
        <v>5</v>
      </c>
      <c r="B77" s="460"/>
      <c r="C77" s="383"/>
      <c r="D77" s="383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13"/>
        <v>6</v>
      </c>
      <c r="B78" s="460"/>
      <c r="C78" s="383"/>
      <c r="D78" s="383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13"/>
        <v>7</v>
      </c>
      <c r="B79" s="460"/>
      <c r="C79" s="383"/>
      <c r="D79" s="383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13"/>
        <v>8</v>
      </c>
      <c r="B80" s="460"/>
      <c r="C80" s="383"/>
      <c r="D80" s="383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13"/>
        <v>9</v>
      </c>
      <c r="B81" s="460"/>
      <c r="C81" s="383"/>
      <c r="D81" s="383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6" thickBot="1">
      <c r="A82" s="472" t="s">
        <v>556</v>
      </c>
      <c r="B82" s="472"/>
      <c r="C82" s="472"/>
      <c r="D82" s="472"/>
      <c r="E82" s="47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73" t="s">
        <v>113</v>
      </c>
      <c r="B83" s="474"/>
      <c r="C83" s="464" t="s">
        <v>52</v>
      </c>
      <c r="D83" s="464"/>
      <c r="E83" s="464" t="s">
        <v>53</v>
      </c>
      <c r="F83" s="464"/>
      <c r="G83" s="464"/>
      <c r="H83" s="464"/>
      <c r="I83" s="464"/>
      <c r="J83" s="464"/>
      <c r="K83" s="464" t="s">
        <v>54</v>
      </c>
      <c r="L83" s="464"/>
      <c r="M83" s="464"/>
      <c r="N83" s="464"/>
      <c r="O83" s="464"/>
      <c r="P83" s="464"/>
      <c r="Q83" s="464"/>
      <c r="R83" s="464"/>
      <c r="S83" s="464"/>
      <c r="T83" s="464" t="s">
        <v>55</v>
      </c>
      <c r="U83" s="464"/>
      <c r="V83" s="464" t="s">
        <v>56</v>
      </c>
      <c r="W83" s="464"/>
      <c r="X83" s="464"/>
      <c r="Y83" s="464" t="s">
        <v>51</v>
      </c>
      <c r="Z83" s="464"/>
      <c r="AA83" s="464"/>
      <c r="AB83" s="464"/>
      <c r="AC83" s="464"/>
      <c r="AD83" s="465"/>
      <c r="AF83" s="50"/>
    </row>
    <row r="84" spans="1:32" ht="30.75" customHeight="1">
      <c r="A84" s="466">
        <v>1</v>
      </c>
      <c r="B84" s="467"/>
      <c r="C84" s="468"/>
      <c r="D84" s="468"/>
      <c r="E84" s="468"/>
      <c r="F84" s="468"/>
      <c r="G84" s="468"/>
      <c r="H84" s="468"/>
      <c r="I84" s="468"/>
      <c r="J84" s="468"/>
      <c r="K84" s="468"/>
      <c r="L84" s="468"/>
      <c r="M84" s="468"/>
      <c r="N84" s="468"/>
      <c r="O84" s="468"/>
      <c r="P84" s="468"/>
      <c r="Q84" s="468"/>
      <c r="R84" s="468"/>
      <c r="S84" s="468"/>
      <c r="T84" s="468"/>
      <c r="U84" s="468"/>
      <c r="V84" s="469"/>
      <c r="W84" s="469"/>
      <c r="X84" s="469"/>
      <c r="Y84" s="470"/>
      <c r="Z84" s="470"/>
      <c r="AA84" s="470"/>
      <c r="AB84" s="470"/>
      <c r="AC84" s="470"/>
      <c r="AD84" s="471"/>
      <c r="AF84" s="50"/>
    </row>
    <row r="85" spans="1:32" ht="30.75" customHeight="1">
      <c r="A85" s="459">
        <v>2</v>
      </c>
      <c r="B85" s="460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2"/>
      <c r="Z85" s="452"/>
      <c r="AA85" s="452"/>
      <c r="AB85" s="452"/>
      <c r="AC85" s="452"/>
      <c r="AD85" s="453"/>
      <c r="AF85" s="50"/>
    </row>
    <row r="86" spans="1:32" ht="30.75" customHeight="1" thickBot="1">
      <c r="A86" s="454">
        <v>3</v>
      </c>
      <c r="B86" s="455"/>
      <c r="C86" s="456"/>
      <c r="D86" s="456"/>
      <c r="E86" s="456"/>
      <c r="F86" s="456"/>
      <c r="G86" s="456"/>
      <c r="H86" s="456"/>
      <c r="I86" s="456"/>
      <c r="J86" s="456"/>
      <c r="K86" s="456"/>
      <c r="L86" s="456"/>
      <c r="M86" s="456"/>
      <c r="N86" s="456"/>
      <c r="O86" s="456"/>
      <c r="P86" s="456"/>
      <c r="Q86" s="456"/>
      <c r="R86" s="456"/>
      <c r="S86" s="456"/>
      <c r="T86" s="456"/>
      <c r="U86" s="456"/>
      <c r="V86" s="456"/>
      <c r="W86" s="456"/>
      <c r="X86" s="456"/>
      <c r="Y86" s="457"/>
      <c r="Z86" s="457"/>
      <c r="AA86" s="457"/>
      <c r="AB86" s="457"/>
      <c r="AC86" s="457"/>
      <c r="AD86" s="458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1C08-CCDC-4DCE-903A-B62BC8041743}">
  <dimension ref="A1:AF86"/>
  <sheetViews>
    <sheetView zoomScale="72" zoomScaleNormal="72" zoomScaleSheetLayoutView="70" workbookViewId="0">
      <selection activeCell="F80" sqref="F80:J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557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395" t="s">
        <v>17</v>
      </c>
      <c r="L5" s="395" t="s">
        <v>18</v>
      </c>
      <c r="M5" s="395" t="s">
        <v>19</v>
      </c>
      <c r="N5" s="39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0.4055555555555555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0.4055555555555555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352</v>
      </c>
      <c r="E8" s="53" t="s">
        <v>486</v>
      </c>
      <c r="F8" s="30" t="s">
        <v>141</v>
      </c>
      <c r="G8" s="33">
        <v>2</v>
      </c>
      <c r="H8" s="35">
        <v>24</v>
      </c>
      <c r="I8" s="7">
        <v>50000</v>
      </c>
      <c r="J8" s="14">
        <v>9518</v>
      </c>
      <c r="K8" s="15">
        <f>L8+4928+9946+9956+9982+10168</f>
        <v>54498</v>
      </c>
      <c r="L8" s="15">
        <f>2479*2+2280*2</f>
        <v>9518</v>
      </c>
      <c r="M8" s="15">
        <f t="shared" si="1"/>
        <v>9518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0.4055555555555555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1926</v>
      </c>
      <c r="K9" s="15">
        <f>L9+1036+2500+4639+2951+2392+2902+2784+3566+4110+4299+4289+1910+4734+4854+3892+4611+3795+5160+1762+3528+5214+2558+4569+2950+2156</f>
        <v>89087</v>
      </c>
      <c r="L9" s="15">
        <f>1785+141</f>
        <v>1926</v>
      </c>
      <c r="M9" s="15">
        <f t="shared" si="1"/>
        <v>1926</v>
      </c>
      <c r="N9" s="15">
        <v>0</v>
      </c>
      <c r="O9" s="58">
        <f t="shared" si="2"/>
        <v>0</v>
      </c>
      <c r="P9" s="39">
        <f t="shared" si="3"/>
        <v>9</v>
      </c>
      <c r="Q9" s="40">
        <f t="shared" si="4"/>
        <v>15</v>
      </c>
      <c r="R9" s="7"/>
      <c r="S9" s="6">
        <v>15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0.375</v>
      </c>
      <c r="AD9" s="10">
        <f t="shared" si="7"/>
        <v>0.375</v>
      </c>
      <c r="AE9" s="36">
        <f t="shared" si="8"/>
        <v>0.4055555555555555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117</v>
      </c>
      <c r="E10" s="53" t="s">
        <v>542</v>
      </c>
      <c r="F10" s="30" t="s">
        <v>123</v>
      </c>
      <c r="G10" s="33">
        <v>1</v>
      </c>
      <c r="H10" s="35">
        <v>24</v>
      </c>
      <c r="I10" s="7">
        <v>12000</v>
      </c>
      <c r="J10" s="5">
        <v>5356</v>
      </c>
      <c r="K10" s="15">
        <f>L10+5344</f>
        <v>10700</v>
      </c>
      <c r="L10" s="15">
        <f>2795+2561</f>
        <v>5356</v>
      </c>
      <c r="M10" s="15">
        <f t="shared" si="1"/>
        <v>5356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0.4055555555555555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300</v>
      </c>
      <c r="F11" s="30" t="s">
        <v>126</v>
      </c>
      <c r="G11" s="33">
        <v>1</v>
      </c>
      <c r="H11" s="35">
        <v>24</v>
      </c>
      <c r="I11" s="7">
        <v>37000</v>
      </c>
      <c r="J11" s="5">
        <v>1383</v>
      </c>
      <c r="K11" s="15">
        <f>L11+1500+654</f>
        <v>3537</v>
      </c>
      <c r="L11" s="15">
        <f>1033+350</f>
        <v>1383</v>
      </c>
      <c r="M11" s="15">
        <f t="shared" si="1"/>
        <v>1383</v>
      </c>
      <c r="N11" s="15">
        <v>0</v>
      </c>
      <c r="O11" s="58">
        <f t="shared" si="2"/>
        <v>0</v>
      </c>
      <c r="P11" s="39">
        <f t="shared" si="3"/>
        <v>7</v>
      </c>
      <c r="Q11" s="40">
        <f t="shared" si="4"/>
        <v>17</v>
      </c>
      <c r="R11" s="7"/>
      <c r="S11" s="6">
        <v>17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0.29166666666666669</v>
      </c>
      <c r="AD11" s="10">
        <f>AC11*AB11*(1-O11)</f>
        <v>0.29166666666666669</v>
      </c>
      <c r="AE11" s="36">
        <f t="shared" si="8"/>
        <v>0.4055555555555555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138</v>
      </c>
      <c r="D12" s="52" t="s">
        <v>125</v>
      </c>
      <c r="E12" s="53" t="s">
        <v>540</v>
      </c>
      <c r="F12" s="30" t="s">
        <v>417</v>
      </c>
      <c r="G12" s="33">
        <v>1</v>
      </c>
      <c r="H12" s="35">
        <v>24</v>
      </c>
      <c r="I12" s="7">
        <v>1100</v>
      </c>
      <c r="J12" s="14">
        <v>1125</v>
      </c>
      <c r="K12" s="15">
        <f>L12+1125</f>
        <v>1125</v>
      </c>
      <c r="L12" s="15"/>
      <c r="M12" s="15">
        <f t="shared" si="1"/>
        <v>0</v>
      </c>
      <c r="N12" s="15">
        <v>0</v>
      </c>
      <c r="O12" s="58" t="str">
        <f t="shared" si="2"/>
        <v>0</v>
      </c>
      <c r="P12" s="39" t="str">
        <f t="shared" si="3"/>
        <v>0</v>
      </c>
      <c r="Q12" s="40">
        <f t="shared" si="4"/>
        <v>24</v>
      </c>
      <c r="R12" s="7"/>
      <c r="S12" s="6"/>
      <c r="T12" s="16"/>
      <c r="U12" s="16"/>
      <c r="V12" s="17"/>
      <c r="W12" s="5"/>
      <c r="X12" s="16"/>
      <c r="Y12" s="16"/>
      <c r="Z12" s="16"/>
      <c r="AA12" s="18">
        <v>24</v>
      </c>
      <c r="AB12" s="8">
        <f t="shared" si="5"/>
        <v>0</v>
      </c>
      <c r="AC12" s="9">
        <f t="shared" si="6"/>
        <v>0</v>
      </c>
      <c r="AD12" s="10">
        <f t="shared" ref="AD12:AD13" si="10">AC12*AB12*(1-O12)</f>
        <v>0</v>
      </c>
      <c r="AE12" s="36">
        <f t="shared" si="8"/>
        <v>0.4055555555555555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138</v>
      </c>
      <c r="D13" s="52" t="s">
        <v>433</v>
      </c>
      <c r="E13" s="53" t="s">
        <v>541</v>
      </c>
      <c r="F13" s="30" t="s">
        <v>417</v>
      </c>
      <c r="G13" s="33" t="s">
        <v>136</v>
      </c>
      <c r="H13" s="35">
        <v>24</v>
      </c>
      <c r="I13" s="7">
        <v>2000</v>
      </c>
      <c r="J13" s="14">
        <v>2132</v>
      </c>
      <c r="K13" s="15">
        <f>L13+2305</f>
        <v>4437</v>
      </c>
      <c r="L13" s="15">
        <f>2132</f>
        <v>2132</v>
      </c>
      <c r="M13" s="15">
        <f t="shared" si="1"/>
        <v>2132</v>
      </c>
      <c r="N13" s="15">
        <v>0</v>
      </c>
      <c r="O13" s="58">
        <f t="shared" si="2"/>
        <v>0</v>
      </c>
      <c r="P13" s="39">
        <f t="shared" si="3"/>
        <v>13</v>
      </c>
      <c r="Q13" s="40">
        <f t="shared" si="4"/>
        <v>11</v>
      </c>
      <c r="R13" s="7"/>
      <c r="S13" s="6">
        <v>11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0.54166666666666663</v>
      </c>
      <c r="AD13" s="10">
        <f t="shared" si="10"/>
        <v>0.54166666666666663</v>
      </c>
      <c r="AE13" s="36">
        <f t="shared" si="8"/>
        <v>0.4055555555555555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128</v>
      </c>
      <c r="D14" s="52"/>
      <c r="E14" s="53" t="s">
        <v>558</v>
      </c>
      <c r="F14" s="30" t="s">
        <v>190</v>
      </c>
      <c r="G14" s="33" t="s">
        <v>559</v>
      </c>
      <c r="H14" s="35">
        <v>24</v>
      </c>
      <c r="I14" s="7">
        <v>2000</v>
      </c>
      <c r="J14" s="5">
        <v>2296</v>
      </c>
      <c r="K14" s="15">
        <f>L14</f>
        <v>2296</v>
      </c>
      <c r="L14" s="15">
        <f>215*2+933*2</f>
        <v>2296</v>
      </c>
      <c r="M14" s="15">
        <f t="shared" si="1"/>
        <v>2296</v>
      </c>
      <c r="N14" s="15">
        <v>0</v>
      </c>
      <c r="O14" s="58">
        <f t="shared" si="2"/>
        <v>0</v>
      </c>
      <c r="P14" s="39">
        <f t="shared" si="3"/>
        <v>10</v>
      </c>
      <c r="Q14" s="40">
        <f t="shared" si="4"/>
        <v>14</v>
      </c>
      <c r="R14" s="7"/>
      <c r="S14" s="6"/>
      <c r="T14" s="16"/>
      <c r="U14" s="16"/>
      <c r="V14" s="17"/>
      <c r="W14" s="5">
        <v>14</v>
      </c>
      <c r="X14" s="16"/>
      <c r="Y14" s="16"/>
      <c r="Z14" s="16"/>
      <c r="AA14" s="18"/>
      <c r="AB14" s="8">
        <f t="shared" si="5"/>
        <v>1</v>
      </c>
      <c r="AC14" s="9">
        <f t="shared" si="6"/>
        <v>0.41666666666666669</v>
      </c>
      <c r="AD14" s="10">
        <f t="shared" si="7"/>
        <v>0.41666666666666669</v>
      </c>
      <c r="AE14" s="36">
        <f t="shared" si="8"/>
        <v>0.4055555555555555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381</v>
      </c>
      <c r="D15" s="52"/>
      <c r="E15" s="53" t="s">
        <v>494</v>
      </c>
      <c r="F15" s="12" t="s">
        <v>495</v>
      </c>
      <c r="G15" s="12">
        <v>7</v>
      </c>
      <c r="H15" s="13">
        <v>24</v>
      </c>
      <c r="I15" s="31">
        <v>20000</v>
      </c>
      <c r="J15" s="14">
        <v>4736</v>
      </c>
      <c r="K15" s="15">
        <f>L15</f>
        <v>4736</v>
      </c>
      <c r="L15" s="15">
        <f>1184*4</f>
        <v>4736</v>
      </c>
      <c r="M15" s="15">
        <f t="shared" si="1"/>
        <v>4736</v>
      </c>
      <c r="N15" s="15">
        <v>0</v>
      </c>
      <c r="O15" s="58">
        <f t="shared" si="2"/>
        <v>0</v>
      </c>
      <c r="P15" s="39">
        <f t="shared" si="3"/>
        <v>6</v>
      </c>
      <c r="Q15" s="40">
        <f t="shared" si="4"/>
        <v>18</v>
      </c>
      <c r="R15" s="7"/>
      <c r="S15" s="6">
        <v>18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0.25</v>
      </c>
      <c r="AD15" s="10">
        <f t="shared" si="7"/>
        <v>0.25</v>
      </c>
      <c r="AE15" s="36">
        <f t="shared" si="8"/>
        <v>0.4055555555555555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125</v>
      </c>
      <c r="E16" s="53" t="s">
        <v>149</v>
      </c>
      <c r="F16" s="30" t="s">
        <v>126</v>
      </c>
      <c r="G16" s="12">
        <v>1</v>
      </c>
      <c r="H16" s="13">
        <v>28</v>
      </c>
      <c r="I16" s="7">
        <v>50000</v>
      </c>
      <c r="J16" s="14">
        <v>2964</v>
      </c>
      <c r="K16" s="15">
        <f>L16+2312+5350+5082+5413+1290</f>
        <v>22411</v>
      </c>
      <c r="L16" s="15">
        <f>2754+210</f>
        <v>2964</v>
      </c>
      <c r="M16" s="15">
        <f t="shared" si="1"/>
        <v>2964</v>
      </c>
      <c r="N16" s="15">
        <v>0</v>
      </c>
      <c r="O16" s="58">
        <f t="shared" si="2"/>
        <v>0</v>
      </c>
      <c r="P16" s="39">
        <f t="shared" si="3"/>
        <v>14</v>
      </c>
      <c r="Q16" s="40">
        <f t="shared" si="4"/>
        <v>10</v>
      </c>
      <c r="R16" s="7"/>
      <c r="S16" s="6">
        <v>10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0.58333333333333337</v>
      </c>
      <c r="AD16" s="10">
        <f t="shared" si="7"/>
        <v>0.58333333333333337</v>
      </c>
      <c r="AE16" s="36">
        <f t="shared" si="8"/>
        <v>0.4055555555555555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449</v>
      </c>
      <c r="E17" s="53" t="s">
        <v>441</v>
      </c>
      <c r="F17" s="30" t="s">
        <v>249</v>
      </c>
      <c r="G17" s="33">
        <v>1</v>
      </c>
      <c r="H17" s="35">
        <v>24</v>
      </c>
      <c r="I17" s="7">
        <v>24000</v>
      </c>
      <c r="J17" s="5">
        <v>6001</v>
      </c>
      <c r="K17" s="15">
        <f>L17+5168+2206+4833+5412+6386+6001</f>
        <v>30006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0.4055555555555555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122</v>
      </c>
      <c r="E18" s="53" t="s">
        <v>147</v>
      </c>
      <c r="F18" s="30" t="s">
        <v>123</v>
      </c>
      <c r="G18" s="33">
        <v>1</v>
      </c>
      <c r="H18" s="35">
        <v>24</v>
      </c>
      <c r="I18" s="7">
        <v>60000</v>
      </c>
      <c r="J18" s="5">
        <v>901</v>
      </c>
      <c r="K18" s="15">
        <f>L18+1915+5043+1754+4429+1736+4741+3615+930+3442+701+570+603+2583+5263</f>
        <v>38226</v>
      </c>
      <c r="L18" s="15">
        <v>901</v>
      </c>
      <c r="M18" s="15">
        <f t="shared" si="1"/>
        <v>901</v>
      </c>
      <c r="N18" s="15">
        <v>0</v>
      </c>
      <c r="O18" s="58">
        <f t="shared" si="2"/>
        <v>0</v>
      </c>
      <c r="P18" s="39">
        <f t="shared" si="3"/>
        <v>5</v>
      </c>
      <c r="Q18" s="40">
        <f t="shared" si="4"/>
        <v>19</v>
      </c>
      <c r="R18" s="7"/>
      <c r="S18" s="6">
        <v>19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0.20833333333333334</v>
      </c>
      <c r="AD18" s="10">
        <f>AC18*AB18*(1-O18)</f>
        <v>0.20833333333333334</v>
      </c>
      <c r="AE18" s="36">
        <f t="shared" si="8"/>
        <v>0.4055555555555555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393</v>
      </c>
      <c r="F19" s="30" t="s">
        <v>121</v>
      </c>
      <c r="G19" s="33">
        <v>1</v>
      </c>
      <c r="H19" s="35">
        <v>24</v>
      </c>
      <c r="I19" s="7">
        <v>46000</v>
      </c>
      <c r="J19" s="14">
        <v>3775</v>
      </c>
      <c r="K19" s="15">
        <f>L19+470+4165</f>
        <v>8410</v>
      </c>
      <c r="L19" s="15">
        <f>2471+1304</f>
        <v>3775</v>
      </c>
      <c r="M19" s="15">
        <f t="shared" si="1"/>
        <v>3775</v>
      </c>
      <c r="N19" s="15">
        <v>0</v>
      </c>
      <c r="O19" s="58">
        <f t="shared" si="2"/>
        <v>0</v>
      </c>
      <c r="P19" s="39">
        <f t="shared" si="3"/>
        <v>20</v>
      </c>
      <c r="Q19" s="40">
        <f t="shared" si="4"/>
        <v>4</v>
      </c>
      <c r="R19" s="7"/>
      <c r="S19" s="6">
        <v>4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0.83333333333333337</v>
      </c>
      <c r="AD19" s="10">
        <f t="shared" si="7"/>
        <v>0.83333333333333337</v>
      </c>
      <c r="AE19" s="36">
        <f t="shared" si="8"/>
        <v>0.4055555555555555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316</v>
      </c>
      <c r="F20" s="12" t="s">
        <v>116</v>
      </c>
      <c r="G20" s="12">
        <v>4</v>
      </c>
      <c r="H20" s="35">
        <v>20</v>
      </c>
      <c r="I20" s="7">
        <v>200000</v>
      </c>
      <c r="J20" s="14">
        <v>40932</v>
      </c>
      <c r="K20" s="15">
        <f>L20</f>
        <v>40932</v>
      </c>
      <c r="L20" s="15">
        <f>10233*4</f>
        <v>40932</v>
      </c>
      <c r="M20" s="15">
        <f t="shared" si="1"/>
        <v>40932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/>
      <c r="T20" s="16"/>
      <c r="U20" s="16"/>
      <c r="V20" s="17">
        <v>10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 t="shared" si="7"/>
        <v>0.58333333333333337</v>
      </c>
      <c r="AE20" s="36">
        <f t="shared" si="8"/>
        <v>0.4055555555555555</v>
      </c>
      <c r="AF20" s="87">
        <f t="shared" si="9"/>
        <v>15</v>
      </c>
    </row>
    <row r="21" spans="1:32" ht="31.5" customHeight="1" thickBot="1">
      <c r="A21" s="541" t="s">
        <v>34</v>
      </c>
      <c r="B21" s="542"/>
      <c r="C21" s="542"/>
      <c r="D21" s="542"/>
      <c r="E21" s="542"/>
      <c r="F21" s="542"/>
      <c r="G21" s="542"/>
      <c r="H21" s="543"/>
      <c r="I21" s="22">
        <f t="shared" ref="I21:N21" si="11">SUM(I6:I20)</f>
        <v>595100</v>
      </c>
      <c r="J21" s="19">
        <f t="shared" si="11"/>
        <v>85106</v>
      </c>
      <c r="K21" s="20">
        <f t="shared" si="11"/>
        <v>321949</v>
      </c>
      <c r="L21" s="21">
        <f t="shared" si="11"/>
        <v>75919</v>
      </c>
      <c r="M21" s="20">
        <f t="shared" si="11"/>
        <v>75919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146</v>
      </c>
      <c r="Q21" s="43">
        <f t="shared" si="12"/>
        <v>214</v>
      </c>
      <c r="R21" s="23">
        <f t="shared" si="12"/>
        <v>24</v>
      </c>
      <c r="S21" s="24">
        <f t="shared" si="12"/>
        <v>94</v>
      </c>
      <c r="T21" s="24">
        <f t="shared" si="12"/>
        <v>0</v>
      </c>
      <c r="U21" s="24">
        <f t="shared" si="12"/>
        <v>0</v>
      </c>
      <c r="V21" s="25">
        <f t="shared" si="12"/>
        <v>34</v>
      </c>
      <c r="W21" s="26">
        <f t="shared" si="12"/>
        <v>38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24</v>
      </c>
      <c r="AB21" s="28">
        <f>SUM(AB6:AB20)/15</f>
        <v>0.73333333333333328</v>
      </c>
      <c r="AC21" s="4">
        <f>SUM(AC6:AC20)/15</f>
        <v>0.4055555555555555</v>
      </c>
      <c r="AD21" s="4">
        <f>SUM(AD6:AD20)/15</f>
        <v>0.4055555555555555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44" t="s">
        <v>45</v>
      </c>
      <c r="B48" s="544"/>
      <c r="C48" s="544"/>
      <c r="D48" s="544"/>
      <c r="E48" s="54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45" t="s">
        <v>560</v>
      </c>
      <c r="B49" s="546"/>
      <c r="C49" s="546"/>
      <c r="D49" s="546"/>
      <c r="E49" s="546"/>
      <c r="F49" s="546"/>
      <c r="G49" s="546"/>
      <c r="H49" s="546"/>
      <c r="I49" s="546"/>
      <c r="J49" s="546"/>
      <c r="K49" s="546"/>
      <c r="L49" s="546"/>
      <c r="M49" s="547"/>
      <c r="N49" s="548" t="s">
        <v>566</v>
      </c>
      <c r="O49" s="549"/>
      <c r="P49" s="549"/>
      <c r="Q49" s="549"/>
      <c r="R49" s="549"/>
      <c r="S49" s="549"/>
      <c r="T49" s="549"/>
      <c r="U49" s="549"/>
      <c r="V49" s="549"/>
      <c r="W49" s="549"/>
      <c r="X49" s="549"/>
      <c r="Y49" s="549"/>
      <c r="Z49" s="549"/>
      <c r="AA49" s="549"/>
      <c r="AB49" s="549"/>
      <c r="AC49" s="549"/>
      <c r="AD49" s="550"/>
    </row>
    <row r="50" spans="1:32" ht="27" customHeight="1">
      <c r="A50" s="551" t="s">
        <v>2</v>
      </c>
      <c r="B50" s="552"/>
      <c r="C50" s="394" t="s">
        <v>46</v>
      </c>
      <c r="D50" s="394" t="s">
        <v>47</v>
      </c>
      <c r="E50" s="394" t="s">
        <v>108</v>
      </c>
      <c r="F50" s="552" t="s">
        <v>107</v>
      </c>
      <c r="G50" s="552"/>
      <c r="H50" s="552"/>
      <c r="I50" s="552"/>
      <c r="J50" s="552"/>
      <c r="K50" s="552"/>
      <c r="L50" s="552"/>
      <c r="M50" s="553"/>
      <c r="N50" s="67" t="s">
        <v>112</v>
      </c>
      <c r="O50" s="394" t="s">
        <v>46</v>
      </c>
      <c r="P50" s="554" t="s">
        <v>47</v>
      </c>
      <c r="Q50" s="555"/>
      <c r="R50" s="554" t="s">
        <v>38</v>
      </c>
      <c r="S50" s="556"/>
      <c r="T50" s="556"/>
      <c r="U50" s="555"/>
      <c r="V50" s="554" t="s">
        <v>48</v>
      </c>
      <c r="W50" s="556"/>
      <c r="X50" s="556"/>
      <c r="Y50" s="556"/>
      <c r="Z50" s="556"/>
      <c r="AA50" s="556"/>
      <c r="AB50" s="556"/>
      <c r="AC50" s="556"/>
      <c r="AD50" s="557"/>
    </row>
    <row r="51" spans="1:32" ht="27" customHeight="1">
      <c r="A51" s="524" t="s">
        <v>114</v>
      </c>
      <c r="B51" s="525"/>
      <c r="C51" s="392" t="s">
        <v>131</v>
      </c>
      <c r="D51" s="392" t="s">
        <v>142</v>
      </c>
      <c r="E51" s="392" t="s">
        <v>145</v>
      </c>
      <c r="F51" s="517" t="s">
        <v>561</v>
      </c>
      <c r="G51" s="518"/>
      <c r="H51" s="518"/>
      <c r="I51" s="518"/>
      <c r="J51" s="518"/>
      <c r="K51" s="518"/>
      <c r="L51" s="518"/>
      <c r="M51" s="526"/>
      <c r="N51" s="391" t="s">
        <v>124</v>
      </c>
      <c r="O51" s="389" t="s">
        <v>132</v>
      </c>
      <c r="P51" s="536" t="s">
        <v>183</v>
      </c>
      <c r="Q51" s="537"/>
      <c r="R51" s="536" t="s">
        <v>300</v>
      </c>
      <c r="S51" s="538"/>
      <c r="T51" s="538"/>
      <c r="U51" s="537"/>
      <c r="V51" s="503" t="s">
        <v>157</v>
      </c>
      <c r="W51" s="503"/>
      <c r="X51" s="503"/>
      <c r="Y51" s="503"/>
      <c r="Z51" s="503"/>
      <c r="AA51" s="503"/>
      <c r="AB51" s="503"/>
      <c r="AC51" s="503"/>
      <c r="AD51" s="527"/>
    </row>
    <row r="52" spans="1:32" ht="27" customHeight="1">
      <c r="A52" s="524" t="s">
        <v>114</v>
      </c>
      <c r="B52" s="525"/>
      <c r="C52" s="392" t="s">
        <v>234</v>
      </c>
      <c r="D52" s="392" t="s">
        <v>122</v>
      </c>
      <c r="E52" s="392" t="s">
        <v>147</v>
      </c>
      <c r="F52" s="517" t="s">
        <v>564</v>
      </c>
      <c r="G52" s="518"/>
      <c r="H52" s="518"/>
      <c r="I52" s="518"/>
      <c r="J52" s="518"/>
      <c r="K52" s="518"/>
      <c r="L52" s="518"/>
      <c r="M52" s="526"/>
      <c r="N52" s="391" t="s">
        <v>114</v>
      </c>
      <c r="O52" s="389" t="s">
        <v>234</v>
      </c>
      <c r="P52" s="536" t="s">
        <v>122</v>
      </c>
      <c r="Q52" s="537"/>
      <c r="R52" s="536" t="s">
        <v>147</v>
      </c>
      <c r="S52" s="538"/>
      <c r="T52" s="538"/>
      <c r="U52" s="537"/>
      <c r="V52" s="503" t="s">
        <v>296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124</v>
      </c>
      <c r="B53" s="525"/>
      <c r="C53" s="392" t="s">
        <v>132</v>
      </c>
      <c r="D53" s="392" t="s">
        <v>183</v>
      </c>
      <c r="E53" s="392" t="s">
        <v>300</v>
      </c>
      <c r="F53" s="517" t="s">
        <v>562</v>
      </c>
      <c r="G53" s="518"/>
      <c r="H53" s="518"/>
      <c r="I53" s="518"/>
      <c r="J53" s="518"/>
      <c r="K53" s="518"/>
      <c r="L53" s="518"/>
      <c r="M53" s="526"/>
      <c r="N53" s="391" t="s">
        <v>124</v>
      </c>
      <c r="O53" s="389" t="s">
        <v>170</v>
      </c>
      <c r="P53" s="536" t="s">
        <v>568</v>
      </c>
      <c r="Q53" s="537"/>
      <c r="R53" s="536" t="s">
        <v>567</v>
      </c>
      <c r="S53" s="538"/>
      <c r="T53" s="538"/>
      <c r="U53" s="537"/>
      <c r="V53" s="503" t="s">
        <v>157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114</v>
      </c>
      <c r="B54" s="525"/>
      <c r="C54" s="392" t="s">
        <v>295</v>
      </c>
      <c r="D54" s="392" t="s">
        <v>125</v>
      </c>
      <c r="E54" s="392" t="s">
        <v>149</v>
      </c>
      <c r="F54" s="517" t="s">
        <v>563</v>
      </c>
      <c r="G54" s="518"/>
      <c r="H54" s="518"/>
      <c r="I54" s="518"/>
      <c r="J54" s="518"/>
      <c r="K54" s="518"/>
      <c r="L54" s="518"/>
      <c r="M54" s="526"/>
      <c r="N54" s="391" t="s">
        <v>114</v>
      </c>
      <c r="O54" s="389" t="s">
        <v>150</v>
      </c>
      <c r="P54" s="536" t="s">
        <v>117</v>
      </c>
      <c r="Q54" s="537"/>
      <c r="R54" s="536" t="s">
        <v>144</v>
      </c>
      <c r="S54" s="538"/>
      <c r="T54" s="538"/>
      <c r="U54" s="537"/>
      <c r="V54" s="503" t="s">
        <v>157</v>
      </c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124</v>
      </c>
      <c r="B55" s="525"/>
      <c r="C55" s="392" t="s">
        <v>171</v>
      </c>
      <c r="D55" s="392" t="s">
        <v>117</v>
      </c>
      <c r="E55" s="392" t="s">
        <v>393</v>
      </c>
      <c r="F55" s="517" t="s">
        <v>157</v>
      </c>
      <c r="G55" s="518"/>
      <c r="H55" s="518"/>
      <c r="I55" s="518"/>
      <c r="J55" s="518"/>
      <c r="K55" s="518"/>
      <c r="L55" s="518"/>
      <c r="M55" s="526"/>
      <c r="N55" s="391" t="s">
        <v>128</v>
      </c>
      <c r="O55" s="389" t="s">
        <v>179</v>
      </c>
      <c r="P55" s="536" t="s">
        <v>117</v>
      </c>
      <c r="Q55" s="537"/>
      <c r="R55" s="536" t="s">
        <v>569</v>
      </c>
      <c r="S55" s="538"/>
      <c r="T55" s="538"/>
      <c r="U55" s="537"/>
      <c r="V55" s="503" t="s">
        <v>120</v>
      </c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 t="s">
        <v>138</v>
      </c>
      <c r="B56" s="525"/>
      <c r="C56" s="392" t="s">
        <v>179</v>
      </c>
      <c r="D56" s="392"/>
      <c r="E56" s="392" t="s">
        <v>541</v>
      </c>
      <c r="F56" s="517" t="s">
        <v>157</v>
      </c>
      <c r="G56" s="518"/>
      <c r="H56" s="518"/>
      <c r="I56" s="518"/>
      <c r="J56" s="518"/>
      <c r="K56" s="518"/>
      <c r="L56" s="518"/>
      <c r="M56" s="526"/>
      <c r="N56" s="391"/>
      <c r="O56" s="389"/>
      <c r="P56" s="536"/>
      <c r="Q56" s="537"/>
      <c r="R56" s="525"/>
      <c r="S56" s="525"/>
      <c r="T56" s="525"/>
      <c r="U56" s="525"/>
      <c r="V56" s="503"/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 t="s">
        <v>128</v>
      </c>
      <c r="B57" s="525"/>
      <c r="C57" s="392" t="s">
        <v>137</v>
      </c>
      <c r="D57" s="392"/>
      <c r="E57" s="392" t="s">
        <v>558</v>
      </c>
      <c r="F57" s="517" t="s">
        <v>120</v>
      </c>
      <c r="G57" s="518"/>
      <c r="H57" s="518"/>
      <c r="I57" s="518"/>
      <c r="J57" s="518"/>
      <c r="K57" s="518"/>
      <c r="L57" s="518"/>
      <c r="M57" s="526"/>
      <c r="N57" s="391"/>
      <c r="O57" s="389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 t="s">
        <v>381</v>
      </c>
      <c r="B58" s="525"/>
      <c r="C58" s="392" t="s">
        <v>217</v>
      </c>
      <c r="D58" s="392"/>
      <c r="E58" s="392" t="s">
        <v>494</v>
      </c>
      <c r="F58" s="517" t="s">
        <v>565</v>
      </c>
      <c r="G58" s="518"/>
      <c r="H58" s="518"/>
      <c r="I58" s="518"/>
      <c r="J58" s="518"/>
      <c r="K58" s="518"/>
      <c r="L58" s="518"/>
      <c r="M58" s="526"/>
      <c r="N58" s="391"/>
      <c r="O58" s="389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/>
      <c r="B59" s="525"/>
      <c r="C59" s="392"/>
      <c r="D59" s="392"/>
      <c r="E59" s="392"/>
      <c r="F59" s="517"/>
      <c r="G59" s="518"/>
      <c r="H59" s="518"/>
      <c r="I59" s="518"/>
      <c r="J59" s="518"/>
      <c r="K59" s="518"/>
      <c r="L59" s="518"/>
      <c r="M59" s="526"/>
      <c r="N59" s="391"/>
      <c r="O59" s="389"/>
      <c r="P59" s="525"/>
      <c r="Q59" s="525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  <c r="AF59" s="87">
        <f>8*3000</f>
        <v>24000</v>
      </c>
    </row>
    <row r="60" spans="1:32" ht="27" customHeight="1" thickBot="1">
      <c r="A60" s="528"/>
      <c r="B60" s="529"/>
      <c r="C60" s="393"/>
      <c r="D60" s="393"/>
      <c r="E60" s="393"/>
      <c r="F60" s="530"/>
      <c r="G60" s="531"/>
      <c r="H60" s="531"/>
      <c r="I60" s="531"/>
      <c r="J60" s="531"/>
      <c r="K60" s="531"/>
      <c r="L60" s="531"/>
      <c r="M60" s="532"/>
      <c r="N60" s="124"/>
      <c r="O60" s="114"/>
      <c r="P60" s="533"/>
      <c r="Q60" s="533"/>
      <c r="R60" s="533"/>
      <c r="S60" s="533"/>
      <c r="T60" s="533"/>
      <c r="U60" s="533"/>
      <c r="V60" s="534"/>
      <c r="W60" s="534"/>
      <c r="X60" s="534"/>
      <c r="Y60" s="534"/>
      <c r="Z60" s="534"/>
      <c r="AA60" s="534"/>
      <c r="AB60" s="534"/>
      <c r="AC60" s="534"/>
      <c r="AD60" s="535"/>
      <c r="AF60" s="87">
        <f>16*3000</f>
        <v>48000</v>
      </c>
    </row>
    <row r="61" spans="1:32" ht="27.75" thickBot="1">
      <c r="A61" s="522" t="s">
        <v>570</v>
      </c>
      <c r="B61" s="522"/>
      <c r="C61" s="522"/>
      <c r="D61" s="522"/>
      <c r="E61" s="522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523" t="s">
        <v>113</v>
      </c>
      <c r="B62" s="515"/>
      <c r="C62" s="390" t="s">
        <v>2</v>
      </c>
      <c r="D62" s="390" t="s">
        <v>37</v>
      </c>
      <c r="E62" s="390" t="s">
        <v>3</v>
      </c>
      <c r="F62" s="515" t="s">
        <v>110</v>
      </c>
      <c r="G62" s="515"/>
      <c r="H62" s="515"/>
      <c r="I62" s="515"/>
      <c r="J62" s="515"/>
      <c r="K62" s="515" t="s">
        <v>39</v>
      </c>
      <c r="L62" s="515"/>
      <c r="M62" s="390" t="s">
        <v>40</v>
      </c>
      <c r="N62" s="515" t="s">
        <v>41</v>
      </c>
      <c r="O62" s="515"/>
      <c r="P62" s="512" t="s">
        <v>42</v>
      </c>
      <c r="Q62" s="514"/>
      <c r="R62" s="512" t="s">
        <v>43</v>
      </c>
      <c r="S62" s="513"/>
      <c r="T62" s="513"/>
      <c r="U62" s="513"/>
      <c r="V62" s="513"/>
      <c r="W62" s="513"/>
      <c r="X62" s="513"/>
      <c r="Y62" s="513"/>
      <c r="Z62" s="513"/>
      <c r="AA62" s="514"/>
      <c r="AB62" s="515" t="s">
        <v>44</v>
      </c>
      <c r="AC62" s="515"/>
      <c r="AD62" s="516"/>
      <c r="AF62" s="87">
        <f>SUM(AF59:AF61)</f>
        <v>96000</v>
      </c>
    </row>
    <row r="63" spans="1:32" ht="25.5" customHeight="1">
      <c r="A63" s="498">
        <v>1</v>
      </c>
      <c r="B63" s="499"/>
      <c r="C63" s="117" t="s">
        <v>124</v>
      </c>
      <c r="D63" s="385"/>
      <c r="E63" s="388" t="s">
        <v>571</v>
      </c>
      <c r="F63" s="500" t="s">
        <v>572</v>
      </c>
      <c r="G63" s="492"/>
      <c r="H63" s="492"/>
      <c r="I63" s="492"/>
      <c r="J63" s="492"/>
      <c r="K63" s="492" t="s">
        <v>123</v>
      </c>
      <c r="L63" s="492"/>
      <c r="M63" s="51" t="s">
        <v>216</v>
      </c>
      <c r="N63" s="501" t="s">
        <v>150</v>
      </c>
      <c r="O63" s="501"/>
      <c r="P63" s="502">
        <v>100</v>
      </c>
      <c r="Q63" s="502"/>
      <c r="R63" s="503"/>
      <c r="S63" s="503"/>
      <c r="T63" s="503"/>
      <c r="U63" s="503"/>
      <c r="V63" s="503"/>
      <c r="W63" s="503"/>
      <c r="X63" s="503"/>
      <c r="Y63" s="503"/>
      <c r="Z63" s="503"/>
      <c r="AA63" s="503"/>
      <c r="AB63" s="507"/>
      <c r="AC63" s="520"/>
      <c r="AD63" s="521"/>
      <c r="AF63" s="50"/>
    </row>
    <row r="64" spans="1:32" ht="25.5" customHeight="1">
      <c r="A64" s="498">
        <v>2</v>
      </c>
      <c r="B64" s="499"/>
      <c r="C64" s="117" t="s">
        <v>114</v>
      </c>
      <c r="D64" s="385"/>
      <c r="E64" s="388" t="s">
        <v>117</v>
      </c>
      <c r="F64" s="504" t="s">
        <v>144</v>
      </c>
      <c r="G64" s="505"/>
      <c r="H64" s="505"/>
      <c r="I64" s="505"/>
      <c r="J64" s="506"/>
      <c r="K64" s="507" t="s">
        <v>573</v>
      </c>
      <c r="L64" s="499"/>
      <c r="M64" s="51" t="s">
        <v>574</v>
      </c>
      <c r="N64" s="501" t="s">
        <v>150</v>
      </c>
      <c r="O64" s="501"/>
      <c r="P64" s="502">
        <v>100</v>
      </c>
      <c r="Q64" s="502"/>
      <c r="R64" s="503"/>
      <c r="S64" s="503"/>
      <c r="T64" s="503"/>
      <c r="U64" s="503"/>
      <c r="V64" s="503"/>
      <c r="W64" s="503"/>
      <c r="X64" s="503"/>
      <c r="Y64" s="503"/>
      <c r="Z64" s="503"/>
      <c r="AA64" s="503"/>
      <c r="AB64" s="492"/>
      <c r="AC64" s="492"/>
      <c r="AD64" s="493"/>
      <c r="AF64" s="50"/>
    </row>
    <row r="65" spans="1:32" ht="25.5" customHeight="1">
      <c r="A65" s="498">
        <v>3</v>
      </c>
      <c r="B65" s="499"/>
      <c r="C65" s="117"/>
      <c r="D65" s="385"/>
      <c r="E65" s="388"/>
      <c r="F65" s="504"/>
      <c r="G65" s="505"/>
      <c r="H65" s="505"/>
      <c r="I65" s="505"/>
      <c r="J65" s="506"/>
      <c r="K65" s="507"/>
      <c r="L65" s="499"/>
      <c r="M65" s="51"/>
      <c r="N65" s="501"/>
      <c r="O65" s="501"/>
      <c r="P65" s="502"/>
      <c r="Q65" s="502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4</v>
      </c>
      <c r="B66" s="499"/>
      <c r="C66" s="117"/>
      <c r="D66" s="385"/>
      <c r="E66" s="388"/>
      <c r="F66" s="504"/>
      <c r="G66" s="505"/>
      <c r="H66" s="505"/>
      <c r="I66" s="505"/>
      <c r="J66" s="506"/>
      <c r="K66" s="507"/>
      <c r="L66" s="499"/>
      <c r="M66" s="51"/>
      <c r="N66" s="501"/>
      <c r="O66" s="501"/>
      <c r="P66" s="502"/>
      <c r="Q66" s="502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5</v>
      </c>
      <c r="B67" s="499"/>
      <c r="C67" s="117"/>
      <c r="D67" s="385"/>
      <c r="E67" s="388"/>
      <c r="F67" s="504"/>
      <c r="G67" s="505"/>
      <c r="H67" s="505"/>
      <c r="I67" s="505"/>
      <c r="J67" s="506"/>
      <c r="K67" s="507"/>
      <c r="L67" s="499"/>
      <c r="M67" s="51"/>
      <c r="N67" s="508"/>
      <c r="O67" s="509"/>
      <c r="P67" s="510"/>
      <c r="Q67" s="511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6</v>
      </c>
      <c r="B68" s="499"/>
      <c r="C68" s="117"/>
      <c r="D68" s="385"/>
      <c r="E68" s="388"/>
      <c r="F68" s="500"/>
      <c r="G68" s="492"/>
      <c r="H68" s="492"/>
      <c r="I68" s="492"/>
      <c r="J68" s="492"/>
      <c r="K68" s="492"/>
      <c r="L68" s="492"/>
      <c r="M68" s="51"/>
      <c r="N68" s="508"/>
      <c r="O68" s="509"/>
      <c r="P68" s="510"/>
      <c r="Q68" s="511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7</v>
      </c>
      <c r="B69" s="499"/>
      <c r="C69" s="117"/>
      <c r="D69" s="385"/>
      <c r="E69" s="388"/>
      <c r="F69" s="500"/>
      <c r="G69" s="492"/>
      <c r="H69" s="492"/>
      <c r="I69" s="492"/>
      <c r="J69" s="492"/>
      <c r="K69" s="492"/>
      <c r="L69" s="492"/>
      <c r="M69" s="51"/>
      <c r="N69" s="508"/>
      <c r="O69" s="509"/>
      <c r="P69" s="510"/>
      <c r="Q69" s="511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8</v>
      </c>
      <c r="B70" s="499"/>
      <c r="C70" s="117"/>
      <c r="D70" s="385"/>
      <c r="E70" s="388"/>
      <c r="F70" s="500"/>
      <c r="G70" s="492"/>
      <c r="H70" s="492"/>
      <c r="I70" s="492"/>
      <c r="J70" s="492"/>
      <c r="K70" s="492"/>
      <c r="L70" s="492"/>
      <c r="M70" s="51"/>
      <c r="N70" s="508"/>
      <c r="O70" s="509"/>
      <c r="P70" s="510"/>
      <c r="Q70" s="511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6.25" customHeight="1" thickBot="1">
      <c r="A71" s="472" t="s">
        <v>575</v>
      </c>
      <c r="B71" s="472"/>
      <c r="C71" s="472"/>
      <c r="D71" s="472"/>
      <c r="E71" s="47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73" t="s">
        <v>113</v>
      </c>
      <c r="B72" s="474"/>
      <c r="C72" s="387" t="s">
        <v>2</v>
      </c>
      <c r="D72" s="387" t="s">
        <v>37</v>
      </c>
      <c r="E72" s="387" t="s">
        <v>3</v>
      </c>
      <c r="F72" s="474" t="s">
        <v>38</v>
      </c>
      <c r="G72" s="474"/>
      <c r="H72" s="474"/>
      <c r="I72" s="474"/>
      <c r="J72" s="474"/>
      <c r="K72" s="494" t="s">
        <v>58</v>
      </c>
      <c r="L72" s="495"/>
      <c r="M72" s="495"/>
      <c r="N72" s="495"/>
      <c r="O72" s="495"/>
      <c r="P72" s="495"/>
      <c r="Q72" s="495"/>
      <c r="R72" s="495"/>
      <c r="S72" s="496"/>
      <c r="T72" s="474" t="s">
        <v>49</v>
      </c>
      <c r="U72" s="474"/>
      <c r="V72" s="494" t="s">
        <v>50</v>
      </c>
      <c r="W72" s="496"/>
      <c r="X72" s="495" t="s">
        <v>51</v>
      </c>
      <c r="Y72" s="495"/>
      <c r="Z72" s="495"/>
      <c r="AA72" s="495"/>
      <c r="AB72" s="495"/>
      <c r="AC72" s="495"/>
      <c r="AD72" s="497"/>
      <c r="AF72" s="50"/>
    </row>
    <row r="73" spans="1:32" ht="33.75" customHeight="1">
      <c r="A73" s="466">
        <v>1</v>
      </c>
      <c r="B73" s="467"/>
      <c r="C73" s="386" t="s">
        <v>114</v>
      </c>
      <c r="D73" s="386"/>
      <c r="E73" s="65" t="s">
        <v>119</v>
      </c>
      <c r="F73" s="481" t="s">
        <v>118</v>
      </c>
      <c r="G73" s="482"/>
      <c r="H73" s="482"/>
      <c r="I73" s="482"/>
      <c r="J73" s="483"/>
      <c r="K73" s="484" t="s">
        <v>130</v>
      </c>
      <c r="L73" s="485"/>
      <c r="M73" s="485"/>
      <c r="N73" s="485"/>
      <c r="O73" s="485"/>
      <c r="P73" s="485"/>
      <c r="Q73" s="485"/>
      <c r="R73" s="485"/>
      <c r="S73" s="486"/>
      <c r="T73" s="487">
        <v>43675</v>
      </c>
      <c r="U73" s="488"/>
      <c r="V73" s="489"/>
      <c r="W73" s="489"/>
      <c r="X73" s="490"/>
      <c r="Y73" s="490"/>
      <c r="Z73" s="490"/>
      <c r="AA73" s="490"/>
      <c r="AB73" s="490"/>
      <c r="AC73" s="490"/>
      <c r="AD73" s="491"/>
      <c r="AF73" s="50"/>
    </row>
    <row r="74" spans="1:32" ht="30" customHeight="1">
      <c r="A74" s="459">
        <f>A73+1</f>
        <v>2</v>
      </c>
      <c r="B74" s="460"/>
      <c r="C74" s="385"/>
      <c r="D74" s="385"/>
      <c r="E74" s="32"/>
      <c r="F74" s="460"/>
      <c r="G74" s="460"/>
      <c r="H74" s="460"/>
      <c r="I74" s="460"/>
      <c r="J74" s="460"/>
      <c r="K74" s="475"/>
      <c r="L74" s="476"/>
      <c r="M74" s="476"/>
      <c r="N74" s="476"/>
      <c r="O74" s="476"/>
      <c r="P74" s="476"/>
      <c r="Q74" s="476"/>
      <c r="R74" s="476"/>
      <c r="S74" s="477"/>
      <c r="T74" s="478"/>
      <c r="U74" s="478"/>
      <c r="V74" s="478"/>
      <c r="W74" s="478"/>
      <c r="X74" s="479"/>
      <c r="Y74" s="479"/>
      <c r="Z74" s="479"/>
      <c r="AA74" s="479"/>
      <c r="AB74" s="479"/>
      <c r="AC74" s="479"/>
      <c r="AD74" s="480"/>
      <c r="AF74" s="50"/>
    </row>
    <row r="75" spans="1:32" ht="30" customHeight="1">
      <c r="A75" s="459">
        <f t="shared" ref="A75:A81" si="13">A74+1</f>
        <v>3</v>
      </c>
      <c r="B75" s="460"/>
      <c r="C75" s="385"/>
      <c r="D75" s="385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si="13"/>
        <v>4</v>
      </c>
      <c r="B76" s="460"/>
      <c r="C76" s="385"/>
      <c r="D76" s="385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13"/>
        <v>5</v>
      </c>
      <c r="B77" s="460"/>
      <c r="C77" s="385"/>
      <c r="D77" s="385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13"/>
        <v>6</v>
      </c>
      <c r="B78" s="460"/>
      <c r="C78" s="385"/>
      <c r="D78" s="385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13"/>
        <v>7</v>
      </c>
      <c r="B79" s="460"/>
      <c r="C79" s="385"/>
      <c r="D79" s="385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13"/>
        <v>8</v>
      </c>
      <c r="B80" s="460"/>
      <c r="C80" s="385"/>
      <c r="D80" s="385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13"/>
        <v>9</v>
      </c>
      <c r="B81" s="460"/>
      <c r="C81" s="385"/>
      <c r="D81" s="385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6" thickBot="1">
      <c r="A82" s="472" t="s">
        <v>576</v>
      </c>
      <c r="B82" s="472"/>
      <c r="C82" s="472"/>
      <c r="D82" s="472"/>
      <c r="E82" s="47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73" t="s">
        <v>113</v>
      </c>
      <c r="B83" s="474"/>
      <c r="C83" s="464" t="s">
        <v>52</v>
      </c>
      <c r="D83" s="464"/>
      <c r="E83" s="464" t="s">
        <v>53</v>
      </c>
      <c r="F83" s="464"/>
      <c r="G83" s="464"/>
      <c r="H83" s="464"/>
      <c r="I83" s="464"/>
      <c r="J83" s="464"/>
      <c r="K83" s="464" t="s">
        <v>54</v>
      </c>
      <c r="L83" s="464"/>
      <c r="M83" s="464"/>
      <c r="N83" s="464"/>
      <c r="O83" s="464"/>
      <c r="P83" s="464"/>
      <c r="Q83" s="464"/>
      <c r="R83" s="464"/>
      <c r="S83" s="464"/>
      <c r="T83" s="464" t="s">
        <v>55</v>
      </c>
      <c r="U83" s="464"/>
      <c r="V83" s="464" t="s">
        <v>56</v>
      </c>
      <c r="W83" s="464"/>
      <c r="X83" s="464"/>
      <c r="Y83" s="464" t="s">
        <v>51</v>
      </c>
      <c r="Z83" s="464"/>
      <c r="AA83" s="464"/>
      <c r="AB83" s="464"/>
      <c r="AC83" s="464"/>
      <c r="AD83" s="465"/>
      <c r="AF83" s="50"/>
    </row>
    <row r="84" spans="1:32" ht="30.75" customHeight="1">
      <c r="A84" s="466">
        <v>1</v>
      </c>
      <c r="B84" s="467"/>
      <c r="C84" s="468"/>
      <c r="D84" s="468"/>
      <c r="E84" s="468"/>
      <c r="F84" s="468"/>
      <c r="G84" s="468"/>
      <c r="H84" s="468"/>
      <c r="I84" s="468"/>
      <c r="J84" s="468"/>
      <c r="K84" s="468"/>
      <c r="L84" s="468"/>
      <c r="M84" s="468"/>
      <c r="N84" s="468"/>
      <c r="O84" s="468"/>
      <c r="P84" s="468"/>
      <c r="Q84" s="468"/>
      <c r="R84" s="468"/>
      <c r="S84" s="468"/>
      <c r="T84" s="468"/>
      <c r="U84" s="468"/>
      <c r="V84" s="469"/>
      <c r="W84" s="469"/>
      <c r="X84" s="469"/>
      <c r="Y84" s="470"/>
      <c r="Z84" s="470"/>
      <c r="AA84" s="470"/>
      <c r="AB84" s="470"/>
      <c r="AC84" s="470"/>
      <c r="AD84" s="471"/>
      <c r="AF84" s="50"/>
    </row>
    <row r="85" spans="1:32" ht="30.75" customHeight="1">
      <c r="A85" s="459">
        <v>2</v>
      </c>
      <c r="B85" s="460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2"/>
      <c r="Z85" s="452"/>
      <c r="AA85" s="452"/>
      <c r="AB85" s="452"/>
      <c r="AC85" s="452"/>
      <c r="AD85" s="453"/>
      <c r="AF85" s="50"/>
    </row>
    <row r="86" spans="1:32" ht="30.75" customHeight="1" thickBot="1">
      <c r="A86" s="454">
        <v>3</v>
      </c>
      <c r="B86" s="455"/>
      <c r="C86" s="456"/>
      <c r="D86" s="456"/>
      <c r="E86" s="456"/>
      <c r="F86" s="456"/>
      <c r="G86" s="456"/>
      <c r="H86" s="456"/>
      <c r="I86" s="456"/>
      <c r="J86" s="456"/>
      <c r="K86" s="456"/>
      <c r="L86" s="456"/>
      <c r="M86" s="456"/>
      <c r="N86" s="456"/>
      <c r="O86" s="456"/>
      <c r="P86" s="456"/>
      <c r="Q86" s="456"/>
      <c r="R86" s="456"/>
      <c r="S86" s="456"/>
      <c r="T86" s="456"/>
      <c r="U86" s="456"/>
      <c r="V86" s="456"/>
      <c r="W86" s="456"/>
      <c r="X86" s="456"/>
      <c r="Y86" s="457"/>
      <c r="Z86" s="457"/>
      <c r="AA86" s="457"/>
      <c r="AB86" s="457"/>
      <c r="AC86" s="457"/>
      <c r="AD86" s="458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511B-36AA-4A1D-B003-97D8BC8816B4}">
  <dimension ref="A1:AF87"/>
  <sheetViews>
    <sheetView zoomScale="72" zoomScaleNormal="72" zoomScaleSheetLayoutView="70" workbookViewId="0">
      <selection activeCell="H12" sqref="H1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577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396" t="s">
        <v>17</v>
      </c>
      <c r="L5" s="396" t="s">
        <v>18</v>
      </c>
      <c r="M5" s="396" t="s">
        <v>19</v>
      </c>
      <c r="N5" s="39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11" si="8">$AD$22</f>
        <v>0.46666666666666662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0.46666666666666662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352</v>
      </c>
      <c r="E8" s="53" t="s">
        <v>486</v>
      </c>
      <c r="F8" s="30" t="s">
        <v>141</v>
      </c>
      <c r="G8" s="33">
        <v>2</v>
      </c>
      <c r="H8" s="35">
        <v>24</v>
      </c>
      <c r="I8" s="7">
        <v>50000</v>
      </c>
      <c r="J8" s="14">
        <v>3418</v>
      </c>
      <c r="K8" s="15">
        <f>L8+4928+9946+9956+9982+10168+9518</f>
        <v>57916</v>
      </c>
      <c r="L8" s="15">
        <f>1709*2</f>
        <v>3418</v>
      </c>
      <c r="M8" s="15">
        <f t="shared" si="1"/>
        <v>3418</v>
      </c>
      <c r="N8" s="15">
        <v>0</v>
      </c>
      <c r="O8" s="58">
        <f t="shared" si="2"/>
        <v>0</v>
      </c>
      <c r="P8" s="39">
        <f t="shared" si="3"/>
        <v>8</v>
      </c>
      <c r="Q8" s="40">
        <f t="shared" si="4"/>
        <v>16</v>
      </c>
      <c r="R8" s="7"/>
      <c r="S8" s="6"/>
      <c r="T8" s="16"/>
      <c r="U8" s="16"/>
      <c r="V8" s="17"/>
      <c r="W8" s="5">
        <v>16</v>
      </c>
      <c r="X8" s="16"/>
      <c r="Y8" s="16"/>
      <c r="Z8" s="16"/>
      <c r="AA8" s="18"/>
      <c r="AB8" s="8">
        <f t="shared" si="5"/>
        <v>1</v>
      </c>
      <c r="AC8" s="9">
        <f t="shared" si="6"/>
        <v>0.33333333333333331</v>
      </c>
      <c r="AD8" s="10">
        <f t="shared" si="7"/>
        <v>0.33333333333333331</v>
      </c>
      <c r="AE8" s="36">
        <f t="shared" si="8"/>
        <v>0.46666666666666662</v>
      </c>
      <c r="AF8" s="87">
        <f t="shared" si="9"/>
        <v>3</v>
      </c>
    </row>
    <row r="9" spans="1:32" ht="27" customHeight="1">
      <c r="A9" s="102">
        <v>3</v>
      </c>
      <c r="B9" s="11" t="s">
        <v>57</v>
      </c>
      <c r="C9" s="11" t="s">
        <v>124</v>
      </c>
      <c r="D9" s="52" t="s">
        <v>568</v>
      </c>
      <c r="E9" s="53" t="s">
        <v>567</v>
      </c>
      <c r="F9" s="30" t="s">
        <v>141</v>
      </c>
      <c r="G9" s="33">
        <v>2</v>
      </c>
      <c r="H9" s="35">
        <v>24</v>
      </c>
      <c r="I9" s="7">
        <v>44000</v>
      </c>
      <c r="J9" s="14">
        <v>8046</v>
      </c>
      <c r="K9" s="15">
        <f>L9</f>
        <v>8046</v>
      </c>
      <c r="L9" s="15">
        <f>667*2+3356*2</f>
        <v>8046</v>
      </c>
      <c r="M9" s="15">
        <f t="shared" ref="M9" si="10">L9-N9</f>
        <v>8046</v>
      </c>
      <c r="N9" s="15">
        <v>0</v>
      </c>
      <c r="O9" s="58">
        <f t="shared" ref="O9" si="11">IF(L9=0,"0",N9/L9)</f>
        <v>0</v>
      </c>
      <c r="P9" s="39">
        <f t="shared" ref="P9" si="12">IF(L9=0,"0",(24-Q9))</f>
        <v>15</v>
      </c>
      <c r="Q9" s="40">
        <f t="shared" ref="Q9" si="13">SUM(R9:AA9)</f>
        <v>9</v>
      </c>
      <c r="R9" s="7"/>
      <c r="S9" s="6"/>
      <c r="T9" s="16">
        <v>9</v>
      </c>
      <c r="U9" s="16"/>
      <c r="V9" s="17"/>
      <c r="W9" s="5"/>
      <c r="X9" s="16"/>
      <c r="Y9" s="16"/>
      <c r="Z9" s="16"/>
      <c r="AA9" s="18"/>
      <c r="AB9" s="8">
        <f t="shared" ref="AB9" si="14">IF(J9=0,"0",(L9/J9))</f>
        <v>1</v>
      </c>
      <c r="AC9" s="9">
        <f t="shared" ref="AC9" si="15">IF(P9=0,"0",(P9/24))</f>
        <v>0.625</v>
      </c>
      <c r="AD9" s="10">
        <f t="shared" ref="AD9" si="16">AC9*AB9*(1-O9)</f>
        <v>0.625</v>
      </c>
      <c r="AE9" s="36">
        <f t="shared" si="8"/>
        <v>0.46666666666666662</v>
      </c>
      <c r="AF9" s="87">
        <f t="shared" ref="AF9" si="17">A9</f>
        <v>3</v>
      </c>
    </row>
    <row r="10" spans="1:32" ht="27" customHeight="1">
      <c r="A10" s="103">
        <v>4</v>
      </c>
      <c r="B10" s="11" t="s">
        <v>57</v>
      </c>
      <c r="C10" s="11" t="s">
        <v>114</v>
      </c>
      <c r="D10" s="52" t="s">
        <v>142</v>
      </c>
      <c r="E10" s="53" t="s">
        <v>145</v>
      </c>
      <c r="F10" s="30" t="s">
        <v>126</v>
      </c>
      <c r="G10" s="33">
        <v>1</v>
      </c>
      <c r="H10" s="35">
        <v>24</v>
      </c>
      <c r="I10" s="7">
        <v>70000</v>
      </c>
      <c r="J10" s="14">
        <v>2008</v>
      </c>
      <c r="K10" s="15">
        <f>L10+1036+2500+4639+2951+2392+2902+2784+3566+4110+4299+4289+1910+4734+4854+3892+4611+3795+5160+1762+3528+5214+2558+4569+2950+2156+1926</f>
        <v>91095</v>
      </c>
      <c r="L10" s="15">
        <f>1632+376</f>
        <v>2008</v>
      </c>
      <c r="M10" s="15">
        <f t="shared" si="1"/>
        <v>2008</v>
      </c>
      <c r="N10" s="15">
        <v>0</v>
      </c>
      <c r="O10" s="58">
        <f t="shared" si="2"/>
        <v>0</v>
      </c>
      <c r="P10" s="39">
        <f t="shared" si="3"/>
        <v>10</v>
      </c>
      <c r="Q10" s="40">
        <f t="shared" si="4"/>
        <v>14</v>
      </c>
      <c r="R10" s="7"/>
      <c r="S10" s="6">
        <v>14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0.41666666666666669</v>
      </c>
      <c r="AD10" s="10">
        <f t="shared" si="7"/>
        <v>0.41666666666666669</v>
      </c>
      <c r="AE10" s="36">
        <f t="shared" si="8"/>
        <v>0.46666666666666662</v>
      </c>
      <c r="AF10" s="87">
        <f t="shared" si="9"/>
        <v>4</v>
      </c>
    </row>
    <row r="11" spans="1:32" ht="27" customHeight="1">
      <c r="A11" s="103">
        <v>5</v>
      </c>
      <c r="B11" s="11" t="s">
        <v>57</v>
      </c>
      <c r="C11" s="34" t="s">
        <v>114</v>
      </c>
      <c r="D11" s="52" t="s">
        <v>117</v>
      </c>
      <c r="E11" s="53" t="s">
        <v>542</v>
      </c>
      <c r="F11" s="30" t="s">
        <v>123</v>
      </c>
      <c r="G11" s="33">
        <v>1</v>
      </c>
      <c r="H11" s="35">
        <v>24</v>
      </c>
      <c r="I11" s="7">
        <v>12000</v>
      </c>
      <c r="J11" s="5">
        <v>4291</v>
      </c>
      <c r="K11" s="15">
        <f>L11+5344+5356</f>
        <v>14991</v>
      </c>
      <c r="L11" s="15">
        <f>2016+2275</f>
        <v>4291</v>
      </c>
      <c r="M11" s="15">
        <f t="shared" si="1"/>
        <v>4291</v>
      </c>
      <c r="N11" s="15">
        <v>0</v>
      </c>
      <c r="O11" s="58">
        <f t="shared" si="2"/>
        <v>0</v>
      </c>
      <c r="P11" s="39">
        <f t="shared" si="3"/>
        <v>22</v>
      </c>
      <c r="Q11" s="40">
        <f t="shared" si="4"/>
        <v>2</v>
      </c>
      <c r="R11" s="7"/>
      <c r="S11" s="6"/>
      <c r="T11" s="16"/>
      <c r="U11" s="16"/>
      <c r="V11" s="17"/>
      <c r="W11" s="5">
        <v>2</v>
      </c>
      <c r="X11" s="16"/>
      <c r="Y11" s="16"/>
      <c r="Z11" s="16"/>
      <c r="AA11" s="18"/>
      <c r="AB11" s="8">
        <f t="shared" si="5"/>
        <v>1</v>
      </c>
      <c r="AC11" s="9">
        <f t="shared" si="6"/>
        <v>0.91666666666666663</v>
      </c>
      <c r="AD11" s="10">
        <f>AC11*AB11*(1-O11)</f>
        <v>0.91666666666666663</v>
      </c>
      <c r="AE11" s="36">
        <f t="shared" si="8"/>
        <v>0.46666666666666662</v>
      </c>
      <c r="AF11" s="87">
        <f t="shared" si="9"/>
        <v>5</v>
      </c>
    </row>
    <row r="12" spans="1:32" ht="27" customHeight="1">
      <c r="A12" s="103">
        <v>6</v>
      </c>
      <c r="B12" s="11" t="s">
        <v>57</v>
      </c>
      <c r="C12" s="34" t="s">
        <v>124</v>
      </c>
      <c r="D12" s="52" t="s">
        <v>183</v>
      </c>
      <c r="E12" s="53" t="s">
        <v>300</v>
      </c>
      <c r="F12" s="30" t="s">
        <v>126</v>
      </c>
      <c r="G12" s="33">
        <v>1</v>
      </c>
      <c r="H12" s="35">
        <v>24</v>
      </c>
      <c r="I12" s="7">
        <v>37000</v>
      </c>
      <c r="J12" s="5">
        <v>1768</v>
      </c>
      <c r="K12" s="15">
        <f>L12+1500+654+1383</f>
        <v>5305</v>
      </c>
      <c r="L12" s="15">
        <f>1174+594</f>
        <v>1768</v>
      </c>
      <c r="M12" s="15">
        <f t="shared" si="1"/>
        <v>1768</v>
      </c>
      <c r="N12" s="15">
        <v>0</v>
      </c>
      <c r="O12" s="58">
        <f t="shared" si="2"/>
        <v>0</v>
      </c>
      <c r="P12" s="39">
        <f t="shared" si="3"/>
        <v>9</v>
      </c>
      <c r="Q12" s="40">
        <f t="shared" si="4"/>
        <v>15</v>
      </c>
      <c r="R12" s="7"/>
      <c r="S12" s="6">
        <v>15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0.375</v>
      </c>
      <c r="AD12" s="10">
        <f>AC12*AB12*(1-O12)</f>
        <v>0.375</v>
      </c>
      <c r="AE12" s="36">
        <f t="shared" ref="AE12:AE14" si="18">$AD$22</f>
        <v>0.46666666666666662</v>
      </c>
      <c r="AF12" s="87">
        <f t="shared" si="9"/>
        <v>6</v>
      </c>
    </row>
    <row r="13" spans="1:32" ht="27" customHeight="1">
      <c r="A13" s="103">
        <v>7</v>
      </c>
      <c r="B13" s="11" t="s">
        <v>57</v>
      </c>
      <c r="C13" s="11" t="s">
        <v>114</v>
      </c>
      <c r="D13" s="52" t="s">
        <v>117</v>
      </c>
      <c r="E13" s="53" t="s">
        <v>144</v>
      </c>
      <c r="F13" s="30" t="s">
        <v>121</v>
      </c>
      <c r="G13" s="33">
        <v>1</v>
      </c>
      <c r="H13" s="35">
        <v>24</v>
      </c>
      <c r="I13" s="7">
        <v>70000</v>
      </c>
      <c r="J13" s="14">
        <v>1687</v>
      </c>
      <c r="K13" s="15">
        <f>L13+2036+3193+2673+3958+1875+401+3155+4199+2859+2339+1952+1208+2933+3415+1960+4032+870+1602+872+2860+3148+2498+463+1324</f>
        <v>57512</v>
      </c>
      <c r="L13" s="15">
        <f>353+1334</f>
        <v>1687</v>
      </c>
      <c r="M13" s="15">
        <f t="shared" si="1"/>
        <v>1687</v>
      </c>
      <c r="N13" s="15">
        <v>0</v>
      </c>
      <c r="O13" s="58">
        <f t="shared" si="2"/>
        <v>0</v>
      </c>
      <c r="P13" s="39">
        <f t="shared" si="3"/>
        <v>9</v>
      </c>
      <c r="Q13" s="40">
        <f t="shared" si="4"/>
        <v>15</v>
      </c>
      <c r="R13" s="7"/>
      <c r="S13" s="6">
        <v>15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0.375</v>
      </c>
      <c r="AD13" s="10">
        <f t="shared" ref="AD13" si="19">AC13*AB13*(1-O13)</f>
        <v>0.375</v>
      </c>
      <c r="AE13" s="36">
        <f t="shared" si="18"/>
        <v>0.46666666666666662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128</v>
      </c>
      <c r="D14" s="52" t="s">
        <v>117</v>
      </c>
      <c r="E14" s="53" t="s">
        <v>189</v>
      </c>
      <c r="F14" s="30" t="s">
        <v>190</v>
      </c>
      <c r="G14" s="33">
        <v>4</v>
      </c>
      <c r="H14" s="35">
        <v>24</v>
      </c>
      <c r="I14" s="7">
        <v>70000</v>
      </c>
      <c r="J14" s="14">
        <v>9832</v>
      </c>
      <c r="K14" s="15">
        <f>L14</f>
        <v>9832</v>
      </c>
      <c r="L14" s="15">
        <f>2458*4</f>
        <v>9832</v>
      </c>
      <c r="M14" s="15">
        <f t="shared" si="1"/>
        <v>9832</v>
      </c>
      <c r="N14" s="15">
        <v>0</v>
      </c>
      <c r="O14" s="58">
        <f t="shared" si="2"/>
        <v>0</v>
      </c>
      <c r="P14" s="39">
        <f t="shared" si="3"/>
        <v>13</v>
      </c>
      <c r="Q14" s="40">
        <f t="shared" si="4"/>
        <v>11</v>
      </c>
      <c r="R14" s="7"/>
      <c r="S14" s="6"/>
      <c r="T14" s="16">
        <v>11</v>
      </c>
      <c r="U14" s="16"/>
      <c r="V14" s="17"/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0.54166666666666663</v>
      </c>
      <c r="AD14" s="10">
        <f t="shared" ref="AD14" si="20">AC14*AB14*(1-O14)</f>
        <v>0.54166666666666663</v>
      </c>
      <c r="AE14" s="36">
        <f t="shared" si="18"/>
        <v>0.46666666666666662</v>
      </c>
      <c r="AF14" s="87">
        <f t="shared" si="9"/>
        <v>8</v>
      </c>
    </row>
    <row r="15" spans="1:32" ht="27" customHeight="1">
      <c r="A15" s="118">
        <v>9</v>
      </c>
      <c r="B15" s="11" t="s">
        <v>57</v>
      </c>
      <c r="C15" s="34" t="s">
        <v>128</v>
      </c>
      <c r="D15" s="52"/>
      <c r="E15" s="53" t="s">
        <v>558</v>
      </c>
      <c r="F15" s="30" t="s">
        <v>190</v>
      </c>
      <c r="G15" s="33" t="s">
        <v>559</v>
      </c>
      <c r="H15" s="35">
        <v>24</v>
      </c>
      <c r="I15" s="7">
        <v>2000</v>
      </c>
      <c r="J15" s="5">
        <v>2296</v>
      </c>
      <c r="K15" s="15">
        <f>L15+2296</f>
        <v>2296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ref="AE15:AE21" si="21">$AD$22</f>
        <v>0.46666666666666662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381</v>
      </c>
      <c r="D16" s="52"/>
      <c r="E16" s="53" t="s">
        <v>494</v>
      </c>
      <c r="F16" s="12" t="s">
        <v>495</v>
      </c>
      <c r="G16" s="12">
        <v>7</v>
      </c>
      <c r="H16" s="13">
        <v>24</v>
      </c>
      <c r="I16" s="31">
        <v>20000</v>
      </c>
      <c r="J16" s="14">
        <v>32276</v>
      </c>
      <c r="K16" s="15">
        <f>L16+4736</f>
        <v>37012</v>
      </c>
      <c r="L16" s="15">
        <f>4248*4+3821*4</f>
        <v>32276</v>
      </c>
      <c r="M16" s="15">
        <f t="shared" si="1"/>
        <v>32276</v>
      </c>
      <c r="N16" s="15">
        <v>0</v>
      </c>
      <c r="O16" s="58">
        <f t="shared" si="2"/>
        <v>0</v>
      </c>
      <c r="P16" s="39">
        <f t="shared" si="3"/>
        <v>20</v>
      </c>
      <c r="Q16" s="40">
        <f t="shared" si="4"/>
        <v>4</v>
      </c>
      <c r="R16" s="7"/>
      <c r="S16" s="6">
        <v>4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0.83333333333333337</v>
      </c>
      <c r="AD16" s="10">
        <f t="shared" si="7"/>
        <v>0.83333333333333337</v>
      </c>
      <c r="AE16" s="36">
        <f t="shared" si="21"/>
        <v>0.46666666666666662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114</v>
      </c>
      <c r="D17" s="52" t="s">
        <v>125</v>
      </c>
      <c r="E17" s="53" t="s">
        <v>149</v>
      </c>
      <c r="F17" s="30" t="s">
        <v>126</v>
      </c>
      <c r="G17" s="12">
        <v>1</v>
      </c>
      <c r="H17" s="13">
        <v>28</v>
      </c>
      <c r="I17" s="7">
        <v>50000</v>
      </c>
      <c r="J17" s="14">
        <v>5302</v>
      </c>
      <c r="K17" s="15">
        <f>L17+2312+5350+5082+5413+1290+2964</f>
        <v>27713</v>
      </c>
      <c r="L17" s="15">
        <f>2739+2563</f>
        <v>5302</v>
      </c>
      <c r="M17" s="15">
        <f t="shared" si="1"/>
        <v>5302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21"/>
        <v>0.46666666666666662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34" t="s">
        <v>114</v>
      </c>
      <c r="D18" s="52" t="s">
        <v>449</v>
      </c>
      <c r="E18" s="53" t="s">
        <v>441</v>
      </c>
      <c r="F18" s="30" t="s">
        <v>249</v>
      </c>
      <c r="G18" s="33">
        <v>1</v>
      </c>
      <c r="H18" s="35">
        <v>24</v>
      </c>
      <c r="I18" s="7">
        <v>24000</v>
      </c>
      <c r="J18" s="5">
        <v>6001</v>
      </c>
      <c r="K18" s="15">
        <f>L18+5168+2206+4833+5412+6386+6001</f>
        <v>30006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21"/>
        <v>0.46666666666666662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122</v>
      </c>
      <c r="E19" s="53" t="s">
        <v>147</v>
      </c>
      <c r="F19" s="30" t="s">
        <v>123</v>
      </c>
      <c r="G19" s="33">
        <v>1</v>
      </c>
      <c r="H19" s="35">
        <v>24</v>
      </c>
      <c r="I19" s="7">
        <v>60000</v>
      </c>
      <c r="J19" s="5">
        <v>901</v>
      </c>
      <c r="K19" s="15">
        <f>L19+1915+5043+1754+4429+1736+4741+3615+930+3442+701+570+603+2583+5263+901</f>
        <v>38226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>AC19*AB19*(1-O19)</f>
        <v>0</v>
      </c>
      <c r="AE19" s="36">
        <f t="shared" si="21"/>
        <v>0.46666666666666662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124</v>
      </c>
      <c r="D20" s="52" t="s">
        <v>117</v>
      </c>
      <c r="E20" s="53" t="s">
        <v>393</v>
      </c>
      <c r="F20" s="30" t="s">
        <v>121</v>
      </c>
      <c r="G20" s="33">
        <v>1</v>
      </c>
      <c r="H20" s="35">
        <v>24</v>
      </c>
      <c r="I20" s="7">
        <v>46000</v>
      </c>
      <c r="J20" s="14">
        <v>4964</v>
      </c>
      <c r="K20" s="15">
        <f>L20+470+4165+3775</f>
        <v>13374</v>
      </c>
      <c r="L20" s="15">
        <f>2505+2459</f>
        <v>4964</v>
      </c>
      <c r="M20" s="15">
        <f t="shared" si="1"/>
        <v>4964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 t="shared" si="7"/>
        <v>1</v>
      </c>
      <c r="AE20" s="36">
        <f t="shared" si="21"/>
        <v>0.46666666666666662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316</v>
      </c>
      <c r="F21" s="12" t="s">
        <v>116</v>
      </c>
      <c r="G21" s="12">
        <v>4</v>
      </c>
      <c r="H21" s="35">
        <v>20</v>
      </c>
      <c r="I21" s="7">
        <v>200000</v>
      </c>
      <c r="J21" s="14">
        <v>41236</v>
      </c>
      <c r="K21" s="15">
        <f>L21+40932</f>
        <v>82168</v>
      </c>
      <c r="L21" s="15">
        <f>10309*4</f>
        <v>41236</v>
      </c>
      <c r="M21" s="15">
        <f t="shared" si="1"/>
        <v>41236</v>
      </c>
      <c r="N21" s="15">
        <v>0</v>
      </c>
      <c r="O21" s="58">
        <f t="shared" si="2"/>
        <v>0</v>
      </c>
      <c r="P21" s="39">
        <f t="shared" si="3"/>
        <v>14</v>
      </c>
      <c r="Q21" s="40">
        <f t="shared" si="4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0.58333333333333337</v>
      </c>
      <c r="AD21" s="10">
        <f t="shared" si="7"/>
        <v>0.58333333333333337</v>
      </c>
      <c r="AE21" s="36">
        <f t="shared" si="21"/>
        <v>0.46666666666666662</v>
      </c>
      <c r="AF21" s="87">
        <f t="shared" si="9"/>
        <v>15</v>
      </c>
    </row>
    <row r="22" spans="1:32" ht="31.5" customHeight="1" thickBot="1">
      <c r="A22" s="541" t="s">
        <v>34</v>
      </c>
      <c r="B22" s="542"/>
      <c r="C22" s="542"/>
      <c r="D22" s="542"/>
      <c r="E22" s="542"/>
      <c r="F22" s="542"/>
      <c r="G22" s="542"/>
      <c r="H22" s="543"/>
      <c r="I22" s="22">
        <f t="shared" ref="I22:N22" si="22">SUM(I6:I21)</f>
        <v>776000</v>
      </c>
      <c r="J22" s="19">
        <f t="shared" si="22"/>
        <v>126087</v>
      </c>
      <c r="K22" s="20">
        <f t="shared" si="22"/>
        <v>487040</v>
      </c>
      <c r="L22" s="21">
        <f t="shared" si="22"/>
        <v>114828</v>
      </c>
      <c r="M22" s="20">
        <f t="shared" si="22"/>
        <v>114828</v>
      </c>
      <c r="N22" s="21">
        <f t="shared" si="22"/>
        <v>0</v>
      </c>
      <c r="O22" s="41">
        <f t="shared" si="2"/>
        <v>0</v>
      </c>
      <c r="P22" s="42">
        <f t="shared" ref="P22:AA22" si="23">SUM(P6:P21)</f>
        <v>168</v>
      </c>
      <c r="Q22" s="43">
        <f t="shared" si="23"/>
        <v>216</v>
      </c>
      <c r="R22" s="23">
        <f t="shared" si="23"/>
        <v>24</v>
      </c>
      <c r="S22" s="24">
        <f t="shared" si="23"/>
        <v>72</v>
      </c>
      <c r="T22" s="24">
        <f t="shared" si="23"/>
        <v>20</v>
      </c>
      <c r="U22" s="24">
        <f t="shared" si="23"/>
        <v>0</v>
      </c>
      <c r="V22" s="25">
        <f t="shared" si="23"/>
        <v>34</v>
      </c>
      <c r="W22" s="26">
        <f t="shared" si="23"/>
        <v>66</v>
      </c>
      <c r="X22" s="27">
        <f t="shared" si="23"/>
        <v>0</v>
      </c>
      <c r="Y22" s="27">
        <f t="shared" si="23"/>
        <v>0</v>
      </c>
      <c r="Z22" s="27">
        <f t="shared" si="23"/>
        <v>0</v>
      </c>
      <c r="AA22" s="27">
        <f t="shared" si="23"/>
        <v>0</v>
      </c>
      <c r="AB22" s="28">
        <f>SUM(AB6:AB21)/15</f>
        <v>0.73333333333333328</v>
      </c>
      <c r="AC22" s="4">
        <f>SUM(AC6:AC21)/15</f>
        <v>0.46666666666666662</v>
      </c>
      <c r="AD22" s="4">
        <f>SUM(AD6:AD21)/15</f>
        <v>0.46666666666666662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44" t="s">
        <v>45</v>
      </c>
      <c r="B49" s="544"/>
      <c r="C49" s="544"/>
      <c r="D49" s="544"/>
      <c r="E49" s="544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45" t="s">
        <v>578</v>
      </c>
      <c r="B50" s="546"/>
      <c r="C50" s="546"/>
      <c r="D50" s="546"/>
      <c r="E50" s="546"/>
      <c r="F50" s="546"/>
      <c r="G50" s="546"/>
      <c r="H50" s="546"/>
      <c r="I50" s="546"/>
      <c r="J50" s="546"/>
      <c r="K50" s="546"/>
      <c r="L50" s="546"/>
      <c r="M50" s="547"/>
      <c r="N50" s="548" t="s">
        <v>584</v>
      </c>
      <c r="O50" s="549"/>
      <c r="P50" s="549"/>
      <c r="Q50" s="549"/>
      <c r="R50" s="549"/>
      <c r="S50" s="549"/>
      <c r="T50" s="549"/>
      <c r="U50" s="549"/>
      <c r="V50" s="549"/>
      <c r="W50" s="549"/>
      <c r="X50" s="549"/>
      <c r="Y50" s="549"/>
      <c r="Z50" s="549"/>
      <c r="AA50" s="549"/>
      <c r="AB50" s="549"/>
      <c r="AC50" s="549"/>
      <c r="AD50" s="550"/>
    </row>
    <row r="51" spans="1:32" ht="27" customHeight="1">
      <c r="A51" s="551" t="s">
        <v>2</v>
      </c>
      <c r="B51" s="552"/>
      <c r="C51" s="397" t="s">
        <v>46</v>
      </c>
      <c r="D51" s="397" t="s">
        <v>47</v>
      </c>
      <c r="E51" s="397" t="s">
        <v>108</v>
      </c>
      <c r="F51" s="552" t="s">
        <v>107</v>
      </c>
      <c r="G51" s="552"/>
      <c r="H51" s="552"/>
      <c r="I51" s="552"/>
      <c r="J51" s="552"/>
      <c r="K51" s="552"/>
      <c r="L51" s="552"/>
      <c r="M51" s="553"/>
      <c r="N51" s="67" t="s">
        <v>112</v>
      </c>
      <c r="O51" s="397" t="s">
        <v>46</v>
      </c>
      <c r="P51" s="554" t="s">
        <v>47</v>
      </c>
      <c r="Q51" s="555"/>
      <c r="R51" s="554" t="s">
        <v>38</v>
      </c>
      <c r="S51" s="556"/>
      <c r="T51" s="556"/>
      <c r="U51" s="555"/>
      <c r="V51" s="554" t="s">
        <v>48</v>
      </c>
      <c r="W51" s="556"/>
      <c r="X51" s="556"/>
      <c r="Y51" s="556"/>
      <c r="Z51" s="556"/>
      <c r="AA51" s="556"/>
      <c r="AB51" s="556"/>
      <c r="AC51" s="556"/>
      <c r="AD51" s="557"/>
    </row>
    <row r="52" spans="1:32" ht="27" customHeight="1">
      <c r="A52" s="524" t="s">
        <v>114</v>
      </c>
      <c r="B52" s="525"/>
      <c r="C52" s="399" t="s">
        <v>131</v>
      </c>
      <c r="D52" s="399" t="s">
        <v>142</v>
      </c>
      <c r="E52" s="399" t="s">
        <v>145</v>
      </c>
      <c r="F52" s="517" t="s">
        <v>579</v>
      </c>
      <c r="G52" s="518"/>
      <c r="H52" s="518"/>
      <c r="I52" s="518"/>
      <c r="J52" s="518"/>
      <c r="K52" s="518"/>
      <c r="L52" s="518"/>
      <c r="M52" s="526"/>
      <c r="N52" s="398" t="s">
        <v>124</v>
      </c>
      <c r="O52" s="403" t="s">
        <v>132</v>
      </c>
      <c r="P52" s="536" t="s">
        <v>183</v>
      </c>
      <c r="Q52" s="537"/>
      <c r="R52" s="536" t="s">
        <v>300</v>
      </c>
      <c r="S52" s="538"/>
      <c r="T52" s="538"/>
      <c r="U52" s="537"/>
      <c r="V52" s="503" t="s">
        <v>157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124</v>
      </c>
      <c r="B53" s="525"/>
      <c r="C53" s="399" t="s">
        <v>132</v>
      </c>
      <c r="D53" s="399" t="s">
        <v>183</v>
      </c>
      <c r="E53" s="399" t="s">
        <v>300</v>
      </c>
      <c r="F53" s="517" t="s">
        <v>580</v>
      </c>
      <c r="G53" s="518"/>
      <c r="H53" s="518"/>
      <c r="I53" s="518"/>
      <c r="J53" s="518"/>
      <c r="K53" s="518"/>
      <c r="L53" s="518"/>
      <c r="M53" s="526"/>
      <c r="N53" s="398" t="s">
        <v>114</v>
      </c>
      <c r="O53" s="403" t="s">
        <v>234</v>
      </c>
      <c r="P53" s="536" t="s">
        <v>122</v>
      </c>
      <c r="Q53" s="537"/>
      <c r="R53" s="536" t="s">
        <v>147</v>
      </c>
      <c r="S53" s="538"/>
      <c r="T53" s="538"/>
      <c r="U53" s="537"/>
      <c r="V53" s="503" t="s">
        <v>296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114</v>
      </c>
      <c r="B54" s="525"/>
      <c r="C54" s="399" t="s">
        <v>150</v>
      </c>
      <c r="D54" s="399" t="s">
        <v>117</v>
      </c>
      <c r="E54" s="399" t="s">
        <v>144</v>
      </c>
      <c r="F54" s="517" t="s">
        <v>581</v>
      </c>
      <c r="G54" s="518"/>
      <c r="H54" s="518"/>
      <c r="I54" s="518"/>
      <c r="J54" s="518"/>
      <c r="K54" s="518"/>
      <c r="L54" s="518"/>
      <c r="M54" s="526"/>
      <c r="N54" s="398" t="s">
        <v>114</v>
      </c>
      <c r="O54" s="403" t="s">
        <v>150</v>
      </c>
      <c r="P54" s="536" t="s">
        <v>117</v>
      </c>
      <c r="Q54" s="537"/>
      <c r="R54" s="536" t="s">
        <v>144</v>
      </c>
      <c r="S54" s="538"/>
      <c r="T54" s="538"/>
      <c r="U54" s="537"/>
      <c r="V54" s="503" t="s">
        <v>157</v>
      </c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128</v>
      </c>
      <c r="B55" s="525"/>
      <c r="C55" s="399" t="s">
        <v>179</v>
      </c>
      <c r="D55" s="399" t="s">
        <v>117</v>
      </c>
      <c r="E55" s="399" t="s">
        <v>189</v>
      </c>
      <c r="F55" s="517" t="s">
        <v>582</v>
      </c>
      <c r="G55" s="518"/>
      <c r="H55" s="518"/>
      <c r="I55" s="518"/>
      <c r="J55" s="518"/>
      <c r="K55" s="518"/>
      <c r="L55" s="518"/>
      <c r="M55" s="526"/>
      <c r="N55" s="398" t="s">
        <v>124</v>
      </c>
      <c r="O55" s="403" t="s">
        <v>155</v>
      </c>
      <c r="P55" s="536" t="s">
        <v>125</v>
      </c>
      <c r="Q55" s="537"/>
      <c r="R55" s="536" t="s">
        <v>585</v>
      </c>
      <c r="S55" s="538"/>
      <c r="T55" s="538"/>
      <c r="U55" s="537"/>
      <c r="V55" s="503" t="s">
        <v>157</v>
      </c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 t="s">
        <v>381</v>
      </c>
      <c r="B56" s="525"/>
      <c r="C56" s="399" t="s">
        <v>217</v>
      </c>
      <c r="D56" s="399"/>
      <c r="E56" s="399" t="s">
        <v>494</v>
      </c>
      <c r="F56" s="517" t="s">
        <v>583</v>
      </c>
      <c r="G56" s="518"/>
      <c r="H56" s="518"/>
      <c r="I56" s="518"/>
      <c r="J56" s="518"/>
      <c r="K56" s="518"/>
      <c r="L56" s="518"/>
      <c r="M56" s="526"/>
      <c r="N56" s="398"/>
      <c r="O56" s="403"/>
      <c r="P56" s="536"/>
      <c r="Q56" s="537"/>
      <c r="R56" s="536"/>
      <c r="S56" s="538"/>
      <c r="T56" s="538"/>
      <c r="U56" s="537"/>
      <c r="V56" s="503"/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/>
      <c r="B57" s="525"/>
      <c r="C57" s="399"/>
      <c r="D57" s="399"/>
      <c r="E57" s="399"/>
      <c r="F57" s="517"/>
      <c r="G57" s="518"/>
      <c r="H57" s="518"/>
      <c r="I57" s="518"/>
      <c r="J57" s="518"/>
      <c r="K57" s="518"/>
      <c r="L57" s="518"/>
      <c r="M57" s="526"/>
      <c r="N57" s="398"/>
      <c r="O57" s="403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/>
      <c r="B58" s="525"/>
      <c r="C58" s="399"/>
      <c r="D58" s="399"/>
      <c r="E58" s="399"/>
      <c r="F58" s="517"/>
      <c r="G58" s="518"/>
      <c r="H58" s="518"/>
      <c r="I58" s="518"/>
      <c r="J58" s="518"/>
      <c r="K58" s="518"/>
      <c r="L58" s="518"/>
      <c r="M58" s="526"/>
      <c r="N58" s="398"/>
      <c r="O58" s="403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/>
      <c r="B59" s="525"/>
      <c r="C59" s="399"/>
      <c r="D59" s="399"/>
      <c r="E59" s="399"/>
      <c r="F59" s="517"/>
      <c r="G59" s="518"/>
      <c r="H59" s="518"/>
      <c r="I59" s="518"/>
      <c r="J59" s="518"/>
      <c r="K59" s="518"/>
      <c r="L59" s="518"/>
      <c r="M59" s="526"/>
      <c r="N59" s="398"/>
      <c r="O59" s="403"/>
      <c r="P59" s="536"/>
      <c r="Q59" s="537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</row>
    <row r="60" spans="1:32" ht="27" customHeight="1">
      <c r="A60" s="524"/>
      <c r="B60" s="525"/>
      <c r="C60" s="399"/>
      <c r="D60" s="399"/>
      <c r="E60" s="399"/>
      <c r="F60" s="517"/>
      <c r="G60" s="518"/>
      <c r="H60" s="518"/>
      <c r="I60" s="518"/>
      <c r="J60" s="518"/>
      <c r="K60" s="518"/>
      <c r="L60" s="518"/>
      <c r="M60" s="526"/>
      <c r="N60" s="398"/>
      <c r="O60" s="403"/>
      <c r="P60" s="525"/>
      <c r="Q60" s="525"/>
      <c r="R60" s="525"/>
      <c r="S60" s="525"/>
      <c r="T60" s="525"/>
      <c r="U60" s="525"/>
      <c r="V60" s="503"/>
      <c r="W60" s="503"/>
      <c r="X60" s="503"/>
      <c r="Y60" s="503"/>
      <c r="Z60" s="503"/>
      <c r="AA60" s="503"/>
      <c r="AB60" s="503"/>
      <c r="AC60" s="503"/>
      <c r="AD60" s="527"/>
      <c r="AF60" s="87">
        <f>8*3000</f>
        <v>24000</v>
      </c>
    </row>
    <row r="61" spans="1:32" ht="27" customHeight="1" thickBot="1">
      <c r="A61" s="528"/>
      <c r="B61" s="529"/>
      <c r="C61" s="400"/>
      <c r="D61" s="400"/>
      <c r="E61" s="400"/>
      <c r="F61" s="530"/>
      <c r="G61" s="531"/>
      <c r="H61" s="531"/>
      <c r="I61" s="531"/>
      <c r="J61" s="531"/>
      <c r="K61" s="531"/>
      <c r="L61" s="531"/>
      <c r="M61" s="532"/>
      <c r="N61" s="124"/>
      <c r="O61" s="114"/>
      <c r="P61" s="533"/>
      <c r="Q61" s="533"/>
      <c r="R61" s="533"/>
      <c r="S61" s="533"/>
      <c r="T61" s="533"/>
      <c r="U61" s="533"/>
      <c r="V61" s="534"/>
      <c r="W61" s="534"/>
      <c r="X61" s="534"/>
      <c r="Y61" s="534"/>
      <c r="Z61" s="534"/>
      <c r="AA61" s="534"/>
      <c r="AB61" s="534"/>
      <c r="AC61" s="534"/>
      <c r="AD61" s="535"/>
      <c r="AF61" s="87">
        <f>16*3000</f>
        <v>48000</v>
      </c>
    </row>
    <row r="62" spans="1:32" ht="27.75" thickBot="1">
      <c r="A62" s="522" t="s">
        <v>586</v>
      </c>
      <c r="B62" s="522"/>
      <c r="C62" s="522"/>
      <c r="D62" s="522"/>
      <c r="E62" s="522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523" t="s">
        <v>113</v>
      </c>
      <c r="B63" s="515"/>
      <c r="C63" s="401" t="s">
        <v>2</v>
      </c>
      <c r="D63" s="401" t="s">
        <v>37</v>
      </c>
      <c r="E63" s="401" t="s">
        <v>3</v>
      </c>
      <c r="F63" s="515" t="s">
        <v>110</v>
      </c>
      <c r="G63" s="515"/>
      <c r="H63" s="515"/>
      <c r="I63" s="515"/>
      <c r="J63" s="515"/>
      <c r="K63" s="515" t="s">
        <v>39</v>
      </c>
      <c r="L63" s="515"/>
      <c r="M63" s="401" t="s">
        <v>40</v>
      </c>
      <c r="N63" s="515" t="s">
        <v>41</v>
      </c>
      <c r="O63" s="515"/>
      <c r="P63" s="512" t="s">
        <v>42</v>
      </c>
      <c r="Q63" s="514"/>
      <c r="R63" s="512" t="s">
        <v>43</v>
      </c>
      <c r="S63" s="513"/>
      <c r="T63" s="513"/>
      <c r="U63" s="513"/>
      <c r="V63" s="513"/>
      <c r="W63" s="513"/>
      <c r="X63" s="513"/>
      <c r="Y63" s="513"/>
      <c r="Z63" s="513"/>
      <c r="AA63" s="514"/>
      <c r="AB63" s="515" t="s">
        <v>44</v>
      </c>
      <c r="AC63" s="515"/>
      <c r="AD63" s="516"/>
      <c r="AF63" s="87">
        <f>SUM(AF60:AF62)</f>
        <v>96000</v>
      </c>
    </row>
    <row r="64" spans="1:32" ht="25.5" customHeight="1">
      <c r="A64" s="498">
        <v>1</v>
      </c>
      <c r="B64" s="499"/>
      <c r="C64" s="117" t="s">
        <v>114</v>
      </c>
      <c r="D64" s="405"/>
      <c r="E64" s="402" t="s">
        <v>117</v>
      </c>
      <c r="F64" s="500" t="s">
        <v>410</v>
      </c>
      <c r="G64" s="492"/>
      <c r="H64" s="492"/>
      <c r="I64" s="492"/>
      <c r="J64" s="492"/>
      <c r="K64" s="492" t="s">
        <v>259</v>
      </c>
      <c r="L64" s="492"/>
      <c r="M64" s="51" t="s">
        <v>162</v>
      </c>
      <c r="N64" s="501" t="s">
        <v>179</v>
      </c>
      <c r="O64" s="501"/>
      <c r="P64" s="502">
        <v>100</v>
      </c>
      <c r="Q64" s="502"/>
      <c r="R64" s="503"/>
      <c r="S64" s="503"/>
      <c r="T64" s="503"/>
      <c r="U64" s="503"/>
      <c r="V64" s="503"/>
      <c r="W64" s="503"/>
      <c r="X64" s="503"/>
      <c r="Y64" s="503"/>
      <c r="Z64" s="503"/>
      <c r="AA64" s="503"/>
      <c r="AB64" s="507"/>
      <c r="AC64" s="520"/>
      <c r="AD64" s="521"/>
      <c r="AF64" s="50"/>
    </row>
    <row r="65" spans="1:32" ht="25.5" customHeight="1">
      <c r="A65" s="498">
        <v>2</v>
      </c>
      <c r="B65" s="499"/>
      <c r="C65" s="117" t="s">
        <v>114</v>
      </c>
      <c r="D65" s="405"/>
      <c r="E65" s="402" t="s">
        <v>395</v>
      </c>
      <c r="F65" s="504" t="s">
        <v>396</v>
      </c>
      <c r="G65" s="505"/>
      <c r="H65" s="505"/>
      <c r="I65" s="505"/>
      <c r="J65" s="506"/>
      <c r="K65" s="507" t="s">
        <v>259</v>
      </c>
      <c r="L65" s="499"/>
      <c r="M65" s="51" t="s">
        <v>162</v>
      </c>
      <c r="N65" s="501" t="s">
        <v>179</v>
      </c>
      <c r="O65" s="501"/>
      <c r="P65" s="502">
        <v>60</v>
      </c>
      <c r="Q65" s="502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3</v>
      </c>
      <c r="B66" s="499"/>
      <c r="C66" s="117"/>
      <c r="D66" s="405"/>
      <c r="E66" s="402"/>
      <c r="F66" s="504"/>
      <c r="G66" s="505"/>
      <c r="H66" s="505"/>
      <c r="I66" s="505"/>
      <c r="J66" s="506"/>
      <c r="K66" s="507"/>
      <c r="L66" s="499"/>
      <c r="M66" s="51"/>
      <c r="N66" s="501"/>
      <c r="O66" s="501"/>
      <c r="P66" s="502"/>
      <c r="Q66" s="502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4</v>
      </c>
      <c r="B67" s="499"/>
      <c r="C67" s="117"/>
      <c r="D67" s="405"/>
      <c r="E67" s="402"/>
      <c r="F67" s="504"/>
      <c r="G67" s="505"/>
      <c r="H67" s="505"/>
      <c r="I67" s="505"/>
      <c r="J67" s="506"/>
      <c r="K67" s="507"/>
      <c r="L67" s="499"/>
      <c r="M67" s="51"/>
      <c r="N67" s="501"/>
      <c r="O67" s="501"/>
      <c r="P67" s="502"/>
      <c r="Q67" s="502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5</v>
      </c>
      <c r="B68" s="499"/>
      <c r="C68" s="117"/>
      <c r="D68" s="405"/>
      <c r="E68" s="402"/>
      <c r="F68" s="504"/>
      <c r="G68" s="505"/>
      <c r="H68" s="505"/>
      <c r="I68" s="505"/>
      <c r="J68" s="506"/>
      <c r="K68" s="507"/>
      <c r="L68" s="499"/>
      <c r="M68" s="51"/>
      <c r="N68" s="508"/>
      <c r="O68" s="509"/>
      <c r="P68" s="510"/>
      <c r="Q68" s="511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6</v>
      </c>
      <c r="B69" s="499"/>
      <c r="C69" s="117"/>
      <c r="D69" s="405"/>
      <c r="E69" s="402"/>
      <c r="F69" s="500"/>
      <c r="G69" s="492"/>
      <c r="H69" s="492"/>
      <c r="I69" s="492"/>
      <c r="J69" s="492"/>
      <c r="K69" s="492"/>
      <c r="L69" s="492"/>
      <c r="M69" s="51"/>
      <c r="N69" s="508"/>
      <c r="O69" s="509"/>
      <c r="P69" s="510"/>
      <c r="Q69" s="511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7</v>
      </c>
      <c r="B70" s="499"/>
      <c r="C70" s="117"/>
      <c r="D70" s="405"/>
      <c r="E70" s="402"/>
      <c r="F70" s="500"/>
      <c r="G70" s="492"/>
      <c r="H70" s="492"/>
      <c r="I70" s="492"/>
      <c r="J70" s="492"/>
      <c r="K70" s="492"/>
      <c r="L70" s="492"/>
      <c r="M70" s="51"/>
      <c r="N70" s="508"/>
      <c r="O70" s="509"/>
      <c r="P70" s="510"/>
      <c r="Q70" s="511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5.5" customHeight="1">
      <c r="A71" s="498">
        <v>8</v>
      </c>
      <c r="B71" s="499"/>
      <c r="C71" s="117"/>
      <c r="D71" s="405"/>
      <c r="E71" s="402"/>
      <c r="F71" s="500"/>
      <c r="G71" s="492"/>
      <c r="H71" s="492"/>
      <c r="I71" s="492"/>
      <c r="J71" s="492"/>
      <c r="K71" s="492"/>
      <c r="L71" s="492"/>
      <c r="M71" s="51"/>
      <c r="N71" s="508"/>
      <c r="O71" s="509"/>
      <c r="P71" s="510"/>
      <c r="Q71" s="511"/>
      <c r="R71" s="503"/>
      <c r="S71" s="503"/>
      <c r="T71" s="503"/>
      <c r="U71" s="503"/>
      <c r="V71" s="503"/>
      <c r="W71" s="503"/>
      <c r="X71" s="503"/>
      <c r="Y71" s="503"/>
      <c r="Z71" s="503"/>
      <c r="AA71" s="503"/>
      <c r="AB71" s="492"/>
      <c r="AC71" s="492"/>
      <c r="AD71" s="493"/>
      <c r="AF71" s="50"/>
    </row>
    <row r="72" spans="1:32" ht="26.25" customHeight="1" thickBot="1">
      <c r="A72" s="472" t="s">
        <v>587</v>
      </c>
      <c r="B72" s="472"/>
      <c r="C72" s="472"/>
      <c r="D72" s="472"/>
      <c r="E72" s="472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73" t="s">
        <v>113</v>
      </c>
      <c r="B73" s="474"/>
      <c r="C73" s="404" t="s">
        <v>2</v>
      </c>
      <c r="D73" s="404" t="s">
        <v>37</v>
      </c>
      <c r="E73" s="404" t="s">
        <v>3</v>
      </c>
      <c r="F73" s="474" t="s">
        <v>38</v>
      </c>
      <c r="G73" s="474"/>
      <c r="H73" s="474"/>
      <c r="I73" s="474"/>
      <c r="J73" s="474"/>
      <c r="K73" s="494" t="s">
        <v>58</v>
      </c>
      <c r="L73" s="495"/>
      <c r="M73" s="495"/>
      <c r="N73" s="495"/>
      <c r="O73" s="495"/>
      <c r="P73" s="495"/>
      <c r="Q73" s="495"/>
      <c r="R73" s="495"/>
      <c r="S73" s="496"/>
      <c r="T73" s="474" t="s">
        <v>49</v>
      </c>
      <c r="U73" s="474"/>
      <c r="V73" s="494" t="s">
        <v>50</v>
      </c>
      <c r="W73" s="496"/>
      <c r="X73" s="495" t="s">
        <v>51</v>
      </c>
      <c r="Y73" s="495"/>
      <c r="Z73" s="495"/>
      <c r="AA73" s="495"/>
      <c r="AB73" s="495"/>
      <c r="AC73" s="495"/>
      <c r="AD73" s="497"/>
      <c r="AF73" s="50"/>
    </row>
    <row r="74" spans="1:32" ht="33.75" customHeight="1">
      <c r="A74" s="466">
        <v>1</v>
      </c>
      <c r="B74" s="467"/>
      <c r="C74" s="406" t="s">
        <v>114</v>
      </c>
      <c r="D74" s="406"/>
      <c r="E74" s="65" t="s">
        <v>119</v>
      </c>
      <c r="F74" s="481" t="s">
        <v>118</v>
      </c>
      <c r="G74" s="482"/>
      <c r="H74" s="482"/>
      <c r="I74" s="482"/>
      <c r="J74" s="483"/>
      <c r="K74" s="484" t="s">
        <v>130</v>
      </c>
      <c r="L74" s="485"/>
      <c r="M74" s="485"/>
      <c r="N74" s="485"/>
      <c r="O74" s="485"/>
      <c r="P74" s="485"/>
      <c r="Q74" s="485"/>
      <c r="R74" s="485"/>
      <c r="S74" s="486"/>
      <c r="T74" s="487">
        <v>43675</v>
      </c>
      <c r="U74" s="488"/>
      <c r="V74" s="489"/>
      <c r="W74" s="489"/>
      <c r="X74" s="490"/>
      <c r="Y74" s="490"/>
      <c r="Z74" s="490"/>
      <c r="AA74" s="490"/>
      <c r="AB74" s="490"/>
      <c r="AC74" s="490"/>
      <c r="AD74" s="491"/>
      <c r="AF74" s="50"/>
    </row>
    <row r="75" spans="1:32" ht="30" customHeight="1">
      <c r="A75" s="459">
        <f>A74+1</f>
        <v>2</v>
      </c>
      <c r="B75" s="460"/>
      <c r="C75" s="405"/>
      <c r="D75" s="405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ref="A76:A82" si="24">A75+1</f>
        <v>3</v>
      </c>
      <c r="B76" s="460"/>
      <c r="C76" s="405"/>
      <c r="D76" s="405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24"/>
        <v>4</v>
      </c>
      <c r="B77" s="460"/>
      <c r="C77" s="405"/>
      <c r="D77" s="405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24"/>
        <v>5</v>
      </c>
      <c r="B78" s="460"/>
      <c r="C78" s="405"/>
      <c r="D78" s="405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24"/>
        <v>6</v>
      </c>
      <c r="B79" s="460"/>
      <c r="C79" s="405"/>
      <c r="D79" s="405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24"/>
        <v>7</v>
      </c>
      <c r="B80" s="460"/>
      <c r="C80" s="405"/>
      <c r="D80" s="405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24"/>
        <v>8</v>
      </c>
      <c r="B81" s="460"/>
      <c r="C81" s="405"/>
      <c r="D81" s="405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0" customHeight="1">
      <c r="A82" s="459">
        <f t="shared" si="24"/>
        <v>9</v>
      </c>
      <c r="B82" s="460"/>
      <c r="C82" s="405"/>
      <c r="D82" s="405"/>
      <c r="E82" s="32"/>
      <c r="F82" s="460"/>
      <c r="G82" s="460"/>
      <c r="H82" s="460"/>
      <c r="I82" s="460"/>
      <c r="J82" s="460"/>
      <c r="K82" s="475"/>
      <c r="L82" s="476"/>
      <c r="M82" s="476"/>
      <c r="N82" s="476"/>
      <c r="O82" s="476"/>
      <c r="P82" s="476"/>
      <c r="Q82" s="476"/>
      <c r="R82" s="476"/>
      <c r="S82" s="477"/>
      <c r="T82" s="478"/>
      <c r="U82" s="478"/>
      <c r="V82" s="478"/>
      <c r="W82" s="478"/>
      <c r="X82" s="479"/>
      <c r="Y82" s="479"/>
      <c r="Z82" s="479"/>
      <c r="AA82" s="479"/>
      <c r="AB82" s="479"/>
      <c r="AC82" s="479"/>
      <c r="AD82" s="480"/>
      <c r="AF82" s="50"/>
    </row>
    <row r="83" spans="1:32" ht="36" thickBot="1">
      <c r="A83" s="472" t="s">
        <v>588</v>
      </c>
      <c r="B83" s="472"/>
      <c r="C83" s="472"/>
      <c r="D83" s="472"/>
      <c r="E83" s="472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73" t="s">
        <v>113</v>
      </c>
      <c r="B84" s="474"/>
      <c r="C84" s="464" t="s">
        <v>52</v>
      </c>
      <c r="D84" s="464"/>
      <c r="E84" s="464" t="s">
        <v>53</v>
      </c>
      <c r="F84" s="464"/>
      <c r="G84" s="464"/>
      <c r="H84" s="464"/>
      <c r="I84" s="464"/>
      <c r="J84" s="464"/>
      <c r="K84" s="464" t="s">
        <v>54</v>
      </c>
      <c r="L84" s="464"/>
      <c r="M84" s="464"/>
      <c r="N84" s="464"/>
      <c r="O84" s="464"/>
      <c r="P84" s="464"/>
      <c r="Q84" s="464"/>
      <c r="R84" s="464"/>
      <c r="S84" s="464"/>
      <c r="T84" s="464" t="s">
        <v>55</v>
      </c>
      <c r="U84" s="464"/>
      <c r="V84" s="464" t="s">
        <v>56</v>
      </c>
      <c r="W84" s="464"/>
      <c r="X84" s="464"/>
      <c r="Y84" s="464" t="s">
        <v>51</v>
      </c>
      <c r="Z84" s="464"/>
      <c r="AA84" s="464"/>
      <c r="AB84" s="464"/>
      <c r="AC84" s="464"/>
      <c r="AD84" s="465"/>
      <c r="AF84" s="50"/>
    </row>
    <row r="85" spans="1:32" ht="30.75" customHeight="1">
      <c r="A85" s="466">
        <v>1</v>
      </c>
      <c r="B85" s="467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8"/>
      <c r="U85" s="468"/>
      <c r="V85" s="469"/>
      <c r="W85" s="469"/>
      <c r="X85" s="469"/>
      <c r="Y85" s="470"/>
      <c r="Z85" s="470"/>
      <c r="AA85" s="470"/>
      <c r="AB85" s="470"/>
      <c r="AC85" s="470"/>
      <c r="AD85" s="471"/>
      <c r="AF85" s="50"/>
    </row>
    <row r="86" spans="1:32" ht="30.75" customHeight="1">
      <c r="A86" s="459">
        <v>2</v>
      </c>
      <c r="B86" s="460"/>
      <c r="C86" s="461"/>
      <c r="D86" s="461"/>
      <c r="E86" s="461"/>
      <c r="F86" s="461"/>
      <c r="G86" s="461"/>
      <c r="H86" s="461"/>
      <c r="I86" s="461"/>
      <c r="J86" s="461"/>
      <c r="K86" s="461"/>
      <c r="L86" s="461"/>
      <c r="M86" s="461"/>
      <c r="N86" s="461"/>
      <c r="O86" s="461"/>
      <c r="P86" s="461"/>
      <c r="Q86" s="461"/>
      <c r="R86" s="461"/>
      <c r="S86" s="461"/>
      <c r="T86" s="462"/>
      <c r="U86" s="462"/>
      <c r="V86" s="463"/>
      <c r="W86" s="463"/>
      <c r="X86" s="463"/>
      <c r="Y86" s="452"/>
      <c r="Z86" s="452"/>
      <c r="AA86" s="452"/>
      <c r="AB86" s="452"/>
      <c r="AC86" s="452"/>
      <c r="AD86" s="453"/>
      <c r="AF86" s="50"/>
    </row>
    <row r="87" spans="1:32" ht="30.75" customHeight="1" thickBot="1">
      <c r="A87" s="454">
        <v>3</v>
      </c>
      <c r="B87" s="455"/>
      <c r="C87" s="456"/>
      <c r="D87" s="456"/>
      <c r="E87" s="456"/>
      <c r="F87" s="456"/>
      <c r="G87" s="456"/>
      <c r="H87" s="456"/>
      <c r="I87" s="456"/>
      <c r="J87" s="456"/>
      <c r="K87" s="456"/>
      <c r="L87" s="456"/>
      <c r="M87" s="456"/>
      <c r="N87" s="456"/>
      <c r="O87" s="456"/>
      <c r="P87" s="456"/>
      <c r="Q87" s="456"/>
      <c r="R87" s="456"/>
      <c r="S87" s="456"/>
      <c r="T87" s="456"/>
      <c r="U87" s="456"/>
      <c r="V87" s="456"/>
      <c r="W87" s="456"/>
      <c r="X87" s="456"/>
      <c r="Y87" s="457"/>
      <c r="Z87" s="457"/>
      <c r="AA87" s="457"/>
      <c r="AB87" s="457"/>
      <c r="AC87" s="457"/>
      <c r="AD87" s="458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9B46-97C3-42F9-9F11-013C2E163BD3}">
  <dimension ref="A1:AF86"/>
  <sheetViews>
    <sheetView zoomScale="72" zoomScaleNormal="72" zoomScaleSheetLayoutView="70" workbookViewId="0">
      <selection activeCell="K78" sqref="K78:S7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589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417" t="s">
        <v>17</v>
      </c>
      <c r="L5" s="417" t="s">
        <v>18</v>
      </c>
      <c r="M5" s="417" t="s">
        <v>19</v>
      </c>
      <c r="N5" s="41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0.53055555555555545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0.53055555555555545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568</v>
      </c>
      <c r="E8" s="53" t="s">
        <v>567</v>
      </c>
      <c r="F8" s="30" t="s">
        <v>141</v>
      </c>
      <c r="G8" s="33">
        <v>2</v>
      </c>
      <c r="H8" s="35">
        <v>24</v>
      </c>
      <c r="I8" s="7">
        <v>44000</v>
      </c>
      <c r="J8" s="14">
        <v>12682</v>
      </c>
      <c r="K8" s="15">
        <f>L8+8046</f>
        <v>20728</v>
      </c>
      <c r="L8" s="15">
        <f>2732*2+3609*2</f>
        <v>12682</v>
      </c>
      <c r="M8" s="15">
        <f t="shared" si="1"/>
        <v>12682</v>
      </c>
      <c r="N8" s="15">
        <v>0</v>
      </c>
      <c r="O8" s="58">
        <f t="shared" si="2"/>
        <v>0</v>
      </c>
      <c r="P8" s="39">
        <f t="shared" si="3"/>
        <v>23</v>
      </c>
      <c r="Q8" s="40">
        <f t="shared" si="4"/>
        <v>1</v>
      </c>
      <c r="R8" s="7"/>
      <c r="S8" s="6">
        <v>1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0.95833333333333337</v>
      </c>
      <c r="AD8" s="10">
        <f t="shared" si="7"/>
        <v>0.95833333333333337</v>
      </c>
      <c r="AE8" s="36">
        <f t="shared" si="8"/>
        <v>0.53055555555555545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4959</v>
      </c>
      <c r="K9" s="15">
        <f>L9+1036+2500+4639+2951+2392+2902+2784+3566+4110+4299+4289+1910+4734+4854+3892+4611+3795+5160+1762+3528+5214+2558+4569+2950+2156+1926+2008</f>
        <v>96054</v>
      </c>
      <c r="L9" s="15">
        <f>2437+2522</f>
        <v>4959</v>
      </c>
      <c r="M9" s="15">
        <f t="shared" si="1"/>
        <v>4959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0.53055555555555545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125</v>
      </c>
      <c r="E10" s="53" t="s">
        <v>585</v>
      </c>
      <c r="F10" s="30" t="s">
        <v>141</v>
      </c>
      <c r="G10" s="33">
        <v>1</v>
      </c>
      <c r="H10" s="35">
        <v>24</v>
      </c>
      <c r="I10" s="7">
        <v>19000</v>
      </c>
      <c r="J10" s="5">
        <v>4291</v>
      </c>
      <c r="K10" s="15">
        <f>L10</f>
        <v>0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>AC10*AB10*(1-O10)</f>
        <v>0</v>
      </c>
      <c r="AE10" s="36">
        <f t="shared" si="8"/>
        <v>0.53055555555555545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300</v>
      </c>
      <c r="F11" s="30" t="s">
        <v>126</v>
      </c>
      <c r="G11" s="33">
        <v>1</v>
      </c>
      <c r="H11" s="35">
        <v>24</v>
      </c>
      <c r="I11" s="7">
        <v>37000</v>
      </c>
      <c r="J11" s="5">
        <v>2486</v>
      </c>
      <c r="K11" s="15">
        <f>L11+1500+654+1383+1768</f>
        <v>7791</v>
      </c>
      <c r="L11" s="15">
        <f>200+2286</f>
        <v>2486</v>
      </c>
      <c r="M11" s="15">
        <f t="shared" si="1"/>
        <v>2486</v>
      </c>
      <c r="N11" s="15">
        <v>0</v>
      </c>
      <c r="O11" s="58">
        <f t="shared" si="2"/>
        <v>0</v>
      </c>
      <c r="P11" s="39">
        <f t="shared" si="3"/>
        <v>12</v>
      </c>
      <c r="Q11" s="40">
        <f t="shared" si="4"/>
        <v>12</v>
      </c>
      <c r="R11" s="7"/>
      <c r="S11" s="6">
        <v>12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0.5</v>
      </c>
      <c r="AD11" s="10">
        <f>AC11*AB11*(1-O11)</f>
        <v>0.5</v>
      </c>
      <c r="AE11" s="36">
        <f t="shared" si="8"/>
        <v>0.53055555555555545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144</v>
      </c>
      <c r="F12" s="30" t="s">
        <v>121</v>
      </c>
      <c r="G12" s="33">
        <v>1</v>
      </c>
      <c r="H12" s="35">
        <v>24</v>
      </c>
      <c r="I12" s="7">
        <v>70000</v>
      </c>
      <c r="J12" s="14">
        <v>1943</v>
      </c>
      <c r="K12" s="15">
        <f>L12+2036+3193+2673+3958+1875+401+3155+4199+2859+2339+1952+1208+2933+3415+1960+4032+870+1602+872+2860+3148+2498+463+1324+1687</f>
        <v>59455</v>
      </c>
      <c r="L12" s="15">
        <f>1943</f>
        <v>1943</v>
      </c>
      <c r="M12" s="15">
        <f t="shared" si="1"/>
        <v>1943</v>
      </c>
      <c r="N12" s="15">
        <v>0</v>
      </c>
      <c r="O12" s="58">
        <f t="shared" si="2"/>
        <v>0</v>
      </c>
      <c r="P12" s="39">
        <f t="shared" si="3"/>
        <v>10</v>
      </c>
      <c r="Q12" s="40">
        <f t="shared" si="4"/>
        <v>14</v>
      </c>
      <c r="R12" s="7"/>
      <c r="S12" s="6">
        <v>14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0.41666666666666669</v>
      </c>
      <c r="AD12" s="10">
        <f t="shared" ref="AD12:AD13" si="10">AC12*AB12*(1-O12)</f>
        <v>0.41666666666666669</v>
      </c>
      <c r="AE12" s="36">
        <f t="shared" si="8"/>
        <v>0.53055555555555545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128</v>
      </c>
      <c r="D13" s="52" t="s">
        <v>117</v>
      </c>
      <c r="E13" s="53" t="s">
        <v>189</v>
      </c>
      <c r="F13" s="30" t="s">
        <v>190</v>
      </c>
      <c r="G13" s="33">
        <v>4</v>
      </c>
      <c r="H13" s="35">
        <v>24</v>
      </c>
      <c r="I13" s="7">
        <v>70000</v>
      </c>
      <c r="J13" s="14">
        <v>18976</v>
      </c>
      <c r="K13" s="15">
        <f>L13+9832</f>
        <v>28808</v>
      </c>
      <c r="L13" s="15">
        <f>2618*4+2126*4</f>
        <v>18976</v>
      </c>
      <c r="M13" s="15">
        <f t="shared" si="1"/>
        <v>18976</v>
      </c>
      <c r="N13" s="15">
        <v>0</v>
      </c>
      <c r="O13" s="58">
        <f t="shared" si="2"/>
        <v>0</v>
      </c>
      <c r="P13" s="39">
        <f t="shared" si="3"/>
        <v>22</v>
      </c>
      <c r="Q13" s="40">
        <f t="shared" si="4"/>
        <v>2</v>
      </c>
      <c r="R13" s="7"/>
      <c r="S13" s="6">
        <v>2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0.91666666666666663</v>
      </c>
      <c r="AD13" s="10">
        <f t="shared" si="10"/>
        <v>0.91666666666666663</v>
      </c>
      <c r="AE13" s="36">
        <f t="shared" si="8"/>
        <v>0.53055555555555545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128</v>
      </c>
      <c r="D14" s="52"/>
      <c r="E14" s="53" t="s">
        <v>558</v>
      </c>
      <c r="F14" s="30" t="s">
        <v>190</v>
      </c>
      <c r="G14" s="33" t="s">
        <v>559</v>
      </c>
      <c r="H14" s="35">
        <v>24</v>
      </c>
      <c r="I14" s="7">
        <v>2000</v>
      </c>
      <c r="J14" s="5">
        <v>2296</v>
      </c>
      <c r="K14" s="15">
        <f>L14+2296</f>
        <v>2296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0.53055555555555545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381</v>
      </c>
      <c r="D15" s="52"/>
      <c r="E15" s="53" t="s">
        <v>494</v>
      </c>
      <c r="F15" s="12" t="s">
        <v>495</v>
      </c>
      <c r="G15" s="12">
        <v>7</v>
      </c>
      <c r="H15" s="13">
        <v>24</v>
      </c>
      <c r="I15" s="31">
        <v>20000</v>
      </c>
      <c r="J15" s="14">
        <v>34100</v>
      </c>
      <c r="K15" s="15">
        <f>L15+4736+32276</f>
        <v>71112</v>
      </c>
      <c r="L15" s="15">
        <f>4126*4+4399*4</f>
        <v>34100</v>
      </c>
      <c r="M15" s="15">
        <f t="shared" si="1"/>
        <v>34100</v>
      </c>
      <c r="N15" s="15">
        <v>0</v>
      </c>
      <c r="O15" s="58">
        <f t="shared" si="2"/>
        <v>0</v>
      </c>
      <c r="P15" s="39">
        <f t="shared" si="3"/>
        <v>24</v>
      </c>
      <c r="Q15" s="40">
        <f t="shared" si="4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1</v>
      </c>
      <c r="AD15" s="10">
        <f t="shared" si="7"/>
        <v>1</v>
      </c>
      <c r="AE15" s="36">
        <f t="shared" si="8"/>
        <v>0.53055555555555545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125</v>
      </c>
      <c r="E16" s="53" t="s">
        <v>149</v>
      </c>
      <c r="F16" s="30" t="s">
        <v>126</v>
      </c>
      <c r="G16" s="12">
        <v>1</v>
      </c>
      <c r="H16" s="13">
        <v>28</v>
      </c>
      <c r="I16" s="7">
        <v>50000</v>
      </c>
      <c r="J16" s="14">
        <v>4904</v>
      </c>
      <c r="K16" s="15">
        <f>L16+2312+5350+5082+5413+1290+2964+5302</f>
        <v>32617</v>
      </c>
      <c r="L16" s="15">
        <f>2485+2419</f>
        <v>4904</v>
      </c>
      <c r="M16" s="15">
        <f t="shared" si="1"/>
        <v>4904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0.53055555555555545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449</v>
      </c>
      <c r="E17" s="53" t="s">
        <v>441</v>
      </c>
      <c r="F17" s="30" t="s">
        <v>249</v>
      </c>
      <c r="G17" s="33">
        <v>1</v>
      </c>
      <c r="H17" s="35">
        <v>24</v>
      </c>
      <c r="I17" s="7">
        <v>24000</v>
      </c>
      <c r="J17" s="5">
        <v>6001</v>
      </c>
      <c r="K17" s="15">
        <f>L17+5168+2206+4833+5412+6386+6001</f>
        <v>30006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0.53055555555555545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122</v>
      </c>
      <c r="E18" s="53" t="s">
        <v>590</v>
      </c>
      <c r="F18" s="30" t="s">
        <v>123</v>
      </c>
      <c r="G18" s="33">
        <v>1</v>
      </c>
      <c r="H18" s="35">
        <v>24</v>
      </c>
      <c r="I18" s="7">
        <v>60000</v>
      </c>
      <c r="J18" s="5">
        <v>2968</v>
      </c>
      <c r="K18" s="15">
        <f>L18</f>
        <v>2968</v>
      </c>
      <c r="L18" s="15">
        <f>1553+1415</f>
        <v>2968</v>
      </c>
      <c r="M18" s="15">
        <f t="shared" si="1"/>
        <v>2968</v>
      </c>
      <c r="N18" s="15">
        <v>0</v>
      </c>
      <c r="O18" s="58">
        <f t="shared" si="2"/>
        <v>0</v>
      </c>
      <c r="P18" s="39">
        <f t="shared" si="3"/>
        <v>14</v>
      </c>
      <c r="Q18" s="40">
        <f t="shared" si="4"/>
        <v>10</v>
      </c>
      <c r="R18" s="7"/>
      <c r="S18" s="6">
        <v>10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0.58333333333333337</v>
      </c>
      <c r="AD18" s="10">
        <f>AC18*AB18*(1-O18)</f>
        <v>0.58333333333333337</v>
      </c>
      <c r="AE18" s="36">
        <f t="shared" si="8"/>
        <v>0.53055555555555545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393</v>
      </c>
      <c r="F19" s="30" t="s">
        <v>121</v>
      </c>
      <c r="G19" s="33">
        <v>1</v>
      </c>
      <c r="H19" s="35">
        <v>24</v>
      </c>
      <c r="I19" s="7">
        <v>46000</v>
      </c>
      <c r="J19" s="14">
        <v>4960</v>
      </c>
      <c r="K19" s="15">
        <f>L19+470+4165+3775+4964</f>
        <v>18334</v>
      </c>
      <c r="L19" s="15">
        <f>2407+2553</f>
        <v>4960</v>
      </c>
      <c r="M19" s="15">
        <f t="shared" si="1"/>
        <v>4960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si="7"/>
        <v>1</v>
      </c>
      <c r="AE19" s="36">
        <f t="shared" si="8"/>
        <v>0.53055555555555545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316</v>
      </c>
      <c r="F20" s="12" t="s">
        <v>116</v>
      </c>
      <c r="G20" s="12">
        <v>4</v>
      </c>
      <c r="H20" s="35">
        <v>20</v>
      </c>
      <c r="I20" s="7">
        <v>200000</v>
      </c>
      <c r="J20" s="14">
        <v>41440</v>
      </c>
      <c r="K20" s="15">
        <f>L20+40932+41236</f>
        <v>123608</v>
      </c>
      <c r="L20" s="15">
        <f>10360*4</f>
        <v>41440</v>
      </c>
      <c r="M20" s="15">
        <f t="shared" si="1"/>
        <v>41440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/>
      <c r="T20" s="16"/>
      <c r="U20" s="16"/>
      <c r="V20" s="17">
        <v>10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 t="shared" si="7"/>
        <v>0.58333333333333337</v>
      </c>
      <c r="AE20" s="36">
        <f t="shared" si="8"/>
        <v>0.53055555555555545</v>
      </c>
      <c r="AF20" s="87">
        <f t="shared" si="9"/>
        <v>15</v>
      </c>
    </row>
    <row r="21" spans="1:32" ht="31.5" customHeight="1" thickBot="1">
      <c r="A21" s="541" t="s">
        <v>34</v>
      </c>
      <c r="B21" s="542"/>
      <c r="C21" s="542"/>
      <c r="D21" s="542"/>
      <c r="E21" s="542"/>
      <c r="F21" s="542"/>
      <c r="G21" s="542"/>
      <c r="H21" s="543"/>
      <c r="I21" s="22">
        <f t="shared" ref="I21:N21" si="11">SUM(I6:I20)</f>
        <v>733000</v>
      </c>
      <c r="J21" s="19">
        <f t="shared" si="11"/>
        <v>144067</v>
      </c>
      <c r="K21" s="20">
        <f t="shared" si="11"/>
        <v>505325</v>
      </c>
      <c r="L21" s="21">
        <f t="shared" si="11"/>
        <v>129418</v>
      </c>
      <c r="M21" s="20">
        <f t="shared" si="11"/>
        <v>129418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191</v>
      </c>
      <c r="Q21" s="43">
        <f t="shared" si="12"/>
        <v>169</v>
      </c>
      <c r="R21" s="23">
        <f t="shared" si="12"/>
        <v>24</v>
      </c>
      <c r="S21" s="24">
        <f t="shared" si="12"/>
        <v>63</v>
      </c>
      <c r="T21" s="24">
        <f t="shared" si="12"/>
        <v>0</v>
      </c>
      <c r="U21" s="24">
        <f t="shared" si="12"/>
        <v>0</v>
      </c>
      <c r="V21" s="25">
        <f t="shared" si="12"/>
        <v>34</v>
      </c>
      <c r="W21" s="26">
        <f t="shared" si="12"/>
        <v>48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0.66666666666666663</v>
      </c>
      <c r="AC21" s="4">
        <f>SUM(AC6:AC20)/15</f>
        <v>0.53055555555555545</v>
      </c>
      <c r="AD21" s="4">
        <f>SUM(AD6:AD20)/15</f>
        <v>0.53055555555555545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44" t="s">
        <v>45</v>
      </c>
      <c r="B48" s="544"/>
      <c r="C48" s="544"/>
      <c r="D48" s="544"/>
      <c r="E48" s="54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45" t="s">
        <v>591</v>
      </c>
      <c r="B49" s="546"/>
      <c r="C49" s="546"/>
      <c r="D49" s="546"/>
      <c r="E49" s="546"/>
      <c r="F49" s="546"/>
      <c r="G49" s="546"/>
      <c r="H49" s="546"/>
      <c r="I49" s="546"/>
      <c r="J49" s="546"/>
      <c r="K49" s="546"/>
      <c r="L49" s="546"/>
      <c r="M49" s="547"/>
      <c r="N49" s="548" t="s">
        <v>598</v>
      </c>
      <c r="O49" s="549"/>
      <c r="P49" s="549"/>
      <c r="Q49" s="549"/>
      <c r="R49" s="549"/>
      <c r="S49" s="549"/>
      <c r="T49" s="549"/>
      <c r="U49" s="549"/>
      <c r="V49" s="549"/>
      <c r="W49" s="549"/>
      <c r="X49" s="549"/>
      <c r="Y49" s="549"/>
      <c r="Z49" s="549"/>
      <c r="AA49" s="549"/>
      <c r="AB49" s="549"/>
      <c r="AC49" s="549"/>
      <c r="AD49" s="550"/>
    </row>
    <row r="50" spans="1:32" ht="27" customHeight="1">
      <c r="A50" s="551" t="s">
        <v>2</v>
      </c>
      <c r="B50" s="552"/>
      <c r="C50" s="416" t="s">
        <v>46</v>
      </c>
      <c r="D50" s="416" t="s">
        <v>47</v>
      </c>
      <c r="E50" s="416" t="s">
        <v>108</v>
      </c>
      <c r="F50" s="552" t="s">
        <v>107</v>
      </c>
      <c r="G50" s="552"/>
      <c r="H50" s="552"/>
      <c r="I50" s="552"/>
      <c r="J50" s="552"/>
      <c r="K50" s="552"/>
      <c r="L50" s="552"/>
      <c r="M50" s="553"/>
      <c r="N50" s="67" t="s">
        <v>112</v>
      </c>
      <c r="O50" s="416" t="s">
        <v>46</v>
      </c>
      <c r="P50" s="554" t="s">
        <v>47</v>
      </c>
      <c r="Q50" s="555"/>
      <c r="R50" s="554" t="s">
        <v>38</v>
      </c>
      <c r="S50" s="556"/>
      <c r="T50" s="556"/>
      <c r="U50" s="555"/>
      <c r="V50" s="554" t="s">
        <v>48</v>
      </c>
      <c r="W50" s="556"/>
      <c r="X50" s="556"/>
      <c r="Y50" s="556"/>
      <c r="Z50" s="556"/>
      <c r="AA50" s="556"/>
      <c r="AB50" s="556"/>
      <c r="AC50" s="556"/>
      <c r="AD50" s="557"/>
    </row>
    <row r="51" spans="1:32" ht="27" customHeight="1">
      <c r="A51" s="524" t="s">
        <v>124</v>
      </c>
      <c r="B51" s="525"/>
      <c r="C51" s="414" t="s">
        <v>170</v>
      </c>
      <c r="D51" s="414" t="s">
        <v>592</v>
      </c>
      <c r="E51" s="414" t="s">
        <v>567</v>
      </c>
      <c r="F51" s="517" t="s">
        <v>593</v>
      </c>
      <c r="G51" s="518"/>
      <c r="H51" s="518"/>
      <c r="I51" s="518"/>
      <c r="J51" s="518"/>
      <c r="K51" s="518"/>
      <c r="L51" s="518"/>
      <c r="M51" s="526"/>
      <c r="N51" s="413" t="s">
        <v>124</v>
      </c>
      <c r="O51" s="411" t="s">
        <v>132</v>
      </c>
      <c r="P51" s="536" t="s">
        <v>183</v>
      </c>
      <c r="Q51" s="537"/>
      <c r="R51" s="536" t="s">
        <v>300</v>
      </c>
      <c r="S51" s="538"/>
      <c r="T51" s="538"/>
      <c r="U51" s="537"/>
      <c r="V51" s="503" t="s">
        <v>157</v>
      </c>
      <c r="W51" s="503"/>
      <c r="X51" s="503"/>
      <c r="Y51" s="503"/>
      <c r="Z51" s="503"/>
      <c r="AA51" s="503"/>
      <c r="AB51" s="503"/>
      <c r="AC51" s="503"/>
      <c r="AD51" s="527"/>
    </row>
    <row r="52" spans="1:32" ht="27" customHeight="1">
      <c r="A52" s="524" t="s">
        <v>124</v>
      </c>
      <c r="B52" s="525"/>
      <c r="C52" s="414" t="s">
        <v>132</v>
      </c>
      <c r="D52" s="414" t="s">
        <v>183</v>
      </c>
      <c r="E52" s="414" t="s">
        <v>300</v>
      </c>
      <c r="F52" s="517" t="s">
        <v>594</v>
      </c>
      <c r="G52" s="518"/>
      <c r="H52" s="518"/>
      <c r="I52" s="518"/>
      <c r="J52" s="518"/>
      <c r="K52" s="518"/>
      <c r="L52" s="518"/>
      <c r="M52" s="526"/>
      <c r="N52" s="413" t="s">
        <v>114</v>
      </c>
      <c r="O52" s="411" t="s">
        <v>234</v>
      </c>
      <c r="P52" s="536" t="s">
        <v>122</v>
      </c>
      <c r="Q52" s="537"/>
      <c r="R52" s="536" t="s">
        <v>590</v>
      </c>
      <c r="S52" s="538"/>
      <c r="T52" s="538"/>
      <c r="U52" s="537"/>
      <c r="V52" s="503" t="s">
        <v>157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114</v>
      </c>
      <c r="B53" s="525"/>
      <c r="C53" s="414" t="s">
        <v>150</v>
      </c>
      <c r="D53" s="414" t="s">
        <v>117</v>
      </c>
      <c r="E53" s="414" t="s">
        <v>144</v>
      </c>
      <c r="F53" s="517" t="s">
        <v>595</v>
      </c>
      <c r="G53" s="518"/>
      <c r="H53" s="518"/>
      <c r="I53" s="518"/>
      <c r="J53" s="518"/>
      <c r="K53" s="518"/>
      <c r="L53" s="518"/>
      <c r="M53" s="526"/>
      <c r="N53" s="413" t="s">
        <v>124</v>
      </c>
      <c r="O53" s="411" t="s">
        <v>155</v>
      </c>
      <c r="P53" s="536" t="s">
        <v>125</v>
      </c>
      <c r="Q53" s="537"/>
      <c r="R53" s="536" t="s">
        <v>585</v>
      </c>
      <c r="S53" s="538"/>
      <c r="T53" s="538"/>
      <c r="U53" s="537"/>
      <c r="V53" s="503" t="s">
        <v>157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128</v>
      </c>
      <c r="B54" s="525"/>
      <c r="C54" s="414" t="s">
        <v>179</v>
      </c>
      <c r="D54" s="414" t="s">
        <v>117</v>
      </c>
      <c r="E54" s="414" t="s">
        <v>189</v>
      </c>
      <c r="F54" s="517" t="s">
        <v>596</v>
      </c>
      <c r="G54" s="518"/>
      <c r="H54" s="518"/>
      <c r="I54" s="518"/>
      <c r="J54" s="518"/>
      <c r="K54" s="518"/>
      <c r="L54" s="518"/>
      <c r="M54" s="526"/>
      <c r="N54" s="413" t="s">
        <v>114</v>
      </c>
      <c r="O54" s="411" t="s">
        <v>131</v>
      </c>
      <c r="P54" s="536" t="s">
        <v>142</v>
      </c>
      <c r="Q54" s="537"/>
      <c r="R54" s="536" t="s">
        <v>145</v>
      </c>
      <c r="S54" s="538"/>
      <c r="T54" s="538"/>
      <c r="U54" s="537"/>
      <c r="V54" s="503" t="s">
        <v>299</v>
      </c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114</v>
      </c>
      <c r="B55" s="525"/>
      <c r="C55" s="414" t="s">
        <v>234</v>
      </c>
      <c r="D55" s="414" t="s">
        <v>122</v>
      </c>
      <c r="E55" s="414" t="s">
        <v>590</v>
      </c>
      <c r="F55" s="517" t="s">
        <v>597</v>
      </c>
      <c r="G55" s="518"/>
      <c r="H55" s="518"/>
      <c r="I55" s="518"/>
      <c r="J55" s="518"/>
      <c r="K55" s="518"/>
      <c r="L55" s="518"/>
      <c r="M55" s="526"/>
      <c r="N55" s="413"/>
      <c r="O55" s="411"/>
      <c r="P55" s="536"/>
      <c r="Q55" s="537"/>
      <c r="R55" s="536"/>
      <c r="S55" s="538"/>
      <c r="T55" s="538"/>
      <c r="U55" s="537"/>
      <c r="V55" s="503"/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 t="s">
        <v>124</v>
      </c>
      <c r="B56" s="525"/>
      <c r="C56" s="414" t="s">
        <v>155</v>
      </c>
      <c r="D56" s="414" t="s">
        <v>125</v>
      </c>
      <c r="E56" s="414" t="s">
        <v>585</v>
      </c>
      <c r="F56" s="517" t="s">
        <v>174</v>
      </c>
      <c r="G56" s="518"/>
      <c r="H56" s="518"/>
      <c r="I56" s="518"/>
      <c r="J56" s="518"/>
      <c r="K56" s="518"/>
      <c r="L56" s="518"/>
      <c r="M56" s="526"/>
      <c r="N56" s="413"/>
      <c r="O56" s="411"/>
      <c r="P56" s="536"/>
      <c r="Q56" s="537"/>
      <c r="R56" s="525"/>
      <c r="S56" s="525"/>
      <c r="T56" s="525"/>
      <c r="U56" s="525"/>
      <c r="V56" s="503"/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/>
      <c r="B57" s="525"/>
      <c r="C57" s="414"/>
      <c r="D57" s="414"/>
      <c r="E57" s="414"/>
      <c r="F57" s="517"/>
      <c r="G57" s="518"/>
      <c r="H57" s="518"/>
      <c r="I57" s="518"/>
      <c r="J57" s="518"/>
      <c r="K57" s="518"/>
      <c r="L57" s="518"/>
      <c r="M57" s="526"/>
      <c r="N57" s="413"/>
      <c r="O57" s="411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/>
      <c r="B58" s="525"/>
      <c r="C58" s="414"/>
      <c r="D58" s="414"/>
      <c r="E58" s="414"/>
      <c r="F58" s="517"/>
      <c r="G58" s="518"/>
      <c r="H58" s="518"/>
      <c r="I58" s="518"/>
      <c r="J58" s="518"/>
      <c r="K58" s="518"/>
      <c r="L58" s="518"/>
      <c r="M58" s="526"/>
      <c r="N58" s="413"/>
      <c r="O58" s="411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/>
      <c r="B59" s="525"/>
      <c r="C59" s="414"/>
      <c r="D59" s="414"/>
      <c r="E59" s="414"/>
      <c r="F59" s="517"/>
      <c r="G59" s="518"/>
      <c r="H59" s="518"/>
      <c r="I59" s="518"/>
      <c r="J59" s="518"/>
      <c r="K59" s="518"/>
      <c r="L59" s="518"/>
      <c r="M59" s="526"/>
      <c r="N59" s="413"/>
      <c r="O59" s="411"/>
      <c r="P59" s="525"/>
      <c r="Q59" s="525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  <c r="AF59" s="87">
        <f>8*3000</f>
        <v>24000</v>
      </c>
    </row>
    <row r="60" spans="1:32" ht="27" customHeight="1" thickBot="1">
      <c r="A60" s="528"/>
      <c r="B60" s="529"/>
      <c r="C60" s="415"/>
      <c r="D60" s="415"/>
      <c r="E60" s="415"/>
      <c r="F60" s="530"/>
      <c r="G60" s="531"/>
      <c r="H60" s="531"/>
      <c r="I60" s="531"/>
      <c r="J60" s="531"/>
      <c r="K60" s="531"/>
      <c r="L60" s="531"/>
      <c r="M60" s="532"/>
      <c r="N60" s="124"/>
      <c r="O60" s="114"/>
      <c r="P60" s="533"/>
      <c r="Q60" s="533"/>
      <c r="R60" s="533"/>
      <c r="S60" s="533"/>
      <c r="T60" s="533"/>
      <c r="U60" s="533"/>
      <c r="V60" s="534"/>
      <c r="W60" s="534"/>
      <c r="X60" s="534"/>
      <c r="Y60" s="534"/>
      <c r="Z60" s="534"/>
      <c r="AA60" s="534"/>
      <c r="AB60" s="534"/>
      <c r="AC60" s="534"/>
      <c r="AD60" s="535"/>
      <c r="AF60" s="87">
        <f>16*3000</f>
        <v>48000</v>
      </c>
    </row>
    <row r="61" spans="1:32" ht="27.75" thickBot="1">
      <c r="A61" s="522" t="s">
        <v>599</v>
      </c>
      <c r="B61" s="522"/>
      <c r="C61" s="522"/>
      <c r="D61" s="522"/>
      <c r="E61" s="522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523" t="s">
        <v>113</v>
      </c>
      <c r="B62" s="515"/>
      <c r="C62" s="412" t="s">
        <v>2</v>
      </c>
      <c r="D62" s="412" t="s">
        <v>37</v>
      </c>
      <c r="E62" s="412" t="s">
        <v>3</v>
      </c>
      <c r="F62" s="515" t="s">
        <v>110</v>
      </c>
      <c r="G62" s="515"/>
      <c r="H62" s="515"/>
      <c r="I62" s="515"/>
      <c r="J62" s="515"/>
      <c r="K62" s="515" t="s">
        <v>39</v>
      </c>
      <c r="L62" s="515"/>
      <c r="M62" s="412" t="s">
        <v>40</v>
      </c>
      <c r="N62" s="515" t="s">
        <v>41</v>
      </c>
      <c r="O62" s="515"/>
      <c r="P62" s="512" t="s">
        <v>42</v>
      </c>
      <c r="Q62" s="514"/>
      <c r="R62" s="512" t="s">
        <v>43</v>
      </c>
      <c r="S62" s="513"/>
      <c r="T62" s="513"/>
      <c r="U62" s="513"/>
      <c r="V62" s="513"/>
      <c r="W62" s="513"/>
      <c r="X62" s="513"/>
      <c r="Y62" s="513"/>
      <c r="Z62" s="513"/>
      <c r="AA62" s="514"/>
      <c r="AB62" s="515" t="s">
        <v>44</v>
      </c>
      <c r="AC62" s="515"/>
      <c r="AD62" s="516"/>
      <c r="AF62" s="87">
        <f>SUM(AF59:AF61)</f>
        <v>96000</v>
      </c>
    </row>
    <row r="63" spans="1:32" ht="25.5" customHeight="1">
      <c r="A63" s="498">
        <v>1</v>
      </c>
      <c r="B63" s="499"/>
      <c r="C63" s="117"/>
      <c r="D63" s="407"/>
      <c r="E63" s="410"/>
      <c r="F63" s="500"/>
      <c r="G63" s="492"/>
      <c r="H63" s="492"/>
      <c r="I63" s="492"/>
      <c r="J63" s="492"/>
      <c r="K63" s="492"/>
      <c r="L63" s="492"/>
      <c r="M63" s="51"/>
      <c r="N63" s="501"/>
      <c r="O63" s="501"/>
      <c r="P63" s="502"/>
      <c r="Q63" s="502"/>
      <c r="R63" s="503"/>
      <c r="S63" s="503"/>
      <c r="T63" s="503"/>
      <c r="U63" s="503"/>
      <c r="V63" s="503"/>
      <c r="W63" s="503"/>
      <c r="X63" s="503"/>
      <c r="Y63" s="503"/>
      <c r="Z63" s="503"/>
      <c r="AA63" s="503"/>
      <c r="AB63" s="507"/>
      <c r="AC63" s="520"/>
      <c r="AD63" s="521"/>
      <c r="AF63" s="50"/>
    </row>
    <row r="64" spans="1:32" ht="25.5" customHeight="1">
      <c r="A64" s="498">
        <v>2</v>
      </c>
      <c r="B64" s="499"/>
      <c r="C64" s="117"/>
      <c r="D64" s="407"/>
      <c r="E64" s="410"/>
      <c r="F64" s="504"/>
      <c r="G64" s="505"/>
      <c r="H64" s="505"/>
      <c r="I64" s="505"/>
      <c r="J64" s="506"/>
      <c r="K64" s="507"/>
      <c r="L64" s="499"/>
      <c r="M64" s="51"/>
      <c r="N64" s="501"/>
      <c r="O64" s="501"/>
      <c r="P64" s="502"/>
      <c r="Q64" s="502"/>
      <c r="R64" s="503"/>
      <c r="S64" s="503"/>
      <c r="T64" s="503"/>
      <c r="U64" s="503"/>
      <c r="V64" s="503"/>
      <c r="W64" s="503"/>
      <c r="X64" s="503"/>
      <c r="Y64" s="503"/>
      <c r="Z64" s="503"/>
      <c r="AA64" s="503"/>
      <c r="AB64" s="492"/>
      <c r="AC64" s="492"/>
      <c r="AD64" s="493"/>
      <c r="AF64" s="50"/>
    </row>
    <row r="65" spans="1:32" ht="25.5" customHeight="1">
      <c r="A65" s="498">
        <v>3</v>
      </c>
      <c r="B65" s="499"/>
      <c r="C65" s="117"/>
      <c r="D65" s="407"/>
      <c r="E65" s="410"/>
      <c r="F65" s="504"/>
      <c r="G65" s="505"/>
      <c r="H65" s="505"/>
      <c r="I65" s="505"/>
      <c r="J65" s="506"/>
      <c r="K65" s="507"/>
      <c r="L65" s="499"/>
      <c r="M65" s="51"/>
      <c r="N65" s="501"/>
      <c r="O65" s="501"/>
      <c r="P65" s="502"/>
      <c r="Q65" s="502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4</v>
      </c>
      <c r="B66" s="499"/>
      <c r="C66" s="117"/>
      <c r="D66" s="407"/>
      <c r="E66" s="410"/>
      <c r="F66" s="504"/>
      <c r="G66" s="505"/>
      <c r="H66" s="505"/>
      <c r="I66" s="505"/>
      <c r="J66" s="506"/>
      <c r="K66" s="507"/>
      <c r="L66" s="499"/>
      <c r="M66" s="51"/>
      <c r="N66" s="501"/>
      <c r="O66" s="501"/>
      <c r="P66" s="502"/>
      <c r="Q66" s="502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5</v>
      </c>
      <c r="B67" s="499"/>
      <c r="C67" s="117"/>
      <c r="D67" s="407"/>
      <c r="E67" s="410"/>
      <c r="F67" s="504"/>
      <c r="G67" s="505"/>
      <c r="H67" s="505"/>
      <c r="I67" s="505"/>
      <c r="J67" s="506"/>
      <c r="K67" s="507"/>
      <c r="L67" s="499"/>
      <c r="M67" s="51"/>
      <c r="N67" s="508"/>
      <c r="O67" s="509"/>
      <c r="P67" s="510"/>
      <c r="Q67" s="511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6</v>
      </c>
      <c r="B68" s="499"/>
      <c r="C68" s="117"/>
      <c r="D68" s="407"/>
      <c r="E68" s="410"/>
      <c r="F68" s="500"/>
      <c r="G68" s="492"/>
      <c r="H68" s="492"/>
      <c r="I68" s="492"/>
      <c r="J68" s="492"/>
      <c r="K68" s="492"/>
      <c r="L68" s="492"/>
      <c r="M68" s="51"/>
      <c r="N68" s="508"/>
      <c r="O68" s="509"/>
      <c r="P68" s="510"/>
      <c r="Q68" s="511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7</v>
      </c>
      <c r="B69" s="499"/>
      <c r="C69" s="117"/>
      <c r="D69" s="407"/>
      <c r="E69" s="410"/>
      <c r="F69" s="500"/>
      <c r="G69" s="492"/>
      <c r="H69" s="492"/>
      <c r="I69" s="492"/>
      <c r="J69" s="492"/>
      <c r="K69" s="492"/>
      <c r="L69" s="492"/>
      <c r="M69" s="51"/>
      <c r="N69" s="508"/>
      <c r="O69" s="509"/>
      <c r="P69" s="510"/>
      <c r="Q69" s="511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8</v>
      </c>
      <c r="B70" s="499"/>
      <c r="C70" s="117"/>
      <c r="D70" s="407"/>
      <c r="E70" s="410"/>
      <c r="F70" s="500"/>
      <c r="G70" s="492"/>
      <c r="H70" s="492"/>
      <c r="I70" s="492"/>
      <c r="J70" s="492"/>
      <c r="K70" s="492"/>
      <c r="L70" s="492"/>
      <c r="M70" s="51"/>
      <c r="N70" s="508"/>
      <c r="O70" s="509"/>
      <c r="P70" s="510"/>
      <c r="Q70" s="511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6.25" customHeight="1" thickBot="1">
      <c r="A71" s="472" t="s">
        <v>600</v>
      </c>
      <c r="B71" s="472"/>
      <c r="C71" s="472"/>
      <c r="D71" s="472"/>
      <c r="E71" s="47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73" t="s">
        <v>113</v>
      </c>
      <c r="B72" s="474"/>
      <c r="C72" s="409" t="s">
        <v>2</v>
      </c>
      <c r="D72" s="409" t="s">
        <v>37</v>
      </c>
      <c r="E72" s="409" t="s">
        <v>3</v>
      </c>
      <c r="F72" s="474" t="s">
        <v>38</v>
      </c>
      <c r="G72" s="474"/>
      <c r="H72" s="474"/>
      <c r="I72" s="474"/>
      <c r="J72" s="474"/>
      <c r="K72" s="494" t="s">
        <v>58</v>
      </c>
      <c r="L72" s="495"/>
      <c r="M72" s="495"/>
      <c r="N72" s="495"/>
      <c r="O72" s="495"/>
      <c r="P72" s="495"/>
      <c r="Q72" s="495"/>
      <c r="R72" s="495"/>
      <c r="S72" s="496"/>
      <c r="T72" s="474" t="s">
        <v>49</v>
      </c>
      <c r="U72" s="474"/>
      <c r="V72" s="494" t="s">
        <v>50</v>
      </c>
      <c r="W72" s="496"/>
      <c r="X72" s="495" t="s">
        <v>51</v>
      </c>
      <c r="Y72" s="495"/>
      <c r="Z72" s="495"/>
      <c r="AA72" s="495"/>
      <c r="AB72" s="495"/>
      <c r="AC72" s="495"/>
      <c r="AD72" s="497"/>
      <c r="AF72" s="50"/>
    </row>
    <row r="73" spans="1:32" ht="33.75" customHeight="1">
      <c r="A73" s="466">
        <v>1</v>
      </c>
      <c r="B73" s="467"/>
      <c r="C73" s="408" t="s">
        <v>114</v>
      </c>
      <c r="D73" s="408"/>
      <c r="E73" s="65" t="s">
        <v>119</v>
      </c>
      <c r="F73" s="481" t="s">
        <v>118</v>
      </c>
      <c r="G73" s="482"/>
      <c r="H73" s="482"/>
      <c r="I73" s="482"/>
      <c r="J73" s="483"/>
      <c r="K73" s="484" t="s">
        <v>130</v>
      </c>
      <c r="L73" s="485"/>
      <c r="M73" s="485"/>
      <c r="N73" s="485"/>
      <c r="O73" s="485"/>
      <c r="P73" s="485"/>
      <c r="Q73" s="485"/>
      <c r="R73" s="485"/>
      <c r="S73" s="486"/>
      <c r="T73" s="487">
        <v>43675</v>
      </c>
      <c r="U73" s="488"/>
      <c r="V73" s="489"/>
      <c r="W73" s="489"/>
      <c r="X73" s="490"/>
      <c r="Y73" s="490"/>
      <c r="Z73" s="490"/>
      <c r="AA73" s="490"/>
      <c r="AB73" s="490"/>
      <c r="AC73" s="490"/>
      <c r="AD73" s="491"/>
      <c r="AF73" s="50"/>
    </row>
    <row r="74" spans="1:32" ht="30" customHeight="1">
      <c r="A74" s="459">
        <f>A73+1</f>
        <v>2</v>
      </c>
      <c r="B74" s="460"/>
      <c r="C74" s="407"/>
      <c r="D74" s="407"/>
      <c r="E74" s="32"/>
      <c r="F74" s="460"/>
      <c r="G74" s="460"/>
      <c r="H74" s="460"/>
      <c r="I74" s="460"/>
      <c r="J74" s="460"/>
      <c r="K74" s="475"/>
      <c r="L74" s="476"/>
      <c r="M74" s="476"/>
      <c r="N74" s="476"/>
      <c r="O74" s="476"/>
      <c r="P74" s="476"/>
      <c r="Q74" s="476"/>
      <c r="R74" s="476"/>
      <c r="S74" s="477"/>
      <c r="T74" s="478"/>
      <c r="U74" s="478"/>
      <c r="V74" s="478"/>
      <c r="W74" s="478"/>
      <c r="X74" s="479"/>
      <c r="Y74" s="479"/>
      <c r="Z74" s="479"/>
      <c r="AA74" s="479"/>
      <c r="AB74" s="479"/>
      <c r="AC74" s="479"/>
      <c r="AD74" s="480"/>
      <c r="AF74" s="50"/>
    </row>
    <row r="75" spans="1:32" ht="30" customHeight="1">
      <c r="A75" s="459">
        <f t="shared" ref="A75:A81" si="13">A74+1</f>
        <v>3</v>
      </c>
      <c r="B75" s="460"/>
      <c r="C75" s="407"/>
      <c r="D75" s="407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si="13"/>
        <v>4</v>
      </c>
      <c r="B76" s="460"/>
      <c r="C76" s="407"/>
      <c r="D76" s="407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13"/>
        <v>5</v>
      </c>
      <c r="B77" s="460"/>
      <c r="C77" s="407"/>
      <c r="D77" s="407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13"/>
        <v>6</v>
      </c>
      <c r="B78" s="460"/>
      <c r="C78" s="407"/>
      <c r="D78" s="407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13"/>
        <v>7</v>
      </c>
      <c r="B79" s="460"/>
      <c r="C79" s="407"/>
      <c r="D79" s="407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13"/>
        <v>8</v>
      </c>
      <c r="B80" s="460"/>
      <c r="C80" s="407"/>
      <c r="D80" s="407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13"/>
        <v>9</v>
      </c>
      <c r="B81" s="460"/>
      <c r="C81" s="407"/>
      <c r="D81" s="407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6" thickBot="1">
      <c r="A82" s="472" t="s">
        <v>601</v>
      </c>
      <c r="B82" s="472"/>
      <c r="C82" s="472"/>
      <c r="D82" s="472"/>
      <c r="E82" s="47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73" t="s">
        <v>113</v>
      </c>
      <c r="B83" s="474"/>
      <c r="C83" s="464" t="s">
        <v>52</v>
      </c>
      <c r="D83" s="464"/>
      <c r="E83" s="464" t="s">
        <v>53</v>
      </c>
      <c r="F83" s="464"/>
      <c r="G83" s="464"/>
      <c r="H83" s="464"/>
      <c r="I83" s="464"/>
      <c r="J83" s="464"/>
      <c r="K83" s="464" t="s">
        <v>54</v>
      </c>
      <c r="L83" s="464"/>
      <c r="M83" s="464"/>
      <c r="N83" s="464"/>
      <c r="O83" s="464"/>
      <c r="P83" s="464"/>
      <c r="Q83" s="464"/>
      <c r="R83" s="464"/>
      <c r="S83" s="464"/>
      <c r="T83" s="464" t="s">
        <v>55</v>
      </c>
      <c r="U83" s="464"/>
      <c r="V83" s="464" t="s">
        <v>56</v>
      </c>
      <c r="W83" s="464"/>
      <c r="X83" s="464"/>
      <c r="Y83" s="464" t="s">
        <v>51</v>
      </c>
      <c r="Z83" s="464"/>
      <c r="AA83" s="464"/>
      <c r="AB83" s="464"/>
      <c r="AC83" s="464"/>
      <c r="AD83" s="465"/>
      <c r="AF83" s="50"/>
    </row>
    <row r="84" spans="1:32" ht="30.75" customHeight="1">
      <c r="A84" s="466">
        <v>1</v>
      </c>
      <c r="B84" s="467"/>
      <c r="C84" s="468"/>
      <c r="D84" s="468"/>
      <c r="E84" s="468"/>
      <c r="F84" s="468"/>
      <c r="G84" s="468"/>
      <c r="H84" s="468"/>
      <c r="I84" s="468"/>
      <c r="J84" s="468"/>
      <c r="K84" s="468"/>
      <c r="L84" s="468"/>
      <c r="M84" s="468"/>
      <c r="N84" s="468"/>
      <c r="O84" s="468"/>
      <c r="P84" s="468"/>
      <c r="Q84" s="468"/>
      <c r="R84" s="468"/>
      <c r="S84" s="468"/>
      <c r="T84" s="468"/>
      <c r="U84" s="468"/>
      <c r="V84" s="469"/>
      <c r="W84" s="469"/>
      <c r="X84" s="469"/>
      <c r="Y84" s="470"/>
      <c r="Z84" s="470"/>
      <c r="AA84" s="470"/>
      <c r="AB84" s="470"/>
      <c r="AC84" s="470"/>
      <c r="AD84" s="471"/>
      <c r="AF84" s="50"/>
    </row>
    <row r="85" spans="1:32" ht="30.75" customHeight="1">
      <c r="A85" s="459">
        <v>2</v>
      </c>
      <c r="B85" s="460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2"/>
      <c r="Z85" s="452"/>
      <c r="AA85" s="452"/>
      <c r="AB85" s="452"/>
      <c r="AC85" s="452"/>
      <c r="AD85" s="453"/>
      <c r="AF85" s="50"/>
    </row>
    <row r="86" spans="1:32" ht="30.75" customHeight="1" thickBot="1">
      <c r="A86" s="454">
        <v>3</v>
      </c>
      <c r="B86" s="455"/>
      <c r="C86" s="456"/>
      <c r="D86" s="456"/>
      <c r="E86" s="456"/>
      <c r="F86" s="456"/>
      <c r="G86" s="456"/>
      <c r="H86" s="456"/>
      <c r="I86" s="456"/>
      <c r="J86" s="456"/>
      <c r="K86" s="456"/>
      <c r="L86" s="456"/>
      <c r="M86" s="456"/>
      <c r="N86" s="456"/>
      <c r="O86" s="456"/>
      <c r="P86" s="456"/>
      <c r="Q86" s="456"/>
      <c r="R86" s="456"/>
      <c r="S86" s="456"/>
      <c r="T86" s="456"/>
      <c r="U86" s="456"/>
      <c r="V86" s="456"/>
      <c r="W86" s="456"/>
      <c r="X86" s="456"/>
      <c r="Y86" s="457"/>
      <c r="Z86" s="457"/>
      <c r="AA86" s="457"/>
      <c r="AB86" s="457"/>
      <c r="AC86" s="457"/>
      <c r="AD86" s="458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C185-897D-4D5A-9607-B2986BE5F1C0}"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602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418" t="s">
        <v>17</v>
      </c>
      <c r="L5" s="418" t="s">
        <v>18</v>
      </c>
      <c r="M5" s="418" t="s">
        <v>19</v>
      </c>
      <c r="N5" s="41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0.56388888888888888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0.56388888888888888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568</v>
      </c>
      <c r="E8" s="53" t="s">
        <v>567</v>
      </c>
      <c r="F8" s="30" t="s">
        <v>141</v>
      </c>
      <c r="G8" s="33">
        <v>2</v>
      </c>
      <c r="H8" s="35">
        <v>24</v>
      </c>
      <c r="I8" s="7">
        <v>44000</v>
      </c>
      <c r="J8" s="14">
        <v>13444</v>
      </c>
      <c r="K8" s="15">
        <f>L8+8046+12682</f>
        <v>34172</v>
      </c>
      <c r="L8" s="15">
        <f>3296*2+3426*2</f>
        <v>13444</v>
      </c>
      <c r="M8" s="15">
        <f t="shared" si="1"/>
        <v>13444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0.56388888888888888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2003</v>
      </c>
      <c r="K9" s="15">
        <f>L9+1036+2500+4639+2951+2392+2902+2784+3566+4110+4299+4289+1910+4734+4854+3892+4611+3795+5160+1762+3528+5214+2558+4569+2950+2156+1926+2008+4959</f>
        <v>98057</v>
      </c>
      <c r="L9" s="15">
        <f>2003</f>
        <v>2003</v>
      </c>
      <c r="M9" s="15">
        <f t="shared" si="1"/>
        <v>2003</v>
      </c>
      <c r="N9" s="15">
        <v>0</v>
      </c>
      <c r="O9" s="58">
        <f t="shared" si="2"/>
        <v>0</v>
      </c>
      <c r="P9" s="39">
        <f t="shared" si="3"/>
        <v>10</v>
      </c>
      <c r="Q9" s="40">
        <f t="shared" si="4"/>
        <v>14</v>
      </c>
      <c r="R9" s="7"/>
      <c r="S9" s="6">
        <v>14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0.41666666666666669</v>
      </c>
      <c r="AD9" s="10">
        <f t="shared" si="7"/>
        <v>0.41666666666666669</v>
      </c>
      <c r="AE9" s="36">
        <f t="shared" si="8"/>
        <v>0.56388888888888888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125</v>
      </c>
      <c r="E10" s="53" t="s">
        <v>585</v>
      </c>
      <c r="F10" s="30" t="s">
        <v>141</v>
      </c>
      <c r="G10" s="33">
        <v>1</v>
      </c>
      <c r="H10" s="35">
        <v>24</v>
      </c>
      <c r="I10" s="7">
        <v>19000</v>
      </c>
      <c r="J10" s="5">
        <v>3140</v>
      </c>
      <c r="K10" s="15">
        <f>L10</f>
        <v>3140</v>
      </c>
      <c r="L10" s="15">
        <f>780+2360</f>
        <v>3140</v>
      </c>
      <c r="M10" s="15">
        <f t="shared" si="1"/>
        <v>3140</v>
      </c>
      <c r="N10" s="15">
        <v>0</v>
      </c>
      <c r="O10" s="58">
        <f t="shared" si="2"/>
        <v>0</v>
      </c>
      <c r="P10" s="39">
        <f t="shared" si="3"/>
        <v>15</v>
      </c>
      <c r="Q10" s="40">
        <f t="shared" si="4"/>
        <v>9</v>
      </c>
      <c r="R10" s="7"/>
      <c r="S10" s="6">
        <v>9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0.625</v>
      </c>
      <c r="AD10" s="10">
        <f>AC10*AB10*(1-O10)</f>
        <v>0.625</v>
      </c>
      <c r="AE10" s="36">
        <f t="shared" si="8"/>
        <v>0.56388888888888888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300</v>
      </c>
      <c r="F11" s="30" t="s">
        <v>126</v>
      </c>
      <c r="G11" s="33">
        <v>1</v>
      </c>
      <c r="H11" s="35">
        <v>24</v>
      </c>
      <c r="I11" s="7">
        <v>37000</v>
      </c>
      <c r="J11" s="5">
        <v>4382</v>
      </c>
      <c r="K11" s="15">
        <f>L11+1500+654+1383+1768+2486</f>
        <v>12173</v>
      </c>
      <c r="L11" s="15">
        <f>1862+2520</f>
        <v>4382</v>
      </c>
      <c r="M11" s="15">
        <f t="shared" si="1"/>
        <v>4382</v>
      </c>
      <c r="N11" s="15">
        <v>0</v>
      </c>
      <c r="O11" s="58">
        <f t="shared" si="2"/>
        <v>0</v>
      </c>
      <c r="P11" s="39">
        <f t="shared" si="3"/>
        <v>20</v>
      </c>
      <c r="Q11" s="40">
        <f t="shared" si="4"/>
        <v>4</v>
      </c>
      <c r="R11" s="7"/>
      <c r="S11" s="6">
        <v>4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0.83333333333333337</v>
      </c>
      <c r="AD11" s="10">
        <f>AC11*AB11*(1-O11)</f>
        <v>0.83333333333333337</v>
      </c>
      <c r="AE11" s="36">
        <f t="shared" si="8"/>
        <v>0.56388888888888888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144</v>
      </c>
      <c r="F12" s="30" t="s">
        <v>121</v>
      </c>
      <c r="G12" s="33">
        <v>1</v>
      </c>
      <c r="H12" s="35">
        <v>24</v>
      </c>
      <c r="I12" s="7">
        <v>70000</v>
      </c>
      <c r="J12" s="14">
        <v>4107</v>
      </c>
      <c r="K12" s="15">
        <f>L12+2036+3193+2673+3958+1875+401+3155+4199+2859+2339+1952+1208+2933+3415+1960+4032+870+1602+872+2860+3148+2498+463+1324+1687+1943</f>
        <v>63562</v>
      </c>
      <c r="L12" s="15">
        <f>1983+2124</f>
        <v>4107</v>
      </c>
      <c r="M12" s="15">
        <f t="shared" si="1"/>
        <v>4107</v>
      </c>
      <c r="N12" s="15">
        <v>0</v>
      </c>
      <c r="O12" s="58">
        <f t="shared" si="2"/>
        <v>0</v>
      </c>
      <c r="P12" s="39">
        <f t="shared" si="3"/>
        <v>21</v>
      </c>
      <c r="Q12" s="40">
        <f t="shared" si="4"/>
        <v>3</v>
      </c>
      <c r="R12" s="7"/>
      <c r="S12" s="6">
        <v>3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0.875</v>
      </c>
      <c r="AD12" s="10">
        <f t="shared" ref="AD12:AD13" si="10">AC12*AB12*(1-O12)</f>
        <v>0.875</v>
      </c>
      <c r="AE12" s="36">
        <f t="shared" si="8"/>
        <v>0.56388888888888888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128</v>
      </c>
      <c r="D13" s="52" t="s">
        <v>117</v>
      </c>
      <c r="E13" s="53" t="s">
        <v>189</v>
      </c>
      <c r="F13" s="30" t="s">
        <v>190</v>
      </c>
      <c r="G13" s="33">
        <v>4</v>
      </c>
      <c r="H13" s="35">
        <v>24</v>
      </c>
      <c r="I13" s="7">
        <v>70000</v>
      </c>
      <c r="J13" s="14">
        <v>17056</v>
      </c>
      <c r="K13" s="15">
        <f>L13+9832+18976</f>
        <v>45864</v>
      </c>
      <c r="L13" s="15">
        <f>2343*4+1921*4</f>
        <v>17056</v>
      </c>
      <c r="M13" s="15">
        <f t="shared" si="1"/>
        <v>17056</v>
      </c>
      <c r="N13" s="15">
        <v>0</v>
      </c>
      <c r="O13" s="58">
        <f t="shared" si="2"/>
        <v>0</v>
      </c>
      <c r="P13" s="39">
        <f t="shared" si="3"/>
        <v>21</v>
      </c>
      <c r="Q13" s="40">
        <f t="shared" si="4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0.875</v>
      </c>
      <c r="AD13" s="10">
        <f t="shared" si="10"/>
        <v>0.875</v>
      </c>
      <c r="AE13" s="36">
        <f t="shared" si="8"/>
        <v>0.56388888888888888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128</v>
      </c>
      <c r="D14" s="52"/>
      <c r="E14" s="53" t="s">
        <v>558</v>
      </c>
      <c r="F14" s="30" t="s">
        <v>190</v>
      </c>
      <c r="G14" s="33" t="s">
        <v>559</v>
      </c>
      <c r="H14" s="35">
        <v>24</v>
      </c>
      <c r="I14" s="7">
        <v>2000</v>
      </c>
      <c r="J14" s="5">
        <v>2296</v>
      </c>
      <c r="K14" s="15">
        <f>L14+2296</f>
        <v>2296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0.56388888888888888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381</v>
      </c>
      <c r="D15" s="52"/>
      <c r="E15" s="53" t="s">
        <v>494</v>
      </c>
      <c r="F15" s="12" t="s">
        <v>495</v>
      </c>
      <c r="G15" s="12">
        <v>7</v>
      </c>
      <c r="H15" s="13">
        <v>24</v>
      </c>
      <c r="I15" s="31">
        <v>20000</v>
      </c>
      <c r="J15" s="14">
        <v>4048</v>
      </c>
      <c r="K15" s="15">
        <f>L15+4736+32276+34100</f>
        <v>75160</v>
      </c>
      <c r="L15" s="15">
        <f>1012*4</f>
        <v>4048</v>
      </c>
      <c r="M15" s="15">
        <f t="shared" si="1"/>
        <v>4048</v>
      </c>
      <c r="N15" s="15">
        <v>0</v>
      </c>
      <c r="O15" s="58">
        <f t="shared" si="2"/>
        <v>0</v>
      </c>
      <c r="P15" s="39">
        <f t="shared" si="3"/>
        <v>6</v>
      </c>
      <c r="Q15" s="40">
        <f t="shared" si="4"/>
        <v>18</v>
      </c>
      <c r="R15" s="7"/>
      <c r="S15" s="6"/>
      <c r="T15" s="16"/>
      <c r="U15" s="16"/>
      <c r="V15" s="17"/>
      <c r="W15" s="5">
        <v>18</v>
      </c>
      <c r="X15" s="16"/>
      <c r="Y15" s="16"/>
      <c r="Z15" s="16"/>
      <c r="AA15" s="18"/>
      <c r="AB15" s="8">
        <f t="shared" si="5"/>
        <v>1</v>
      </c>
      <c r="AC15" s="9">
        <f t="shared" si="6"/>
        <v>0.25</v>
      </c>
      <c r="AD15" s="10">
        <f t="shared" si="7"/>
        <v>0.25</v>
      </c>
      <c r="AE15" s="36">
        <f t="shared" si="8"/>
        <v>0.56388888888888888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125</v>
      </c>
      <c r="E16" s="53" t="s">
        <v>149</v>
      </c>
      <c r="F16" s="30" t="s">
        <v>126</v>
      </c>
      <c r="G16" s="12">
        <v>1</v>
      </c>
      <c r="H16" s="13">
        <v>28</v>
      </c>
      <c r="I16" s="7">
        <v>50000</v>
      </c>
      <c r="J16" s="14">
        <v>5084</v>
      </c>
      <c r="K16" s="15">
        <f>L16+2312+5350+5082+5413+1290+2964+5302+4904</f>
        <v>37701</v>
      </c>
      <c r="L16" s="15">
        <f>2553+2531</f>
        <v>5084</v>
      </c>
      <c r="M16" s="15">
        <f t="shared" si="1"/>
        <v>5084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0.56388888888888888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128</v>
      </c>
      <c r="D17" s="52" t="s">
        <v>183</v>
      </c>
      <c r="E17" s="53" t="s">
        <v>340</v>
      </c>
      <c r="F17" s="30" t="s">
        <v>161</v>
      </c>
      <c r="G17" s="33">
        <v>1</v>
      </c>
      <c r="H17" s="35">
        <v>24</v>
      </c>
      <c r="I17" s="7">
        <v>12000</v>
      </c>
      <c r="J17" s="5">
        <v>3037</v>
      </c>
      <c r="K17" s="15">
        <f>L17</f>
        <v>3037</v>
      </c>
      <c r="L17" s="15">
        <v>3037</v>
      </c>
      <c r="M17" s="15">
        <f t="shared" si="1"/>
        <v>3037</v>
      </c>
      <c r="N17" s="15">
        <v>0</v>
      </c>
      <c r="O17" s="58">
        <f t="shared" si="2"/>
        <v>0</v>
      </c>
      <c r="P17" s="39">
        <f t="shared" si="3"/>
        <v>15</v>
      </c>
      <c r="Q17" s="40">
        <f t="shared" si="4"/>
        <v>9</v>
      </c>
      <c r="R17" s="7"/>
      <c r="S17" s="6"/>
      <c r="T17" s="16"/>
      <c r="U17" s="16"/>
      <c r="V17" s="17">
        <v>9</v>
      </c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0.625</v>
      </c>
      <c r="AD17" s="10">
        <f t="shared" si="7"/>
        <v>0.625</v>
      </c>
      <c r="AE17" s="36">
        <f t="shared" si="8"/>
        <v>0.56388888888888888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122</v>
      </c>
      <c r="E18" s="53" t="s">
        <v>590</v>
      </c>
      <c r="F18" s="30" t="s">
        <v>123</v>
      </c>
      <c r="G18" s="33">
        <v>1</v>
      </c>
      <c r="H18" s="35">
        <v>24</v>
      </c>
      <c r="I18" s="7">
        <v>60000</v>
      </c>
      <c r="J18" s="5">
        <v>2173</v>
      </c>
      <c r="K18" s="15">
        <f>L18+2968</f>
        <v>5141</v>
      </c>
      <c r="L18" s="15">
        <f>350+1823</f>
        <v>2173</v>
      </c>
      <c r="M18" s="15">
        <f t="shared" si="1"/>
        <v>2173</v>
      </c>
      <c r="N18" s="15">
        <v>0</v>
      </c>
      <c r="O18" s="58">
        <f t="shared" si="2"/>
        <v>0</v>
      </c>
      <c r="P18" s="39">
        <f t="shared" si="3"/>
        <v>9</v>
      </c>
      <c r="Q18" s="40">
        <f t="shared" si="4"/>
        <v>15</v>
      </c>
      <c r="R18" s="7"/>
      <c r="S18" s="6">
        <v>15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0.375</v>
      </c>
      <c r="AD18" s="10">
        <f>AC18*AB18*(1-O18)</f>
        <v>0.375</v>
      </c>
      <c r="AE18" s="36">
        <f t="shared" si="8"/>
        <v>0.56388888888888888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393</v>
      </c>
      <c r="F19" s="30" t="s">
        <v>121</v>
      </c>
      <c r="G19" s="33">
        <v>1</v>
      </c>
      <c r="H19" s="35">
        <v>24</v>
      </c>
      <c r="I19" s="7">
        <v>46000</v>
      </c>
      <c r="J19" s="14">
        <v>4873</v>
      </c>
      <c r="K19" s="15">
        <f>L19+470+4165+3775+4964+4960</f>
        <v>23207</v>
      </c>
      <c r="L19" s="15">
        <f>2512+2361</f>
        <v>4873</v>
      </c>
      <c r="M19" s="15">
        <f t="shared" si="1"/>
        <v>4873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si="7"/>
        <v>1</v>
      </c>
      <c r="AE19" s="36">
        <f t="shared" si="8"/>
        <v>0.56388888888888888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316</v>
      </c>
      <c r="F20" s="12" t="s">
        <v>116</v>
      </c>
      <c r="G20" s="12">
        <v>4</v>
      </c>
      <c r="H20" s="35">
        <v>20</v>
      </c>
      <c r="I20" s="7">
        <v>200000</v>
      </c>
      <c r="J20" s="14">
        <v>41856</v>
      </c>
      <c r="K20" s="15">
        <f>L20+40932+41236+41440</f>
        <v>165464</v>
      </c>
      <c r="L20" s="15">
        <f>10464*4</f>
        <v>41856</v>
      </c>
      <c r="M20" s="15">
        <f t="shared" si="1"/>
        <v>41856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/>
      <c r="T20" s="16"/>
      <c r="U20" s="16"/>
      <c r="V20" s="17">
        <v>10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 t="shared" si="7"/>
        <v>0.58333333333333337</v>
      </c>
      <c r="AE20" s="36">
        <f t="shared" si="8"/>
        <v>0.56388888888888888</v>
      </c>
      <c r="AF20" s="87">
        <f t="shared" si="9"/>
        <v>15</v>
      </c>
    </row>
    <row r="21" spans="1:32" ht="31.5" customHeight="1" thickBot="1">
      <c r="A21" s="541" t="s">
        <v>34</v>
      </c>
      <c r="B21" s="542"/>
      <c r="C21" s="542"/>
      <c r="D21" s="542"/>
      <c r="E21" s="542"/>
      <c r="F21" s="542"/>
      <c r="G21" s="542"/>
      <c r="H21" s="543"/>
      <c r="I21" s="22">
        <f t="shared" ref="I21:N21" si="11">SUM(I6:I20)</f>
        <v>721000</v>
      </c>
      <c r="J21" s="19">
        <f t="shared" si="11"/>
        <v>109560</v>
      </c>
      <c r="K21" s="20">
        <f t="shared" si="11"/>
        <v>580522</v>
      </c>
      <c r="L21" s="21">
        <f t="shared" si="11"/>
        <v>105203</v>
      </c>
      <c r="M21" s="20">
        <f t="shared" si="11"/>
        <v>105203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203</v>
      </c>
      <c r="Q21" s="43">
        <f t="shared" si="12"/>
        <v>157</v>
      </c>
      <c r="R21" s="23">
        <f t="shared" si="12"/>
        <v>24</v>
      </c>
      <c r="S21" s="24">
        <f t="shared" si="12"/>
        <v>48</v>
      </c>
      <c r="T21" s="24">
        <f t="shared" si="12"/>
        <v>0</v>
      </c>
      <c r="U21" s="24">
        <f t="shared" si="12"/>
        <v>0</v>
      </c>
      <c r="V21" s="25">
        <f t="shared" si="12"/>
        <v>43</v>
      </c>
      <c r="W21" s="26">
        <f t="shared" si="12"/>
        <v>42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0.8</v>
      </c>
      <c r="AC21" s="4">
        <f>SUM(AC6:AC20)/15</f>
        <v>0.56388888888888888</v>
      </c>
      <c r="AD21" s="4">
        <f>SUM(AD6:AD20)/15</f>
        <v>0.56388888888888888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44" t="s">
        <v>45</v>
      </c>
      <c r="B48" s="544"/>
      <c r="C48" s="544"/>
      <c r="D48" s="544"/>
      <c r="E48" s="54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45" t="s">
        <v>603</v>
      </c>
      <c r="B49" s="546"/>
      <c r="C49" s="546"/>
      <c r="D49" s="546"/>
      <c r="E49" s="546"/>
      <c r="F49" s="546"/>
      <c r="G49" s="546"/>
      <c r="H49" s="546"/>
      <c r="I49" s="546"/>
      <c r="J49" s="546"/>
      <c r="K49" s="546"/>
      <c r="L49" s="546"/>
      <c r="M49" s="547"/>
      <c r="N49" s="548" t="s">
        <v>606</v>
      </c>
      <c r="O49" s="549"/>
      <c r="P49" s="549"/>
      <c r="Q49" s="549"/>
      <c r="R49" s="549"/>
      <c r="S49" s="549"/>
      <c r="T49" s="549"/>
      <c r="U49" s="549"/>
      <c r="V49" s="549"/>
      <c r="W49" s="549"/>
      <c r="X49" s="549"/>
      <c r="Y49" s="549"/>
      <c r="Z49" s="549"/>
      <c r="AA49" s="549"/>
      <c r="AB49" s="549"/>
      <c r="AC49" s="549"/>
      <c r="AD49" s="550"/>
    </row>
    <row r="50" spans="1:32" ht="27" customHeight="1">
      <c r="A50" s="551" t="s">
        <v>2</v>
      </c>
      <c r="B50" s="552"/>
      <c r="C50" s="419" t="s">
        <v>46</v>
      </c>
      <c r="D50" s="419" t="s">
        <v>47</v>
      </c>
      <c r="E50" s="419" t="s">
        <v>108</v>
      </c>
      <c r="F50" s="552" t="s">
        <v>107</v>
      </c>
      <c r="G50" s="552"/>
      <c r="H50" s="552"/>
      <c r="I50" s="552"/>
      <c r="J50" s="552"/>
      <c r="K50" s="552"/>
      <c r="L50" s="552"/>
      <c r="M50" s="553"/>
      <c r="N50" s="67" t="s">
        <v>112</v>
      </c>
      <c r="O50" s="419" t="s">
        <v>46</v>
      </c>
      <c r="P50" s="554" t="s">
        <v>47</v>
      </c>
      <c r="Q50" s="555"/>
      <c r="R50" s="554" t="s">
        <v>38</v>
      </c>
      <c r="S50" s="556"/>
      <c r="T50" s="556"/>
      <c r="U50" s="555"/>
      <c r="V50" s="554" t="s">
        <v>48</v>
      </c>
      <c r="W50" s="556"/>
      <c r="X50" s="556"/>
      <c r="Y50" s="556"/>
      <c r="Z50" s="556"/>
      <c r="AA50" s="556"/>
      <c r="AB50" s="556"/>
      <c r="AC50" s="556"/>
      <c r="AD50" s="557"/>
    </row>
    <row r="51" spans="1:32" ht="27" customHeight="1">
      <c r="A51" s="524" t="s">
        <v>114</v>
      </c>
      <c r="B51" s="525"/>
      <c r="C51" s="421" t="s">
        <v>131</v>
      </c>
      <c r="D51" s="421" t="s">
        <v>142</v>
      </c>
      <c r="E51" s="421" t="s">
        <v>145</v>
      </c>
      <c r="F51" s="517" t="s">
        <v>604</v>
      </c>
      <c r="G51" s="518"/>
      <c r="H51" s="518"/>
      <c r="I51" s="518"/>
      <c r="J51" s="518"/>
      <c r="K51" s="518"/>
      <c r="L51" s="518"/>
      <c r="M51" s="526"/>
      <c r="N51" s="420" t="s">
        <v>138</v>
      </c>
      <c r="O51" s="425" t="s">
        <v>179</v>
      </c>
      <c r="P51" s="536" t="s">
        <v>117</v>
      </c>
      <c r="Q51" s="537"/>
      <c r="R51" s="536" t="s">
        <v>327</v>
      </c>
      <c r="S51" s="538"/>
      <c r="T51" s="538"/>
      <c r="U51" s="537"/>
      <c r="V51" s="503" t="s">
        <v>120</v>
      </c>
      <c r="W51" s="503"/>
      <c r="X51" s="503"/>
      <c r="Y51" s="503"/>
      <c r="Z51" s="503"/>
      <c r="AA51" s="503"/>
      <c r="AB51" s="503"/>
      <c r="AC51" s="503"/>
      <c r="AD51" s="527"/>
    </row>
    <row r="52" spans="1:32" ht="27" customHeight="1">
      <c r="A52" s="524" t="s">
        <v>124</v>
      </c>
      <c r="B52" s="525"/>
      <c r="C52" s="421" t="s">
        <v>132</v>
      </c>
      <c r="D52" s="421" t="s">
        <v>183</v>
      </c>
      <c r="E52" s="421" t="s">
        <v>300</v>
      </c>
      <c r="F52" s="517" t="s">
        <v>270</v>
      </c>
      <c r="G52" s="518"/>
      <c r="H52" s="518"/>
      <c r="I52" s="518"/>
      <c r="J52" s="518"/>
      <c r="K52" s="518"/>
      <c r="L52" s="518"/>
      <c r="M52" s="526"/>
      <c r="N52" s="420" t="s">
        <v>114</v>
      </c>
      <c r="O52" s="425" t="s">
        <v>234</v>
      </c>
      <c r="P52" s="536" t="s">
        <v>122</v>
      </c>
      <c r="Q52" s="537"/>
      <c r="R52" s="536" t="s">
        <v>590</v>
      </c>
      <c r="S52" s="538"/>
      <c r="T52" s="538"/>
      <c r="U52" s="537"/>
      <c r="V52" s="503" t="s">
        <v>157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128</v>
      </c>
      <c r="B53" s="525"/>
      <c r="C53" s="421" t="s">
        <v>179</v>
      </c>
      <c r="D53" s="421" t="s">
        <v>117</v>
      </c>
      <c r="E53" s="421" t="s">
        <v>189</v>
      </c>
      <c r="F53" s="517" t="s">
        <v>596</v>
      </c>
      <c r="G53" s="518"/>
      <c r="H53" s="518"/>
      <c r="I53" s="518"/>
      <c r="J53" s="518"/>
      <c r="K53" s="518"/>
      <c r="L53" s="518"/>
      <c r="M53" s="526"/>
      <c r="N53" s="420" t="s">
        <v>114</v>
      </c>
      <c r="O53" s="425" t="s">
        <v>131</v>
      </c>
      <c r="P53" s="536" t="s">
        <v>142</v>
      </c>
      <c r="Q53" s="537"/>
      <c r="R53" s="536" t="s">
        <v>145</v>
      </c>
      <c r="S53" s="538"/>
      <c r="T53" s="538"/>
      <c r="U53" s="537"/>
      <c r="V53" s="503" t="s">
        <v>299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128</v>
      </c>
      <c r="B54" s="525"/>
      <c r="C54" s="421" t="s">
        <v>163</v>
      </c>
      <c r="D54" s="421" t="s">
        <v>183</v>
      </c>
      <c r="E54" s="421" t="s">
        <v>340</v>
      </c>
      <c r="F54" s="517" t="s">
        <v>322</v>
      </c>
      <c r="G54" s="518"/>
      <c r="H54" s="518"/>
      <c r="I54" s="518"/>
      <c r="J54" s="518"/>
      <c r="K54" s="518"/>
      <c r="L54" s="518"/>
      <c r="M54" s="526"/>
      <c r="N54" s="420"/>
      <c r="O54" s="425"/>
      <c r="P54" s="536"/>
      <c r="Q54" s="537"/>
      <c r="R54" s="536"/>
      <c r="S54" s="538"/>
      <c r="T54" s="538"/>
      <c r="U54" s="537"/>
      <c r="V54" s="503"/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114</v>
      </c>
      <c r="B55" s="525"/>
      <c r="C55" s="421" t="s">
        <v>234</v>
      </c>
      <c r="D55" s="421" t="s">
        <v>122</v>
      </c>
      <c r="E55" s="421" t="s">
        <v>590</v>
      </c>
      <c r="F55" s="517" t="s">
        <v>605</v>
      </c>
      <c r="G55" s="518"/>
      <c r="H55" s="518"/>
      <c r="I55" s="518"/>
      <c r="J55" s="518"/>
      <c r="K55" s="518"/>
      <c r="L55" s="518"/>
      <c r="M55" s="526"/>
      <c r="N55" s="420"/>
      <c r="O55" s="425"/>
      <c r="P55" s="536"/>
      <c r="Q55" s="537"/>
      <c r="R55" s="536"/>
      <c r="S55" s="538"/>
      <c r="T55" s="538"/>
      <c r="U55" s="537"/>
      <c r="V55" s="503"/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 t="s">
        <v>124</v>
      </c>
      <c r="B56" s="525"/>
      <c r="C56" s="421" t="s">
        <v>155</v>
      </c>
      <c r="D56" s="421" t="s">
        <v>125</v>
      </c>
      <c r="E56" s="421" t="s">
        <v>585</v>
      </c>
      <c r="F56" s="517" t="s">
        <v>293</v>
      </c>
      <c r="G56" s="518"/>
      <c r="H56" s="518"/>
      <c r="I56" s="518"/>
      <c r="J56" s="518"/>
      <c r="K56" s="518"/>
      <c r="L56" s="518"/>
      <c r="M56" s="526"/>
      <c r="N56" s="420"/>
      <c r="O56" s="425"/>
      <c r="P56" s="536"/>
      <c r="Q56" s="537"/>
      <c r="R56" s="525"/>
      <c r="S56" s="525"/>
      <c r="T56" s="525"/>
      <c r="U56" s="525"/>
      <c r="V56" s="503"/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/>
      <c r="B57" s="525"/>
      <c r="C57" s="421"/>
      <c r="D57" s="421"/>
      <c r="E57" s="421"/>
      <c r="F57" s="517"/>
      <c r="G57" s="518"/>
      <c r="H57" s="518"/>
      <c r="I57" s="518"/>
      <c r="J57" s="518"/>
      <c r="K57" s="518"/>
      <c r="L57" s="518"/>
      <c r="M57" s="526"/>
      <c r="N57" s="420"/>
      <c r="O57" s="425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/>
      <c r="B58" s="525"/>
      <c r="C58" s="421"/>
      <c r="D58" s="421"/>
      <c r="E58" s="421"/>
      <c r="F58" s="517"/>
      <c r="G58" s="518"/>
      <c r="H58" s="518"/>
      <c r="I58" s="518"/>
      <c r="J58" s="518"/>
      <c r="K58" s="518"/>
      <c r="L58" s="518"/>
      <c r="M58" s="526"/>
      <c r="N58" s="420"/>
      <c r="O58" s="425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/>
      <c r="B59" s="525"/>
      <c r="C59" s="421"/>
      <c r="D59" s="421"/>
      <c r="E59" s="421"/>
      <c r="F59" s="517"/>
      <c r="G59" s="518"/>
      <c r="H59" s="518"/>
      <c r="I59" s="518"/>
      <c r="J59" s="518"/>
      <c r="K59" s="518"/>
      <c r="L59" s="518"/>
      <c r="M59" s="526"/>
      <c r="N59" s="420"/>
      <c r="O59" s="425"/>
      <c r="P59" s="525"/>
      <c r="Q59" s="525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  <c r="AF59" s="87">
        <f>8*3000</f>
        <v>24000</v>
      </c>
    </row>
    <row r="60" spans="1:32" ht="27" customHeight="1" thickBot="1">
      <c r="A60" s="528"/>
      <c r="B60" s="529"/>
      <c r="C60" s="422"/>
      <c r="D60" s="422"/>
      <c r="E60" s="422"/>
      <c r="F60" s="530"/>
      <c r="G60" s="531"/>
      <c r="H60" s="531"/>
      <c r="I60" s="531"/>
      <c r="J60" s="531"/>
      <c r="K60" s="531"/>
      <c r="L60" s="531"/>
      <c r="M60" s="532"/>
      <c r="N60" s="124"/>
      <c r="O60" s="114"/>
      <c r="P60" s="533"/>
      <c r="Q60" s="533"/>
      <c r="R60" s="533"/>
      <c r="S60" s="533"/>
      <c r="T60" s="533"/>
      <c r="U60" s="533"/>
      <c r="V60" s="534"/>
      <c r="W60" s="534"/>
      <c r="X60" s="534"/>
      <c r="Y60" s="534"/>
      <c r="Z60" s="534"/>
      <c r="AA60" s="534"/>
      <c r="AB60" s="534"/>
      <c r="AC60" s="534"/>
      <c r="AD60" s="535"/>
      <c r="AF60" s="87">
        <f>16*3000</f>
        <v>48000</v>
      </c>
    </row>
    <row r="61" spans="1:32" ht="27.75" thickBot="1">
      <c r="A61" s="522" t="s">
        <v>607</v>
      </c>
      <c r="B61" s="522"/>
      <c r="C61" s="522"/>
      <c r="D61" s="522"/>
      <c r="E61" s="522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523" t="s">
        <v>113</v>
      </c>
      <c r="B62" s="515"/>
      <c r="C62" s="423" t="s">
        <v>2</v>
      </c>
      <c r="D62" s="423" t="s">
        <v>37</v>
      </c>
      <c r="E62" s="423" t="s">
        <v>3</v>
      </c>
      <c r="F62" s="515" t="s">
        <v>110</v>
      </c>
      <c r="G62" s="515"/>
      <c r="H62" s="515"/>
      <c r="I62" s="515"/>
      <c r="J62" s="515"/>
      <c r="K62" s="515" t="s">
        <v>39</v>
      </c>
      <c r="L62" s="515"/>
      <c r="M62" s="423" t="s">
        <v>40</v>
      </c>
      <c r="N62" s="515" t="s">
        <v>41</v>
      </c>
      <c r="O62" s="515"/>
      <c r="P62" s="512" t="s">
        <v>42</v>
      </c>
      <c r="Q62" s="514"/>
      <c r="R62" s="512" t="s">
        <v>43</v>
      </c>
      <c r="S62" s="513"/>
      <c r="T62" s="513"/>
      <c r="U62" s="513"/>
      <c r="V62" s="513"/>
      <c r="W62" s="513"/>
      <c r="X62" s="513"/>
      <c r="Y62" s="513"/>
      <c r="Z62" s="513"/>
      <c r="AA62" s="514"/>
      <c r="AB62" s="515" t="s">
        <v>44</v>
      </c>
      <c r="AC62" s="515"/>
      <c r="AD62" s="516"/>
      <c r="AF62" s="87">
        <f>SUM(AF59:AF61)</f>
        <v>96000</v>
      </c>
    </row>
    <row r="63" spans="1:32" ht="25.5" customHeight="1">
      <c r="A63" s="498">
        <v>1</v>
      </c>
      <c r="B63" s="499"/>
      <c r="C63" s="117" t="s">
        <v>128</v>
      </c>
      <c r="D63" s="427"/>
      <c r="E63" s="424" t="s">
        <v>183</v>
      </c>
      <c r="F63" s="500" t="s">
        <v>340</v>
      </c>
      <c r="G63" s="492"/>
      <c r="H63" s="492"/>
      <c r="I63" s="492"/>
      <c r="J63" s="492"/>
      <c r="K63" s="492" t="s">
        <v>161</v>
      </c>
      <c r="L63" s="492"/>
      <c r="M63" s="51" t="s">
        <v>162</v>
      </c>
      <c r="N63" s="501" t="s">
        <v>163</v>
      </c>
      <c r="O63" s="501"/>
      <c r="P63" s="502">
        <v>50</v>
      </c>
      <c r="Q63" s="502"/>
      <c r="R63" s="503"/>
      <c r="S63" s="503"/>
      <c r="T63" s="503"/>
      <c r="U63" s="503"/>
      <c r="V63" s="503"/>
      <c r="W63" s="503"/>
      <c r="X63" s="503"/>
      <c r="Y63" s="503"/>
      <c r="Z63" s="503"/>
      <c r="AA63" s="503"/>
      <c r="AB63" s="507"/>
      <c r="AC63" s="520"/>
      <c r="AD63" s="521"/>
      <c r="AF63" s="50"/>
    </row>
    <row r="64" spans="1:32" ht="25.5" customHeight="1">
      <c r="A64" s="498">
        <v>2</v>
      </c>
      <c r="B64" s="499"/>
      <c r="C64" s="117"/>
      <c r="D64" s="427"/>
      <c r="E64" s="424"/>
      <c r="F64" s="504"/>
      <c r="G64" s="505"/>
      <c r="H64" s="505"/>
      <c r="I64" s="505"/>
      <c r="J64" s="506"/>
      <c r="K64" s="507"/>
      <c r="L64" s="499"/>
      <c r="M64" s="51"/>
      <c r="N64" s="501"/>
      <c r="O64" s="501"/>
      <c r="P64" s="502"/>
      <c r="Q64" s="502"/>
      <c r="R64" s="503"/>
      <c r="S64" s="503"/>
      <c r="T64" s="503"/>
      <c r="U64" s="503"/>
      <c r="V64" s="503"/>
      <c r="W64" s="503"/>
      <c r="X64" s="503"/>
      <c r="Y64" s="503"/>
      <c r="Z64" s="503"/>
      <c r="AA64" s="503"/>
      <c r="AB64" s="492"/>
      <c r="AC64" s="492"/>
      <c r="AD64" s="493"/>
      <c r="AF64" s="50"/>
    </row>
    <row r="65" spans="1:32" ht="25.5" customHeight="1">
      <c r="A65" s="498">
        <v>3</v>
      </c>
      <c r="B65" s="499"/>
      <c r="C65" s="117"/>
      <c r="D65" s="427"/>
      <c r="E65" s="424"/>
      <c r="F65" s="504"/>
      <c r="G65" s="505"/>
      <c r="H65" s="505"/>
      <c r="I65" s="505"/>
      <c r="J65" s="506"/>
      <c r="K65" s="507"/>
      <c r="L65" s="499"/>
      <c r="M65" s="51"/>
      <c r="N65" s="501"/>
      <c r="O65" s="501"/>
      <c r="P65" s="502"/>
      <c r="Q65" s="502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4</v>
      </c>
      <c r="B66" s="499"/>
      <c r="C66" s="117"/>
      <c r="D66" s="427"/>
      <c r="E66" s="424"/>
      <c r="F66" s="504"/>
      <c r="G66" s="505"/>
      <c r="H66" s="505"/>
      <c r="I66" s="505"/>
      <c r="J66" s="506"/>
      <c r="K66" s="507"/>
      <c r="L66" s="499"/>
      <c r="M66" s="51"/>
      <c r="N66" s="501"/>
      <c r="O66" s="501"/>
      <c r="P66" s="502"/>
      <c r="Q66" s="502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5</v>
      </c>
      <c r="B67" s="499"/>
      <c r="C67" s="117"/>
      <c r="D67" s="427"/>
      <c r="E67" s="424"/>
      <c r="F67" s="504"/>
      <c r="G67" s="505"/>
      <c r="H67" s="505"/>
      <c r="I67" s="505"/>
      <c r="J67" s="506"/>
      <c r="K67" s="507"/>
      <c r="L67" s="499"/>
      <c r="M67" s="51"/>
      <c r="N67" s="508"/>
      <c r="O67" s="509"/>
      <c r="P67" s="510"/>
      <c r="Q67" s="511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6</v>
      </c>
      <c r="B68" s="499"/>
      <c r="C68" s="117"/>
      <c r="D68" s="427"/>
      <c r="E68" s="424"/>
      <c r="F68" s="500"/>
      <c r="G68" s="492"/>
      <c r="H68" s="492"/>
      <c r="I68" s="492"/>
      <c r="J68" s="492"/>
      <c r="K68" s="492"/>
      <c r="L68" s="492"/>
      <c r="M68" s="51"/>
      <c r="N68" s="508"/>
      <c r="O68" s="509"/>
      <c r="P68" s="510"/>
      <c r="Q68" s="511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7</v>
      </c>
      <c r="B69" s="499"/>
      <c r="C69" s="117"/>
      <c r="D69" s="427"/>
      <c r="E69" s="424"/>
      <c r="F69" s="500"/>
      <c r="G69" s="492"/>
      <c r="H69" s="492"/>
      <c r="I69" s="492"/>
      <c r="J69" s="492"/>
      <c r="K69" s="492"/>
      <c r="L69" s="492"/>
      <c r="M69" s="51"/>
      <c r="N69" s="508"/>
      <c r="O69" s="509"/>
      <c r="P69" s="510"/>
      <c r="Q69" s="511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8</v>
      </c>
      <c r="B70" s="499"/>
      <c r="C70" s="117"/>
      <c r="D70" s="427"/>
      <c r="E70" s="424"/>
      <c r="F70" s="500"/>
      <c r="G70" s="492"/>
      <c r="H70" s="492"/>
      <c r="I70" s="492"/>
      <c r="J70" s="492"/>
      <c r="K70" s="492"/>
      <c r="L70" s="492"/>
      <c r="M70" s="51"/>
      <c r="N70" s="508"/>
      <c r="O70" s="509"/>
      <c r="P70" s="510"/>
      <c r="Q70" s="511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6.25" customHeight="1" thickBot="1">
      <c r="A71" s="472" t="s">
        <v>608</v>
      </c>
      <c r="B71" s="472"/>
      <c r="C71" s="472"/>
      <c r="D71" s="472"/>
      <c r="E71" s="47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73" t="s">
        <v>113</v>
      </c>
      <c r="B72" s="474"/>
      <c r="C72" s="426" t="s">
        <v>2</v>
      </c>
      <c r="D72" s="426" t="s">
        <v>37</v>
      </c>
      <c r="E72" s="426" t="s">
        <v>3</v>
      </c>
      <c r="F72" s="474" t="s">
        <v>38</v>
      </c>
      <c r="G72" s="474"/>
      <c r="H72" s="474"/>
      <c r="I72" s="474"/>
      <c r="J72" s="474"/>
      <c r="K72" s="494" t="s">
        <v>58</v>
      </c>
      <c r="L72" s="495"/>
      <c r="M72" s="495"/>
      <c r="N72" s="495"/>
      <c r="O72" s="495"/>
      <c r="P72" s="495"/>
      <c r="Q72" s="495"/>
      <c r="R72" s="495"/>
      <c r="S72" s="496"/>
      <c r="T72" s="474" t="s">
        <v>49</v>
      </c>
      <c r="U72" s="474"/>
      <c r="V72" s="494" t="s">
        <v>50</v>
      </c>
      <c r="W72" s="496"/>
      <c r="X72" s="495" t="s">
        <v>51</v>
      </c>
      <c r="Y72" s="495"/>
      <c r="Z72" s="495"/>
      <c r="AA72" s="495"/>
      <c r="AB72" s="495"/>
      <c r="AC72" s="495"/>
      <c r="AD72" s="497"/>
      <c r="AF72" s="50"/>
    </row>
    <row r="73" spans="1:32" ht="33.75" customHeight="1">
      <c r="A73" s="466">
        <v>1</v>
      </c>
      <c r="B73" s="467"/>
      <c r="C73" s="428" t="s">
        <v>114</v>
      </c>
      <c r="D73" s="428"/>
      <c r="E73" s="65" t="s">
        <v>119</v>
      </c>
      <c r="F73" s="481" t="s">
        <v>118</v>
      </c>
      <c r="G73" s="482"/>
      <c r="H73" s="482"/>
      <c r="I73" s="482"/>
      <c r="J73" s="483"/>
      <c r="K73" s="484" t="s">
        <v>130</v>
      </c>
      <c r="L73" s="485"/>
      <c r="M73" s="485"/>
      <c r="N73" s="485"/>
      <c r="O73" s="485"/>
      <c r="P73" s="485"/>
      <c r="Q73" s="485"/>
      <c r="R73" s="485"/>
      <c r="S73" s="486"/>
      <c r="T73" s="487">
        <v>43675</v>
      </c>
      <c r="U73" s="488"/>
      <c r="V73" s="489"/>
      <c r="W73" s="489"/>
      <c r="X73" s="490"/>
      <c r="Y73" s="490"/>
      <c r="Z73" s="490"/>
      <c r="AA73" s="490"/>
      <c r="AB73" s="490"/>
      <c r="AC73" s="490"/>
      <c r="AD73" s="491"/>
      <c r="AF73" s="50"/>
    </row>
    <row r="74" spans="1:32" ht="30" customHeight="1">
      <c r="A74" s="459">
        <f>A73+1</f>
        <v>2</v>
      </c>
      <c r="B74" s="460"/>
      <c r="C74" s="427"/>
      <c r="D74" s="427"/>
      <c r="E74" s="32"/>
      <c r="F74" s="460"/>
      <c r="G74" s="460"/>
      <c r="H74" s="460"/>
      <c r="I74" s="460"/>
      <c r="J74" s="460"/>
      <c r="K74" s="475"/>
      <c r="L74" s="476"/>
      <c r="M74" s="476"/>
      <c r="N74" s="476"/>
      <c r="O74" s="476"/>
      <c r="P74" s="476"/>
      <c r="Q74" s="476"/>
      <c r="R74" s="476"/>
      <c r="S74" s="477"/>
      <c r="T74" s="478"/>
      <c r="U74" s="478"/>
      <c r="V74" s="478"/>
      <c r="W74" s="478"/>
      <c r="X74" s="479"/>
      <c r="Y74" s="479"/>
      <c r="Z74" s="479"/>
      <c r="AA74" s="479"/>
      <c r="AB74" s="479"/>
      <c r="AC74" s="479"/>
      <c r="AD74" s="480"/>
      <c r="AF74" s="50"/>
    </row>
    <row r="75" spans="1:32" ht="30" customHeight="1">
      <c r="A75" s="459">
        <f t="shared" ref="A75:A81" si="13">A74+1</f>
        <v>3</v>
      </c>
      <c r="B75" s="460"/>
      <c r="C75" s="427"/>
      <c r="D75" s="427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si="13"/>
        <v>4</v>
      </c>
      <c r="B76" s="460"/>
      <c r="C76" s="427"/>
      <c r="D76" s="427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13"/>
        <v>5</v>
      </c>
      <c r="B77" s="460"/>
      <c r="C77" s="427"/>
      <c r="D77" s="427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13"/>
        <v>6</v>
      </c>
      <c r="B78" s="460"/>
      <c r="C78" s="427"/>
      <c r="D78" s="427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13"/>
        <v>7</v>
      </c>
      <c r="B79" s="460"/>
      <c r="C79" s="427"/>
      <c r="D79" s="427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13"/>
        <v>8</v>
      </c>
      <c r="B80" s="460"/>
      <c r="C80" s="427"/>
      <c r="D80" s="427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13"/>
        <v>9</v>
      </c>
      <c r="B81" s="460"/>
      <c r="C81" s="427"/>
      <c r="D81" s="427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6" thickBot="1">
      <c r="A82" s="472" t="s">
        <v>609</v>
      </c>
      <c r="B82" s="472"/>
      <c r="C82" s="472"/>
      <c r="D82" s="472"/>
      <c r="E82" s="47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73" t="s">
        <v>113</v>
      </c>
      <c r="B83" s="474"/>
      <c r="C83" s="464" t="s">
        <v>52</v>
      </c>
      <c r="D83" s="464"/>
      <c r="E83" s="464" t="s">
        <v>53</v>
      </c>
      <c r="F83" s="464"/>
      <c r="G83" s="464"/>
      <c r="H83" s="464"/>
      <c r="I83" s="464"/>
      <c r="J83" s="464"/>
      <c r="K83" s="464" t="s">
        <v>54</v>
      </c>
      <c r="L83" s="464"/>
      <c r="M83" s="464"/>
      <c r="N83" s="464"/>
      <c r="O83" s="464"/>
      <c r="P83" s="464"/>
      <c r="Q83" s="464"/>
      <c r="R83" s="464"/>
      <c r="S83" s="464"/>
      <c r="T83" s="464" t="s">
        <v>55</v>
      </c>
      <c r="U83" s="464"/>
      <c r="V83" s="464" t="s">
        <v>56</v>
      </c>
      <c r="W83" s="464"/>
      <c r="X83" s="464"/>
      <c r="Y83" s="464" t="s">
        <v>51</v>
      </c>
      <c r="Z83" s="464"/>
      <c r="AA83" s="464"/>
      <c r="AB83" s="464"/>
      <c r="AC83" s="464"/>
      <c r="AD83" s="465"/>
      <c r="AF83" s="50"/>
    </row>
    <row r="84" spans="1:32" ht="30.75" customHeight="1">
      <c r="A84" s="466">
        <v>1</v>
      </c>
      <c r="B84" s="467"/>
      <c r="C84" s="468"/>
      <c r="D84" s="468"/>
      <c r="E84" s="468"/>
      <c r="F84" s="468"/>
      <c r="G84" s="468"/>
      <c r="H84" s="468"/>
      <c r="I84" s="468"/>
      <c r="J84" s="468"/>
      <c r="K84" s="468"/>
      <c r="L84" s="468"/>
      <c r="M84" s="468"/>
      <c r="N84" s="468"/>
      <c r="O84" s="468"/>
      <c r="P84" s="468"/>
      <c r="Q84" s="468"/>
      <c r="R84" s="468"/>
      <c r="S84" s="468"/>
      <c r="T84" s="468"/>
      <c r="U84" s="468"/>
      <c r="V84" s="469"/>
      <c r="W84" s="469"/>
      <c r="X84" s="469"/>
      <c r="Y84" s="470"/>
      <c r="Z84" s="470"/>
      <c r="AA84" s="470"/>
      <c r="AB84" s="470"/>
      <c r="AC84" s="470"/>
      <c r="AD84" s="471"/>
      <c r="AF84" s="50"/>
    </row>
    <row r="85" spans="1:32" ht="30.75" customHeight="1">
      <c r="A85" s="459">
        <v>2</v>
      </c>
      <c r="B85" s="460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2"/>
      <c r="Z85" s="452"/>
      <c r="AA85" s="452"/>
      <c r="AB85" s="452"/>
      <c r="AC85" s="452"/>
      <c r="AD85" s="453"/>
      <c r="AF85" s="50"/>
    </row>
    <row r="86" spans="1:32" ht="30.75" customHeight="1" thickBot="1">
      <c r="A86" s="454">
        <v>3</v>
      </c>
      <c r="B86" s="455"/>
      <c r="C86" s="456"/>
      <c r="D86" s="456"/>
      <c r="E86" s="456"/>
      <c r="F86" s="456"/>
      <c r="G86" s="456"/>
      <c r="H86" s="456"/>
      <c r="I86" s="456"/>
      <c r="J86" s="456"/>
      <c r="K86" s="456"/>
      <c r="L86" s="456"/>
      <c r="M86" s="456"/>
      <c r="N86" s="456"/>
      <c r="O86" s="456"/>
      <c r="P86" s="456"/>
      <c r="Q86" s="456"/>
      <c r="R86" s="456"/>
      <c r="S86" s="456"/>
      <c r="T86" s="456"/>
      <c r="U86" s="456"/>
      <c r="V86" s="456"/>
      <c r="W86" s="456"/>
      <c r="X86" s="456"/>
      <c r="Y86" s="457"/>
      <c r="Z86" s="457"/>
      <c r="AA86" s="457"/>
      <c r="AB86" s="457"/>
      <c r="AC86" s="457"/>
      <c r="AD86" s="458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6C45-78F9-4A79-B05B-E720AE364EAF}"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610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439" t="s">
        <v>17</v>
      </c>
      <c r="L5" s="439" t="s">
        <v>18</v>
      </c>
      <c r="M5" s="439" t="s">
        <v>19</v>
      </c>
      <c r="N5" s="43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0.50492834394904451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0.50492834394904451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568</v>
      </c>
      <c r="E8" s="53" t="s">
        <v>567</v>
      </c>
      <c r="F8" s="30" t="s">
        <v>141</v>
      </c>
      <c r="G8" s="33">
        <v>2</v>
      </c>
      <c r="H8" s="35">
        <v>24</v>
      </c>
      <c r="I8" s="7">
        <v>44000</v>
      </c>
      <c r="J8" s="14">
        <v>13918</v>
      </c>
      <c r="K8" s="15">
        <f>L8+8046+12682+13444</f>
        <v>48090</v>
      </c>
      <c r="L8" s="15">
        <f>3357*2+3602*2</f>
        <v>13918</v>
      </c>
      <c r="M8" s="15">
        <f t="shared" si="1"/>
        <v>13918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0.50492834394904451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5012</v>
      </c>
      <c r="K9" s="15">
        <f>L9+1036+2500+4639+2951+2392+2902+2784+3566+4110+4299+4289+1910+4734+4854+3892+4611+3795+5160+1762+3528+5214+2558+4569+2950+2156+1926+2008+4959+2003</f>
        <v>103069</v>
      </c>
      <c r="L9" s="15">
        <f>2454+2558</f>
        <v>5012</v>
      </c>
      <c r="M9" s="15">
        <f t="shared" si="1"/>
        <v>5012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0.50492834394904451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125</v>
      </c>
      <c r="E10" s="53" t="s">
        <v>585</v>
      </c>
      <c r="F10" s="30" t="s">
        <v>141</v>
      </c>
      <c r="G10" s="33">
        <v>1</v>
      </c>
      <c r="H10" s="35">
        <v>24</v>
      </c>
      <c r="I10" s="7">
        <v>19000</v>
      </c>
      <c r="J10" s="5">
        <v>3140</v>
      </c>
      <c r="K10" s="15">
        <f>L10+3140</f>
        <v>7069</v>
      </c>
      <c r="L10" s="15">
        <f>1492+2437</f>
        <v>3929</v>
      </c>
      <c r="M10" s="15">
        <f t="shared" si="1"/>
        <v>3929</v>
      </c>
      <c r="N10" s="15">
        <v>0</v>
      </c>
      <c r="O10" s="58">
        <f t="shared" si="2"/>
        <v>0</v>
      </c>
      <c r="P10" s="39">
        <f t="shared" si="3"/>
        <v>19</v>
      </c>
      <c r="Q10" s="40">
        <f t="shared" si="4"/>
        <v>5</v>
      </c>
      <c r="R10" s="7"/>
      <c r="S10" s="6">
        <v>5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1.2512738853503185</v>
      </c>
      <c r="AC10" s="9">
        <f t="shared" si="6"/>
        <v>0.79166666666666663</v>
      </c>
      <c r="AD10" s="10">
        <f>AC10*AB10*(1-O10)</f>
        <v>0.99059182590233541</v>
      </c>
      <c r="AE10" s="36">
        <f t="shared" si="8"/>
        <v>0.50492834394904451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300</v>
      </c>
      <c r="F11" s="30" t="s">
        <v>126</v>
      </c>
      <c r="G11" s="33">
        <v>1</v>
      </c>
      <c r="H11" s="35">
        <v>24</v>
      </c>
      <c r="I11" s="7">
        <v>37000</v>
      </c>
      <c r="J11" s="5">
        <v>5489</v>
      </c>
      <c r="K11" s="15">
        <f>L11+1500+654+1383+1768+2486+4382</f>
        <v>17662</v>
      </c>
      <c r="L11" s="15">
        <f>2703+2786</f>
        <v>5489</v>
      </c>
      <c r="M11" s="15">
        <f t="shared" si="1"/>
        <v>5489</v>
      </c>
      <c r="N11" s="15">
        <v>0</v>
      </c>
      <c r="O11" s="58">
        <f t="shared" si="2"/>
        <v>0</v>
      </c>
      <c r="P11" s="39">
        <f t="shared" si="3"/>
        <v>24</v>
      </c>
      <c r="Q11" s="40">
        <f t="shared" si="4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1</v>
      </c>
      <c r="AD11" s="10">
        <f>AC11*AB11*(1-O11)</f>
        <v>1</v>
      </c>
      <c r="AE11" s="36">
        <f t="shared" si="8"/>
        <v>0.50492834394904451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144</v>
      </c>
      <c r="F12" s="30" t="s">
        <v>121</v>
      </c>
      <c r="G12" s="33">
        <v>1</v>
      </c>
      <c r="H12" s="35">
        <v>24</v>
      </c>
      <c r="I12" s="7">
        <v>70000</v>
      </c>
      <c r="J12" s="14">
        <v>3383</v>
      </c>
      <c r="K12" s="15">
        <f>L12+2036+3193+2673+3958+1875+401+3155+4199+2859+2339+1952+1208+2933+3415+1960+4032+870+1602+872+2860+3148+2498+463+1324+1687+1943+4107</f>
        <v>66945</v>
      </c>
      <c r="L12" s="15">
        <f>1255+2128</f>
        <v>3383</v>
      </c>
      <c r="M12" s="15">
        <f t="shared" si="1"/>
        <v>3383</v>
      </c>
      <c r="N12" s="15">
        <v>0</v>
      </c>
      <c r="O12" s="58">
        <f t="shared" si="2"/>
        <v>0</v>
      </c>
      <c r="P12" s="39">
        <f t="shared" si="3"/>
        <v>18</v>
      </c>
      <c r="Q12" s="40">
        <f t="shared" si="4"/>
        <v>6</v>
      </c>
      <c r="R12" s="7"/>
      <c r="S12" s="6">
        <v>6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0.75</v>
      </c>
      <c r="AD12" s="10">
        <f t="shared" ref="AD12:AD13" si="10">AC12*AB12*(1-O12)</f>
        <v>0.75</v>
      </c>
      <c r="AE12" s="36">
        <f t="shared" si="8"/>
        <v>0.50492834394904451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138</v>
      </c>
      <c r="D13" s="52"/>
      <c r="E13" s="53" t="s">
        <v>327</v>
      </c>
      <c r="F13" s="30" t="s">
        <v>243</v>
      </c>
      <c r="G13" s="33">
        <v>1</v>
      </c>
      <c r="H13" s="35">
        <v>24</v>
      </c>
      <c r="I13" s="7">
        <v>2200</v>
      </c>
      <c r="J13" s="14">
        <v>1702</v>
      </c>
      <c r="K13" s="15">
        <f>L13</f>
        <v>1702</v>
      </c>
      <c r="L13" s="15">
        <v>1702</v>
      </c>
      <c r="M13" s="15">
        <f t="shared" si="1"/>
        <v>1702</v>
      </c>
      <c r="N13" s="15">
        <v>0</v>
      </c>
      <c r="O13" s="58">
        <f t="shared" si="2"/>
        <v>0</v>
      </c>
      <c r="P13" s="39">
        <f t="shared" si="3"/>
        <v>10</v>
      </c>
      <c r="Q13" s="40">
        <f t="shared" si="4"/>
        <v>14</v>
      </c>
      <c r="R13" s="7"/>
      <c r="S13" s="6"/>
      <c r="T13" s="16"/>
      <c r="U13" s="16"/>
      <c r="V13" s="17"/>
      <c r="W13" s="5">
        <v>14</v>
      </c>
      <c r="X13" s="16"/>
      <c r="Y13" s="16"/>
      <c r="Z13" s="16"/>
      <c r="AA13" s="18"/>
      <c r="AB13" s="8">
        <f t="shared" si="5"/>
        <v>1</v>
      </c>
      <c r="AC13" s="9">
        <f t="shared" si="6"/>
        <v>0.41666666666666669</v>
      </c>
      <c r="AD13" s="10">
        <f t="shared" si="10"/>
        <v>0.41666666666666669</v>
      </c>
      <c r="AE13" s="36">
        <f t="shared" si="8"/>
        <v>0.50492834394904451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128</v>
      </c>
      <c r="D14" s="52"/>
      <c r="E14" s="53" t="s">
        <v>558</v>
      </c>
      <c r="F14" s="30" t="s">
        <v>190</v>
      </c>
      <c r="G14" s="33" t="s">
        <v>559</v>
      </c>
      <c r="H14" s="35">
        <v>24</v>
      </c>
      <c r="I14" s="7">
        <v>2000</v>
      </c>
      <c r="J14" s="5">
        <v>2296</v>
      </c>
      <c r="K14" s="15">
        <f>L14+2296</f>
        <v>2296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0.50492834394904451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381</v>
      </c>
      <c r="D15" s="52"/>
      <c r="E15" s="53" t="s">
        <v>494</v>
      </c>
      <c r="F15" s="12" t="s">
        <v>495</v>
      </c>
      <c r="G15" s="12">
        <v>7</v>
      </c>
      <c r="H15" s="13">
        <v>24</v>
      </c>
      <c r="I15" s="31">
        <v>20000</v>
      </c>
      <c r="J15" s="14">
        <v>4048</v>
      </c>
      <c r="K15" s="15">
        <f>L15+4736+32276+34100+4048</f>
        <v>75160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18</v>
      </c>
      <c r="R15" s="7"/>
      <c r="S15" s="6"/>
      <c r="T15" s="16"/>
      <c r="U15" s="16"/>
      <c r="V15" s="17"/>
      <c r="W15" s="5">
        <v>18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0.50492834394904451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125</v>
      </c>
      <c r="E16" s="53" t="s">
        <v>149</v>
      </c>
      <c r="F16" s="30" t="s">
        <v>126</v>
      </c>
      <c r="G16" s="12">
        <v>1</v>
      </c>
      <c r="H16" s="13">
        <v>28</v>
      </c>
      <c r="I16" s="7">
        <v>50000</v>
      </c>
      <c r="J16" s="14">
        <v>3203</v>
      </c>
      <c r="K16" s="15">
        <f>L16+2312+5350+5082+5413+1290+2964+5302+4904+5084</f>
        <v>40904</v>
      </c>
      <c r="L16" s="15">
        <f>2602+601</f>
        <v>3203</v>
      </c>
      <c r="M16" s="15">
        <f t="shared" si="1"/>
        <v>3203</v>
      </c>
      <c r="N16" s="15">
        <v>0</v>
      </c>
      <c r="O16" s="58">
        <f t="shared" si="2"/>
        <v>0</v>
      </c>
      <c r="P16" s="39">
        <f t="shared" si="3"/>
        <v>16</v>
      </c>
      <c r="Q16" s="40">
        <f t="shared" si="4"/>
        <v>8</v>
      </c>
      <c r="R16" s="7"/>
      <c r="S16" s="6">
        <v>8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0.66666666666666663</v>
      </c>
      <c r="AD16" s="10">
        <f t="shared" si="7"/>
        <v>0.66666666666666663</v>
      </c>
      <c r="AE16" s="36">
        <f t="shared" si="8"/>
        <v>0.50492834394904451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128</v>
      </c>
      <c r="D17" s="52" t="s">
        <v>183</v>
      </c>
      <c r="E17" s="53" t="s">
        <v>340</v>
      </c>
      <c r="F17" s="30" t="s">
        <v>161</v>
      </c>
      <c r="G17" s="33">
        <v>1</v>
      </c>
      <c r="H17" s="35">
        <v>24</v>
      </c>
      <c r="I17" s="7">
        <v>12000</v>
      </c>
      <c r="J17" s="5">
        <v>5533</v>
      </c>
      <c r="K17" s="15">
        <f>L17+3037</f>
        <v>8570</v>
      </c>
      <c r="L17" s="15">
        <f>2103+3430</f>
        <v>5533</v>
      </c>
      <c r="M17" s="15">
        <f t="shared" si="1"/>
        <v>5533</v>
      </c>
      <c r="N17" s="15">
        <v>0</v>
      </c>
      <c r="O17" s="58">
        <f t="shared" si="2"/>
        <v>0</v>
      </c>
      <c r="P17" s="39">
        <f t="shared" si="3"/>
        <v>20</v>
      </c>
      <c r="Q17" s="40">
        <f t="shared" si="4"/>
        <v>4</v>
      </c>
      <c r="R17" s="7">
        <v>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0.83333333333333337</v>
      </c>
      <c r="AD17" s="10">
        <f t="shared" si="7"/>
        <v>0.83333333333333337</v>
      </c>
      <c r="AE17" s="36">
        <f t="shared" si="8"/>
        <v>0.50492834394904451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122</v>
      </c>
      <c r="E18" s="53" t="s">
        <v>590</v>
      </c>
      <c r="F18" s="30" t="s">
        <v>123</v>
      </c>
      <c r="G18" s="33">
        <v>1</v>
      </c>
      <c r="H18" s="35">
        <v>24</v>
      </c>
      <c r="I18" s="7">
        <v>60000</v>
      </c>
      <c r="J18" s="5">
        <v>2867</v>
      </c>
      <c r="K18" s="15">
        <f>L18+2968+2173</f>
        <v>8008</v>
      </c>
      <c r="L18" s="15">
        <f>1456+1411</f>
        <v>2867</v>
      </c>
      <c r="M18" s="15">
        <f t="shared" si="1"/>
        <v>2867</v>
      </c>
      <c r="N18" s="15">
        <v>0</v>
      </c>
      <c r="O18" s="58">
        <f t="shared" si="2"/>
        <v>0</v>
      </c>
      <c r="P18" s="39">
        <f t="shared" si="3"/>
        <v>14</v>
      </c>
      <c r="Q18" s="40">
        <f t="shared" si="4"/>
        <v>10</v>
      </c>
      <c r="R18" s="7"/>
      <c r="S18" s="6">
        <v>10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0.58333333333333337</v>
      </c>
      <c r="AD18" s="10">
        <f>AC18*AB18*(1-O18)</f>
        <v>0.58333333333333337</v>
      </c>
      <c r="AE18" s="36">
        <f t="shared" si="8"/>
        <v>0.50492834394904451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611</v>
      </c>
      <c r="E19" s="53" t="s">
        <v>612</v>
      </c>
      <c r="F19" s="30" t="s">
        <v>267</v>
      </c>
      <c r="G19" s="33">
        <v>1</v>
      </c>
      <c r="H19" s="35">
        <v>24</v>
      </c>
      <c r="I19" s="7">
        <v>10000</v>
      </c>
      <c r="J19" s="14">
        <v>1484</v>
      </c>
      <c r="K19" s="15">
        <f>L19</f>
        <v>1484</v>
      </c>
      <c r="L19" s="15">
        <v>1484</v>
      </c>
      <c r="M19" s="15">
        <f t="shared" si="1"/>
        <v>1484</v>
      </c>
      <c r="N19" s="15">
        <v>0</v>
      </c>
      <c r="O19" s="58">
        <f t="shared" si="2"/>
        <v>0</v>
      </c>
      <c r="P19" s="39">
        <f t="shared" si="3"/>
        <v>8</v>
      </c>
      <c r="Q19" s="40">
        <f t="shared" si="4"/>
        <v>16</v>
      </c>
      <c r="R19" s="7"/>
      <c r="S19" s="6">
        <v>16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0.33333333333333331</v>
      </c>
      <c r="AD19" s="10">
        <f t="shared" si="7"/>
        <v>0.33333333333333331</v>
      </c>
      <c r="AE19" s="36">
        <f t="shared" si="8"/>
        <v>0.50492834394904451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316</v>
      </c>
      <c r="F20" s="12" t="s">
        <v>116</v>
      </c>
      <c r="G20" s="12">
        <v>4</v>
      </c>
      <c r="H20" s="35">
        <v>20</v>
      </c>
      <c r="I20" s="7">
        <v>200000</v>
      </c>
      <c r="J20" s="14">
        <v>41856</v>
      </c>
      <c r="K20" s="15">
        <f>L20+40932+41236+41440+41856</f>
        <v>165464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0.50492834394904451</v>
      </c>
      <c r="AF20" s="87">
        <f t="shared" si="9"/>
        <v>15</v>
      </c>
    </row>
    <row r="21" spans="1:32" ht="31.5" customHeight="1" thickBot="1">
      <c r="A21" s="541" t="s">
        <v>34</v>
      </c>
      <c r="B21" s="542"/>
      <c r="C21" s="542"/>
      <c r="D21" s="542"/>
      <c r="E21" s="542"/>
      <c r="F21" s="542"/>
      <c r="G21" s="542"/>
      <c r="H21" s="543"/>
      <c r="I21" s="22">
        <f t="shared" ref="I21:N21" si="11">SUM(I6:I20)</f>
        <v>617200</v>
      </c>
      <c r="J21" s="19">
        <f t="shared" si="11"/>
        <v>95992</v>
      </c>
      <c r="K21" s="20">
        <f t="shared" si="11"/>
        <v>557971</v>
      </c>
      <c r="L21" s="21">
        <f t="shared" si="11"/>
        <v>46520</v>
      </c>
      <c r="M21" s="20">
        <f t="shared" si="11"/>
        <v>46520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177</v>
      </c>
      <c r="Q21" s="43">
        <f t="shared" si="12"/>
        <v>177</v>
      </c>
      <c r="R21" s="23">
        <f t="shared" si="12"/>
        <v>28</v>
      </c>
      <c r="S21" s="24">
        <f t="shared" si="12"/>
        <v>45</v>
      </c>
      <c r="T21" s="24">
        <f t="shared" si="12"/>
        <v>0</v>
      </c>
      <c r="U21" s="24">
        <f t="shared" si="12"/>
        <v>0</v>
      </c>
      <c r="V21" s="25">
        <f t="shared" si="12"/>
        <v>48</v>
      </c>
      <c r="W21" s="26">
        <f t="shared" si="12"/>
        <v>56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0.68341825902335462</v>
      </c>
      <c r="AC21" s="4">
        <f>SUM(AC6:AC20)/15</f>
        <v>0.49166666666666659</v>
      </c>
      <c r="AD21" s="4">
        <f>SUM(AD6:AD20)/15</f>
        <v>0.50492834394904451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44" t="s">
        <v>45</v>
      </c>
      <c r="B48" s="544"/>
      <c r="C48" s="544"/>
      <c r="D48" s="544"/>
      <c r="E48" s="54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45" t="s">
        <v>613</v>
      </c>
      <c r="B49" s="546"/>
      <c r="C49" s="546"/>
      <c r="D49" s="546"/>
      <c r="E49" s="546"/>
      <c r="F49" s="546"/>
      <c r="G49" s="546"/>
      <c r="H49" s="546"/>
      <c r="I49" s="546"/>
      <c r="J49" s="546"/>
      <c r="K49" s="546"/>
      <c r="L49" s="546"/>
      <c r="M49" s="547"/>
      <c r="N49" s="548" t="s">
        <v>616</v>
      </c>
      <c r="O49" s="549"/>
      <c r="P49" s="549"/>
      <c r="Q49" s="549"/>
      <c r="R49" s="549"/>
      <c r="S49" s="549"/>
      <c r="T49" s="549"/>
      <c r="U49" s="549"/>
      <c r="V49" s="549"/>
      <c r="W49" s="549"/>
      <c r="X49" s="549"/>
      <c r="Y49" s="549"/>
      <c r="Z49" s="549"/>
      <c r="AA49" s="549"/>
      <c r="AB49" s="549"/>
      <c r="AC49" s="549"/>
      <c r="AD49" s="550"/>
    </row>
    <row r="50" spans="1:32" ht="27" customHeight="1">
      <c r="A50" s="551" t="s">
        <v>2</v>
      </c>
      <c r="B50" s="552"/>
      <c r="C50" s="438" t="s">
        <v>46</v>
      </c>
      <c r="D50" s="438" t="s">
        <v>47</v>
      </c>
      <c r="E50" s="438" t="s">
        <v>108</v>
      </c>
      <c r="F50" s="552" t="s">
        <v>107</v>
      </c>
      <c r="G50" s="552"/>
      <c r="H50" s="552"/>
      <c r="I50" s="552"/>
      <c r="J50" s="552"/>
      <c r="K50" s="552"/>
      <c r="L50" s="552"/>
      <c r="M50" s="553"/>
      <c r="N50" s="67" t="s">
        <v>112</v>
      </c>
      <c r="O50" s="438" t="s">
        <v>46</v>
      </c>
      <c r="P50" s="554" t="s">
        <v>47</v>
      </c>
      <c r="Q50" s="555"/>
      <c r="R50" s="554" t="s">
        <v>38</v>
      </c>
      <c r="S50" s="556"/>
      <c r="T50" s="556"/>
      <c r="U50" s="555"/>
      <c r="V50" s="554" t="s">
        <v>48</v>
      </c>
      <c r="W50" s="556"/>
      <c r="X50" s="556"/>
      <c r="Y50" s="556"/>
      <c r="Z50" s="556"/>
      <c r="AA50" s="556"/>
      <c r="AB50" s="556"/>
      <c r="AC50" s="556"/>
      <c r="AD50" s="557"/>
    </row>
    <row r="51" spans="1:32" ht="27" customHeight="1">
      <c r="A51" s="524" t="s">
        <v>124</v>
      </c>
      <c r="B51" s="525"/>
      <c r="C51" s="436" t="s">
        <v>155</v>
      </c>
      <c r="D51" s="436" t="s">
        <v>125</v>
      </c>
      <c r="E51" s="436" t="s">
        <v>585</v>
      </c>
      <c r="F51" s="517" t="s">
        <v>226</v>
      </c>
      <c r="G51" s="518"/>
      <c r="H51" s="518"/>
      <c r="I51" s="518"/>
      <c r="J51" s="518"/>
      <c r="K51" s="518"/>
      <c r="L51" s="518"/>
      <c r="M51" s="526"/>
      <c r="N51" s="435" t="s">
        <v>138</v>
      </c>
      <c r="O51" s="433" t="s">
        <v>179</v>
      </c>
      <c r="P51" s="536"/>
      <c r="Q51" s="537"/>
      <c r="R51" s="536" t="s">
        <v>326</v>
      </c>
      <c r="S51" s="538"/>
      <c r="T51" s="538"/>
      <c r="U51" s="537"/>
      <c r="V51" s="503" t="s">
        <v>120</v>
      </c>
      <c r="W51" s="503"/>
      <c r="X51" s="503"/>
      <c r="Y51" s="503"/>
      <c r="Z51" s="503"/>
      <c r="AA51" s="503"/>
      <c r="AB51" s="503"/>
      <c r="AC51" s="503"/>
      <c r="AD51" s="527"/>
    </row>
    <row r="52" spans="1:32" ht="27" customHeight="1">
      <c r="A52" s="524" t="s">
        <v>114</v>
      </c>
      <c r="B52" s="525"/>
      <c r="C52" s="436" t="s">
        <v>150</v>
      </c>
      <c r="D52" s="436" t="s">
        <v>117</v>
      </c>
      <c r="E52" s="436" t="s">
        <v>144</v>
      </c>
      <c r="F52" s="517" t="s">
        <v>614</v>
      </c>
      <c r="G52" s="518"/>
      <c r="H52" s="518"/>
      <c r="I52" s="518"/>
      <c r="J52" s="518"/>
      <c r="K52" s="518"/>
      <c r="L52" s="518"/>
      <c r="M52" s="526"/>
      <c r="N52" s="435" t="s">
        <v>114</v>
      </c>
      <c r="O52" s="433" t="s">
        <v>234</v>
      </c>
      <c r="P52" s="536" t="s">
        <v>122</v>
      </c>
      <c r="Q52" s="537"/>
      <c r="R52" s="536" t="s">
        <v>590</v>
      </c>
      <c r="S52" s="538"/>
      <c r="T52" s="538"/>
      <c r="U52" s="537"/>
      <c r="V52" s="503" t="s">
        <v>157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138</v>
      </c>
      <c r="B53" s="525"/>
      <c r="C53" s="436" t="s">
        <v>179</v>
      </c>
      <c r="D53" s="436" t="s">
        <v>117</v>
      </c>
      <c r="E53" s="436" t="s">
        <v>327</v>
      </c>
      <c r="F53" s="517" t="s">
        <v>120</v>
      </c>
      <c r="G53" s="518"/>
      <c r="H53" s="518"/>
      <c r="I53" s="518"/>
      <c r="J53" s="518"/>
      <c r="K53" s="518"/>
      <c r="L53" s="518"/>
      <c r="M53" s="526"/>
      <c r="N53" s="435" t="s">
        <v>128</v>
      </c>
      <c r="O53" s="433" t="s">
        <v>163</v>
      </c>
      <c r="P53" s="536" t="s">
        <v>183</v>
      </c>
      <c r="Q53" s="537"/>
      <c r="R53" s="536" t="s">
        <v>340</v>
      </c>
      <c r="S53" s="538"/>
      <c r="T53" s="538"/>
      <c r="U53" s="537"/>
      <c r="V53" s="503" t="s">
        <v>157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128</v>
      </c>
      <c r="B54" s="525"/>
      <c r="C54" s="436" t="s">
        <v>163</v>
      </c>
      <c r="D54" s="436" t="s">
        <v>183</v>
      </c>
      <c r="E54" s="436" t="s">
        <v>340</v>
      </c>
      <c r="F54" s="517" t="s">
        <v>615</v>
      </c>
      <c r="G54" s="518"/>
      <c r="H54" s="518"/>
      <c r="I54" s="518"/>
      <c r="J54" s="518"/>
      <c r="K54" s="518"/>
      <c r="L54" s="518"/>
      <c r="M54" s="526"/>
      <c r="N54" s="435"/>
      <c r="O54" s="433"/>
      <c r="P54" s="536"/>
      <c r="Q54" s="537"/>
      <c r="R54" s="536"/>
      <c r="S54" s="538"/>
      <c r="T54" s="538"/>
      <c r="U54" s="537"/>
      <c r="V54" s="503"/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114</v>
      </c>
      <c r="B55" s="525"/>
      <c r="C55" s="436" t="s">
        <v>234</v>
      </c>
      <c r="D55" s="436" t="s">
        <v>122</v>
      </c>
      <c r="E55" s="436" t="s">
        <v>590</v>
      </c>
      <c r="F55" s="517" t="s">
        <v>580</v>
      </c>
      <c r="G55" s="518"/>
      <c r="H55" s="518"/>
      <c r="I55" s="518"/>
      <c r="J55" s="518"/>
      <c r="K55" s="518"/>
      <c r="L55" s="518"/>
      <c r="M55" s="526"/>
      <c r="N55" s="435"/>
      <c r="O55" s="433"/>
      <c r="P55" s="536"/>
      <c r="Q55" s="537"/>
      <c r="R55" s="536"/>
      <c r="S55" s="538"/>
      <c r="T55" s="538"/>
      <c r="U55" s="537"/>
      <c r="V55" s="503"/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 t="s">
        <v>124</v>
      </c>
      <c r="B56" s="525"/>
      <c r="C56" s="436" t="s">
        <v>171</v>
      </c>
      <c r="D56" s="436" t="s">
        <v>117</v>
      </c>
      <c r="E56" s="436" t="s">
        <v>235</v>
      </c>
      <c r="F56" s="517" t="s">
        <v>229</v>
      </c>
      <c r="G56" s="518"/>
      <c r="H56" s="518"/>
      <c r="I56" s="518"/>
      <c r="J56" s="518"/>
      <c r="K56" s="518"/>
      <c r="L56" s="518"/>
      <c r="M56" s="526"/>
      <c r="N56" s="435"/>
      <c r="O56" s="433"/>
      <c r="P56" s="536"/>
      <c r="Q56" s="537"/>
      <c r="R56" s="525"/>
      <c r="S56" s="525"/>
      <c r="T56" s="525"/>
      <c r="U56" s="525"/>
      <c r="V56" s="503"/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 t="s">
        <v>124</v>
      </c>
      <c r="B57" s="525"/>
      <c r="C57" s="436" t="s">
        <v>171</v>
      </c>
      <c r="D57" s="436" t="s">
        <v>611</v>
      </c>
      <c r="E57" s="436" t="s">
        <v>612</v>
      </c>
      <c r="F57" s="517" t="s">
        <v>120</v>
      </c>
      <c r="G57" s="518"/>
      <c r="H57" s="518"/>
      <c r="I57" s="518"/>
      <c r="J57" s="518"/>
      <c r="K57" s="518"/>
      <c r="L57" s="518"/>
      <c r="M57" s="526"/>
      <c r="N57" s="435"/>
      <c r="O57" s="433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/>
      <c r="B58" s="525"/>
      <c r="C58" s="436"/>
      <c r="D58" s="436"/>
      <c r="E58" s="436"/>
      <c r="F58" s="517"/>
      <c r="G58" s="518"/>
      <c r="H58" s="518"/>
      <c r="I58" s="518"/>
      <c r="J58" s="518"/>
      <c r="K58" s="518"/>
      <c r="L58" s="518"/>
      <c r="M58" s="526"/>
      <c r="N58" s="435"/>
      <c r="O58" s="433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/>
      <c r="B59" s="525"/>
      <c r="C59" s="436"/>
      <c r="D59" s="436"/>
      <c r="E59" s="436"/>
      <c r="F59" s="517"/>
      <c r="G59" s="518"/>
      <c r="H59" s="518"/>
      <c r="I59" s="518"/>
      <c r="J59" s="518"/>
      <c r="K59" s="518"/>
      <c r="L59" s="518"/>
      <c r="M59" s="526"/>
      <c r="N59" s="435"/>
      <c r="O59" s="433"/>
      <c r="P59" s="525"/>
      <c r="Q59" s="525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  <c r="AF59" s="87">
        <f>8*3000</f>
        <v>24000</v>
      </c>
    </row>
    <row r="60" spans="1:32" ht="27" customHeight="1" thickBot="1">
      <c r="A60" s="528"/>
      <c r="B60" s="529"/>
      <c r="C60" s="437"/>
      <c r="D60" s="437"/>
      <c r="E60" s="437"/>
      <c r="F60" s="530"/>
      <c r="G60" s="531"/>
      <c r="H60" s="531"/>
      <c r="I60" s="531"/>
      <c r="J60" s="531"/>
      <c r="K60" s="531"/>
      <c r="L60" s="531"/>
      <c r="M60" s="532"/>
      <c r="N60" s="124"/>
      <c r="O60" s="114"/>
      <c r="P60" s="533"/>
      <c r="Q60" s="533"/>
      <c r="R60" s="533"/>
      <c r="S60" s="533"/>
      <c r="T60" s="533"/>
      <c r="U60" s="533"/>
      <c r="V60" s="534"/>
      <c r="W60" s="534"/>
      <c r="X60" s="534"/>
      <c r="Y60" s="534"/>
      <c r="Z60" s="534"/>
      <c r="AA60" s="534"/>
      <c r="AB60" s="534"/>
      <c r="AC60" s="534"/>
      <c r="AD60" s="535"/>
      <c r="AF60" s="87">
        <f>16*3000</f>
        <v>48000</v>
      </c>
    </row>
    <row r="61" spans="1:32" ht="27.75" thickBot="1">
      <c r="A61" s="522" t="s">
        <v>617</v>
      </c>
      <c r="B61" s="522"/>
      <c r="C61" s="522"/>
      <c r="D61" s="522"/>
      <c r="E61" s="522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523" t="s">
        <v>113</v>
      </c>
      <c r="B62" s="515"/>
      <c r="C62" s="434" t="s">
        <v>2</v>
      </c>
      <c r="D62" s="434" t="s">
        <v>37</v>
      </c>
      <c r="E62" s="434" t="s">
        <v>3</v>
      </c>
      <c r="F62" s="515" t="s">
        <v>110</v>
      </c>
      <c r="G62" s="515"/>
      <c r="H62" s="515"/>
      <c r="I62" s="515"/>
      <c r="J62" s="515"/>
      <c r="K62" s="515" t="s">
        <v>39</v>
      </c>
      <c r="L62" s="515"/>
      <c r="M62" s="434" t="s">
        <v>40</v>
      </c>
      <c r="N62" s="515" t="s">
        <v>41</v>
      </c>
      <c r="O62" s="515"/>
      <c r="P62" s="512" t="s">
        <v>42</v>
      </c>
      <c r="Q62" s="514"/>
      <c r="R62" s="512" t="s">
        <v>43</v>
      </c>
      <c r="S62" s="513"/>
      <c r="T62" s="513"/>
      <c r="U62" s="513"/>
      <c r="V62" s="513"/>
      <c r="W62" s="513"/>
      <c r="X62" s="513"/>
      <c r="Y62" s="513"/>
      <c r="Z62" s="513"/>
      <c r="AA62" s="514"/>
      <c r="AB62" s="515" t="s">
        <v>44</v>
      </c>
      <c r="AC62" s="515"/>
      <c r="AD62" s="516"/>
      <c r="AF62" s="87">
        <f>SUM(AF59:AF61)</f>
        <v>96000</v>
      </c>
    </row>
    <row r="63" spans="1:32" ht="25.5" customHeight="1">
      <c r="A63" s="498">
        <v>1</v>
      </c>
      <c r="B63" s="499"/>
      <c r="C63" s="117" t="s">
        <v>124</v>
      </c>
      <c r="D63" s="429"/>
      <c r="E63" s="432" t="s">
        <v>135</v>
      </c>
      <c r="F63" s="500" t="s">
        <v>618</v>
      </c>
      <c r="G63" s="492"/>
      <c r="H63" s="492"/>
      <c r="I63" s="492"/>
      <c r="J63" s="492"/>
      <c r="K63" s="492" t="s">
        <v>339</v>
      </c>
      <c r="L63" s="492"/>
      <c r="M63" s="51" t="s">
        <v>216</v>
      </c>
      <c r="N63" s="501" t="s">
        <v>217</v>
      </c>
      <c r="O63" s="501"/>
      <c r="P63" s="502">
        <v>50</v>
      </c>
      <c r="Q63" s="502"/>
      <c r="R63" s="503" t="s">
        <v>619</v>
      </c>
      <c r="S63" s="503"/>
      <c r="T63" s="503"/>
      <c r="U63" s="503"/>
      <c r="V63" s="503"/>
      <c r="W63" s="503"/>
      <c r="X63" s="503"/>
      <c r="Y63" s="503"/>
      <c r="Z63" s="503"/>
      <c r="AA63" s="503"/>
      <c r="AB63" s="507"/>
      <c r="AC63" s="520"/>
      <c r="AD63" s="521"/>
      <c r="AF63" s="50"/>
    </row>
    <row r="64" spans="1:32" ht="25.5" customHeight="1">
      <c r="A64" s="498">
        <v>2</v>
      </c>
      <c r="B64" s="499"/>
      <c r="C64" s="117" t="s">
        <v>124</v>
      </c>
      <c r="D64" s="429"/>
      <c r="E64" s="432" t="s">
        <v>568</v>
      </c>
      <c r="F64" s="504" t="s">
        <v>620</v>
      </c>
      <c r="G64" s="505"/>
      <c r="H64" s="505"/>
      <c r="I64" s="505"/>
      <c r="J64" s="506"/>
      <c r="K64" s="507" t="s">
        <v>621</v>
      </c>
      <c r="L64" s="499"/>
      <c r="M64" s="51" t="s">
        <v>216</v>
      </c>
      <c r="N64" s="501" t="s">
        <v>217</v>
      </c>
      <c r="O64" s="501"/>
      <c r="P64" s="502">
        <v>100</v>
      </c>
      <c r="Q64" s="502"/>
      <c r="R64" s="503"/>
      <c r="S64" s="503"/>
      <c r="T64" s="503"/>
      <c r="U64" s="503"/>
      <c r="V64" s="503"/>
      <c r="W64" s="503"/>
      <c r="X64" s="503"/>
      <c r="Y64" s="503"/>
      <c r="Z64" s="503"/>
      <c r="AA64" s="503"/>
      <c r="AB64" s="492"/>
      <c r="AC64" s="492"/>
      <c r="AD64" s="493"/>
      <c r="AF64" s="50"/>
    </row>
    <row r="65" spans="1:32" ht="25.5" customHeight="1">
      <c r="A65" s="498">
        <v>3</v>
      </c>
      <c r="B65" s="499"/>
      <c r="C65" s="117" t="s">
        <v>124</v>
      </c>
      <c r="D65" s="429"/>
      <c r="E65" s="432" t="s">
        <v>395</v>
      </c>
      <c r="F65" s="504" t="s">
        <v>622</v>
      </c>
      <c r="G65" s="505"/>
      <c r="H65" s="505"/>
      <c r="I65" s="505"/>
      <c r="J65" s="506"/>
      <c r="K65" s="492" t="s">
        <v>417</v>
      </c>
      <c r="L65" s="492"/>
      <c r="M65" s="51" t="s">
        <v>216</v>
      </c>
      <c r="N65" s="501" t="s">
        <v>179</v>
      </c>
      <c r="O65" s="501"/>
      <c r="P65" s="502">
        <v>40</v>
      </c>
      <c r="Q65" s="502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4</v>
      </c>
      <c r="B66" s="499"/>
      <c r="C66" s="117" t="s">
        <v>114</v>
      </c>
      <c r="D66" s="429"/>
      <c r="E66" s="432" t="s">
        <v>117</v>
      </c>
      <c r="F66" s="504" t="s">
        <v>410</v>
      </c>
      <c r="G66" s="505"/>
      <c r="H66" s="505"/>
      <c r="I66" s="505"/>
      <c r="J66" s="506"/>
      <c r="K66" s="507" t="s">
        <v>262</v>
      </c>
      <c r="L66" s="499"/>
      <c r="M66" s="51" t="s">
        <v>162</v>
      </c>
      <c r="N66" s="501" t="s">
        <v>179</v>
      </c>
      <c r="O66" s="501"/>
      <c r="P66" s="502">
        <v>100</v>
      </c>
      <c r="Q66" s="502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5</v>
      </c>
      <c r="B67" s="499"/>
      <c r="C67" s="117" t="s">
        <v>114</v>
      </c>
      <c r="D67" s="429"/>
      <c r="E67" s="432" t="s">
        <v>395</v>
      </c>
      <c r="F67" s="504" t="s">
        <v>396</v>
      </c>
      <c r="G67" s="505"/>
      <c r="H67" s="505"/>
      <c r="I67" s="505"/>
      <c r="J67" s="506"/>
      <c r="K67" s="507" t="s">
        <v>262</v>
      </c>
      <c r="L67" s="499"/>
      <c r="M67" s="51" t="s">
        <v>162</v>
      </c>
      <c r="N67" s="501" t="s">
        <v>179</v>
      </c>
      <c r="O67" s="501"/>
      <c r="P67" s="502">
        <v>100</v>
      </c>
      <c r="Q67" s="502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6</v>
      </c>
      <c r="B68" s="499"/>
      <c r="C68" s="117"/>
      <c r="D68" s="429"/>
      <c r="E68" s="432"/>
      <c r="F68" s="500"/>
      <c r="G68" s="492"/>
      <c r="H68" s="492"/>
      <c r="I68" s="492"/>
      <c r="J68" s="492"/>
      <c r="K68" s="492"/>
      <c r="L68" s="492"/>
      <c r="M68" s="51"/>
      <c r="N68" s="508"/>
      <c r="O68" s="509"/>
      <c r="P68" s="510"/>
      <c r="Q68" s="511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7</v>
      </c>
      <c r="B69" s="499"/>
      <c r="C69" s="117"/>
      <c r="D69" s="429"/>
      <c r="E69" s="432"/>
      <c r="F69" s="500"/>
      <c r="G69" s="492"/>
      <c r="H69" s="492"/>
      <c r="I69" s="492"/>
      <c r="J69" s="492"/>
      <c r="K69" s="492"/>
      <c r="L69" s="492"/>
      <c r="M69" s="51"/>
      <c r="N69" s="508"/>
      <c r="O69" s="509"/>
      <c r="P69" s="510"/>
      <c r="Q69" s="511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8</v>
      </c>
      <c r="B70" s="499"/>
      <c r="C70" s="117"/>
      <c r="D70" s="429"/>
      <c r="E70" s="432"/>
      <c r="F70" s="500"/>
      <c r="G70" s="492"/>
      <c r="H70" s="492"/>
      <c r="I70" s="492"/>
      <c r="J70" s="492"/>
      <c r="K70" s="492"/>
      <c r="L70" s="492"/>
      <c r="M70" s="51"/>
      <c r="N70" s="508"/>
      <c r="O70" s="509"/>
      <c r="P70" s="510"/>
      <c r="Q70" s="511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6.25" customHeight="1" thickBot="1">
      <c r="A71" s="472" t="s">
        <v>623</v>
      </c>
      <c r="B71" s="472"/>
      <c r="C71" s="472"/>
      <c r="D71" s="472"/>
      <c r="E71" s="47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73" t="s">
        <v>113</v>
      </c>
      <c r="B72" s="474"/>
      <c r="C72" s="431" t="s">
        <v>2</v>
      </c>
      <c r="D72" s="431" t="s">
        <v>37</v>
      </c>
      <c r="E72" s="431" t="s">
        <v>3</v>
      </c>
      <c r="F72" s="474" t="s">
        <v>38</v>
      </c>
      <c r="G72" s="474"/>
      <c r="H72" s="474"/>
      <c r="I72" s="474"/>
      <c r="J72" s="474"/>
      <c r="K72" s="494" t="s">
        <v>58</v>
      </c>
      <c r="L72" s="495"/>
      <c r="M72" s="495"/>
      <c r="N72" s="495"/>
      <c r="O72" s="495"/>
      <c r="P72" s="495"/>
      <c r="Q72" s="495"/>
      <c r="R72" s="495"/>
      <c r="S72" s="496"/>
      <c r="T72" s="474" t="s">
        <v>49</v>
      </c>
      <c r="U72" s="474"/>
      <c r="V72" s="494" t="s">
        <v>50</v>
      </c>
      <c r="W72" s="496"/>
      <c r="X72" s="495" t="s">
        <v>51</v>
      </c>
      <c r="Y72" s="495"/>
      <c r="Z72" s="495"/>
      <c r="AA72" s="495"/>
      <c r="AB72" s="495"/>
      <c r="AC72" s="495"/>
      <c r="AD72" s="497"/>
      <c r="AF72" s="50"/>
    </row>
    <row r="73" spans="1:32" ht="33.75" customHeight="1">
      <c r="A73" s="466">
        <v>1</v>
      </c>
      <c r="B73" s="467"/>
      <c r="C73" s="430" t="s">
        <v>114</v>
      </c>
      <c r="D73" s="430"/>
      <c r="E73" s="65" t="s">
        <v>119</v>
      </c>
      <c r="F73" s="481" t="s">
        <v>118</v>
      </c>
      <c r="G73" s="482"/>
      <c r="H73" s="482"/>
      <c r="I73" s="482"/>
      <c r="J73" s="483"/>
      <c r="K73" s="484" t="s">
        <v>130</v>
      </c>
      <c r="L73" s="485"/>
      <c r="M73" s="485"/>
      <c r="N73" s="485"/>
      <c r="O73" s="485"/>
      <c r="P73" s="485"/>
      <c r="Q73" s="485"/>
      <c r="R73" s="485"/>
      <c r="S73" s="486"/>
      <c r="T73" s="487">
        <v>43675</v>
      </c>
      <c r="U73" s="488"/>
      <c r="V73" s="489"/>
      <c r="W73" s="489"/>
      <c r="X73" s="490"/>
      <c r="Y73" s="490"/>
      <c r="Z73" s="490"/>
      <c r="AA73" s="490"/>
      <c r="AB73" s="490"/>
      <c r="AC73" s="490"/>
      <c r="AD73" s="491"/>
      <c r="AF73" s="50"/>
    </row>
    <row r="74" spans="1:32" ht="30" customHeight="1">
      <c r="A74" s="459">
        <f>A73+1</f>
        <v>2</v>
      </c>
      <c r="B74" s="460"/>
      <c r="C74" s="429"/>
      <c r="D74" s="429"/>
      <c r="E74" s="32"/>
      <c r="F74" s="460"/>
      <c r="G74" s="460"/>
      <c r="H74" s="460"/>
      <c r="I74" s="460"/>
      <c r="J74" s="460"/>
      <c r="K74" s="475"/>
      <c r="L74" s="476"/>
      <c r="M74" s="476"/>
      <c r="N74" s="476"/>
      <c r="O74" s="476"/>
      <c r="P74" s="476"/>
      <c r="Q74" s="476"/>
      <c r="R74" s="476"/>
      <c r="S74" s="477"/>
      <c r="T74" s="478"/>
      <c r="U74" s="478"/>
      <c r="V74" s="478"/>
      <c r="W74" s="478"/>
      <c r="X74" s="479"/>
      <c r="Y74" s="479"/>
      <c r="Z74" s="479"/>
      <c r="AA74" s="479"/>
      <c r="AB74" s="479"/>
      <c r="AC74" s="479"/>
      <c r="AD74" s="480"/>
      <c r="AF74" s="50"/>
    </row>
    <row r="75" spans="1:32" ht="30" customHeight="1">
      <c r="A75" s="459">
        <f t="shared" ref="A75:A81" si="13">A74+1</f>
        <v>3</v>
      </c>
      <c r="B75" s="460"/>
      <c r="C75" s="429"/>
      <c r="D75" s="429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si="13"/>
        <v>4</v>
      </c>
      <c r="B76" s="460"/>
      <c r="C76" s="429"/>
      <c r="D76" s="429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13"/>
        <v>5</v>
      </c>
      <c r="B77" s="460"/>
      <c r="C77" s="429"/>
      <c r="D77" s="429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13"/>
        <v>6</v>
      </c>
      <c r="B78" s="460"/>
      <c r="C78" s="429"/>
      <c r="D78" s="429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13"/>
        <v>7</v>
      </c>
      <c r="B79" s="460"/>
      <c r="C79" s="429"/>
      <c r="D79" s="429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13"/>
        <v>8</v>
      </c>
      <c r="B80" s="460"/>
      <c r="C80" s="429"/>
      <c r="D80" s="429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13"/>
        <v>9</v>
      </c>
      <c r="B81" s="460"/>
      <c r="C81" s="429"/>
      <c r="D81" s="429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6" thickBot="1">
      <c r="A82" s="472" t="s">
        <v>624</v>
      </c>
      <c r="B82" s="472"/>
      <c r="C82" s="472"/>
      <c r="D82" s="472"/>
      <c r="E82" s="47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73" t="s">
        <v>113</v>
      </c>
      <c r="B83" s="474"/>
      <c r="C83" s="464" t="s">
        <v>52</v>
      </c>
      <c r="D83" s="464"/>
      <c r="E83" s="464" t="s">
        <v>53</v>
      </c>
      <c r="F83" s="464"/>
      <c r="G83" s="464"/>
      <c r="H83" s="464"/>
      <c r="I83" s="464"/>
      <c r="J83" s="464"/>
      <c r="K83" s="464" t="s">
        <v>54</v>
      </c>
      <c r="L83" s="464"/>
      <c r="M83" s="464"/>
      <c r="N83" s="464"/>
      <c r="O83" s="464"/>
      <c r="P83" s="464"/>
      <c r="Q83" s="464"/>
      <c r="R83" s="464"/>
      <c r="S83" s="464"/>
      <c r="T83" s="464" t="s">
        <v>55</v>
      </c>
      <c r="U83" s="464"/>
      <c r="V83" s="464" t="s">
        <v>56</v>
      </c>
      <c r="W83" s="464"/>
      <c r="X83" s="464"/>
      <c r="Y83" s="464" t="s">
        <v>51</v>
      </c>
      <c r="Z83" s="464"/>
      <c r="AA83" s="464"/>
      <c r="AB83" s="464"/>
      <c r="AC83" s="464"/>
      <c r="AD83" s="465"/>
      <c r="AF83" s="50"/>
    </row>
    <row r="84" spans="1:32" ht="30.75" customHeight="1">
      <c r="A84" s="466">
        <v>1</v>
      </c>
      <c r="B84" s="467"/>
      <c r="C84" s="468"/>
      <c r="D84" s="468"/>
      <c r="E84" s="468"/>
      <c r="F84" s="468"/>
      <c r="G84" s="468"/>
      <c r="H84" s="468"/>
      <c r="I84" s="468"/>
      <c r="J84" s="468"/>
      <c r="K84" s="468"/>
      <c r="L84" s="468"/>
      <c r="M84" s="468"/>
      <c r="N84" s="468"/>
      <c r="O84" s="468"/>
      <c r="P84" s="468"/>
      <c r="Q84" s="468"/>
      <c r="R84" s="468"/>
      <c r="S84" s="468"/>
      <c r="T84" s="468"/>
      <c r="U84" s="468"/>
      <c r="V84" s="469"/>
      <c r="W84" s="469"/>
      <c r="X84" s="469"/>
      <c r="Y84" s="470"/>
      <c r="Z84" s="470"/>
      <c r="AA84" s="470"/>
      <c r="AB84" s="470"/>
      <c r="AC84" s="470"/>
      <c r="AD84" s="471"/>
      <c r="AF84" s="50"/>
    </row>
    <row r="85" spans="1:32" ht="30.75" customHeight="1">
      <c r="A85" s="459">
        <v>2</v>
      </c>
      <c r="B85" s="460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2"/>
      <c r="Z85" s="452"/>
      <c r="AA85" s="452"/>
      <c r="AB85" s="452"/>
      <c r="AC85" s="452"/>
      <c r="AD85" s="453"/>
      <c r="AF85" s="50"/>
    </row>
    <row r="86" spans="1:32" ht="30.75" customHeight="1" thickBot="1">
      <c r="A86" s="454">
        <v>3</v>
      </c>
      <c r="B86" s="455"/>
      <c r="C86" s="456"/>
      <c r="D86" s="456"/>
      <c r="E86" s="456"/>
      <c r="F86" s="456"/>
      <c r="G86" s="456"/>
      <c r="H86" s="456"/>
      <c r="I86" s="456"/>
      <c r="J86" s="456"/>
      <c r="K86" s="456"/>
      <c r="L86" s="456"/>
      <c r="M86" s="456"/>
      <c r="N86" s="456"/>
      <c r="O86" s="456"/>
      <c r="P86" s="456"/>
      <c r="Q86" s="456"/>
      <c r="R86" s="456"/>
      <c r="S86" s="456"/>
      <c r="T86" s="456"/>
      <c r="U86" s="456"/>
      <c r="V86" s="456"/>
      <c r="W86" s="456"/>
      <c r="X86" s="456"/>
      <c r="Y86" s="457"/>
      <c r="Z86" s="457"/>
      <c r="AA86" s="457"/>
      <c r="AB86" s="457"/>
      <c r="AC86" s="457"/>
      <c r="AD86" s="458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D8BC-6D72-40E3-881B-CBDB1E3CF7B0}">
  <dimension ref="A1:AF86"/>
  <sheetViews>
    <sheetView tabSelected="1"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68" t="s">
        <v>625</v>
      </c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68"/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69"/>
      <c r="B3" s="569"/>
      <c r="C3" s="569"/>
      <c r="D3" s="569"/>
      <c r="E3" s="569"/>
      <c r="F3" s="569"/>
      <c r="G3" s="56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70" t="s">
        <v>0</v>
      </c>
      <c r="B4" s="572" t="s">
        <v>1</v>
      </c>
      <c r="C4" s="572" t="s">
        <v>2</v>
      </c>
      <c r="D4" s="575" t="s">
        <v>3</v>
      </c>
      <c r="E4" s="577" t="s">
        <v>4</v>
      </c>
      <c r="F4" s="575" t="s">
        <v>5</v>
      </c>
      <c r="G4" s="572" t="s">
        <v>6</v>
      </c>
      <c r="H4" s="578" t="s">
        <v>7</v>
      </c>
      <c r="I4" s="558" t="s">
        <v>8</v>
      </c>
      <c r="J4" s="559"/>
      <c r="K4" s="559"/>
      <c r="L4" s="559"/>
      <c r="M4" s="559"/>
      <c r="N4" s="559"/>
      <c r="O4" s="560"/>
      <c r="P4" s="561" t="s">
        <v>9</v>
      </c>
      <c r="Q4" s="562"/>
      <c r="R4" s="563" t="s">
        <v>10</v>
      </c>
      <c r="S4" s="563"/>
      <c r="T4" s="563"/>
      <c r="U4" s="563"/>
      <c r="V4" s="563"/>
      <c r="W4" s="564" t="s">
        <v>11</v>
      </c>
      <c r="X4" s="563"/>
      <c r="Y4" s="563"/>
      <c r="Z4" s="563"/>
      <c r="AA4" s="565"/>
      <c r="AB4" s="566" t="s">
        <v>12</v>
      </c>
      <c r="AC4" s="539" t="s">
        <v>13</v>
      </c>
      <c r="AD4" s="539" t="s">
        <v>14</v>
      </c>
      <c r="AE4" s="54"/>
    </row>
    <row r="5" spans="1:32" ht="51" customHeight="1" thickBot="1">
      <c r="A5" s="571"/>
      <c r="B5" s="573"/>
      <c r="C5" s="574"/>
      <c r="D5" s="576"/>
      <c r="E5" s="576"/>
      <c r="F5" s="576"/>
      <c r="G5" s="573"/>
      <c r="H5" s="579"/>
      <c r="I5" s="55" t="s">
        <v>15</v>
      </c>
      <c r="J5" s="56" t="s">
        <v>16</v>
      </c>
      <c r="K5" s="440" t="s">
        <v>17</v>
      </c>
      <c r="L5" s="440" t="s">
        <v>18</v>
      </c>
      <c r="M5" s="440" t="s">
        <v>19</v>
      </c>
      <c r="N5" s="44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67"/>
      <c r="AC5" s="540"/>
      <c r="AD5" s="540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0.43888888888888888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128</v>
      </c>
      <c r="D7" s="52" t="s">
        <v>129</v>
      </c>
      <c r="E7" s="53" t="s">
        <v>127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0.43888888888888888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568</v>
      </c>
      <c r="E8" s="53" t="s">
        <v>567</v>
      </c>
      <c r="F8" s="30" t="s">
        <v>141</v>
      </c>
      <c r="G8" s="33">
        <v>2</v>
      </c>
      <c r="H8" s="35">
        <v>24</v>
      </c>
      <c r="I8" s="7">
        <v>44000</v>
      </c>
      <c r="J8" s="14">
        <v>13496</v>
      </c>
      <c r="K8" s="15">
        <f>L8+8046+12682+13444+13918</f>
        <v>61586</v>
      </c>
      <c r="L8" s="15">
        <f>3537*2+3211*2</f>
        <v>13496</v>
      </c>
      <c r="M8" s="15">
        <f t="shared" si="1"/>
        <v>13496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0.43888888888888888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142</v>
      </c>
      <c r="E9" s="53" t="s">
        <v>145</v>
      </c>
      <c r="F9" s="30" t="s">
        <v>126</v>
      </c>
      <c r="G9" s="33">
        <v>1</v>
      </c>
      <c r="H9" s="35">
        <v>24</v>
      </c>
      <c r="I9" s="7">
        <v>70000</v>
      </c>
      <c r="J9" s="14">
        <v>1587</v>
      </c>
      <c r="K9" s="15">
        <f>L9+1036+2500+4639+2951+2392+2902+2784+3566+4110+4299+4289+1910+4734+4854+3892+4611+3795+5160+1762+3528+5214+2558+4569+2950+2156+1926+2008+4959+2003+5012</f>
        <v>104656</v>
      </c>
      <c r="L9" s="15">
        <f>662+925</f>
        <v>1587</v>
      </c>
      <c r="M9" s="15">
        <f t="shared" si="1"/>
        <v>1587</v>
      </c>
      <c r="N9" s="15">
        <v>0</v>
      </c>
      <c r="O9" s="58">
        <f t="shared" si="2"/>
        <v>0</v>
      </c>
      <c r="P9" s="39">
        <f t="shared" si="3"/>
        <v>8</v>
      </c>
      <c r="Q9" s="40">
        <f t="shared" si="4"/>
        <v>16</v>
      </c>
      <c r="R9" s="7"/>
      <c r="S9" s="6">
        <v>16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0.33333333333333331</v>
      </c>
      <c r="AD9" s="10">
        <f t="shared" si="7"/>
        <v>0.33333333333333331</v>
      </c>
      <c r="AE9" s="36">
        <f t="shared" si="8"/>
        <v>0.43888888888888888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125</v>
      </c>
      <c r="E10" s="53" t="s">
        <v>585</v>
      </c>
      <c r="F10" s="30" t="s">
        <v>141</v>
      </c>
      <c r="G10" s="33">
        <v>1</v>
      </c>
      <c r="H10" s="35">
        <v>24</v>
      </c>
      <c r="I10" s="7">
        <v>19000</v>
      </c>
      <c r="J10" s="5">
        <v>1957</v>
      </c>
      <c r="K10" s="15">
        <f>L10+3140+3929</f>
        <v>9026</v>
      </c>
      <c r="L10" s="15">
        <f>65+1892</f>
        <v>1957</v>
      </c>
      <c r="M10" s="15">
        <f t="shared" si="1"/>
        <v>1957</v>
      </c>
      <c r="N10" s="15">
        <v>0</v>
      </c>
      <c r="O10" s="58">
        <f t="shared" si="2"/>
        <v>0</v>
      </c>
      <c r="P10" s="39">
        <f t="shared" si="3"/>
        <v>9</v>
      </c>
      <c r="Q10" s="40">
        <f t="shared" si="4"/>
        <v>15</v>
      </c>
      <c r="R10" s="7"/>
      <c r="S10" s="6">
        <v>15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0.375</v>
      </c>
      <c r="AD10" s="10">
        <f>AC10*AB10*(1-O10)</f>
        <v>0.375</v>
      </c>
      <c r="AE10" s="36">
        <f t="shared" si="8"/>
        <v>0.43888888888888888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300</v>
      </c>
      <c r="F11" s="30" t="s">
        <v>126</v>
      </c>
      <c r="G11" s="33">
        <v>1</v>
      </c>
      <c r="H11" s="35">
        <v>24</v>
      </c>
      <c r="I11" s="7">
        <v>37000</v>
      </c>
      <c r="J11" s="5">
        <v>1915</v>
      </c>
      <c r="K11" s="15">
        <f>L11+1500+654+1383+1768+2486+4382+5489</f>
        <v>19577</v>
      </c>
      <c r="L11" s="15">
        <v>1915</v>
      </c>
      <c r="M11" s="15">
        <f t="shared" si="1"/>
        <v>1915</v>
      </c>
      <c r="N11" s="15">
        <v>0</v>
      </c>
      <c r="O11" s="58">
        <f t="shared" si="2"/>
        <v>0</v>
      </c>
      <c r="P11" s="39">
        <f t="shared" si="3"/>
        <v>9</v>
      </c>
      <c r="Q11" s="40">
        <f t="shared" si="4"/>
        <v>15</v>
      </c>
      <c r="R11" s="7"/>
      <c r="S11" s="6">
        <v>15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0.375</v>
      </c>
      <c r="AD11" s="10">
        <f>AC11*AB11*(1-O11)</f>
        <v>0.375</v>
      </c>
      <c r="AE11" s="36">
        <f t="shared" si="8"/>
        <v>0.43888888888888888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144</v>
      </c>
      <c r="F12" s="30" t="s">
        <v>121</v>
      </c>
      <c r="G12" s="33">
        <v>1</v>
      </c>
      <c r="H12" s="35">
        <v>24</v>
      </c>
      <c r="I12" s="7">
        <v>70000</v>
      </c>
      <c r="J12" s="14">
        <v>1502</v>
      </c>
      <c r="K12" s="15">
        <f>L12+2036+3193+2673+3958+1875+401+3155+4199+2859+2339+1952+1208+2933+3415+1960+4032+870+1602+872+2860+3148+2498+463+1324+1687+1943+4107+3383</f>
        <v>68447</v>
      </c>
      <c r="L12" s="15">
        <v>1502</v>
      </c>
      <c r="M12" s="15">
        <f t="shared" si="1"/>
        <v>1502</v>
      </c>
      <c r="N12" s="15">
        <v>0</v>
      </c>
      <c r="O12" s="58">
        <f t="shared" si="2"/>
        <v>0</v>
      </c>
      <c r="P12" s="39">
        <f t="shared" si="3"/>
        <v>8</v>
      </c>
      <c r="Q12" s="40">
        <f t="shared" si="4"/>
        <v>16</v>
      </c>
      <c r="R12" s="7"/>
      <c r="S12" s="6">
        <v>16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0.33333333333333331</v>
      </c>
      <c r="AD12" s="10">
        <f t="shared" ref="AD12:AD13" si="10">AC12*AB12*(1-O12)</f>
        <v>0.33333333333333331</v>
      </c>
      <c r="AE12" s="36">
        <f t="shared" si="8"/>
        <v>0.43888888888888888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138</v>
      </c>
      <c r="D13" s="52"/>
      <c r="E13" s="53" t="s">
        <v>327</v>
      </c>
      <c r="F13" s="30" t="s">
        <v>243</v>
      </c>
      <c r="G13" s="33">
        <v>1</v>
      </c>
      <c r="H13" s="35">
        <v>24</v>
      </c>
      <c r="I13" s="7">
        <v>2200</v>
      </c>
      <c r="J13" s="14">
        <v>1702</v>
      </c>
      <c r="K13" s="15">
        <f>L13+1702</f>
        <v>1702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5"/>
        <v>0</v>
      </c>
      <c r="AC13" s="9">
        <f t="shared" si="6"/>
        <v>0</v>
      </c>
      <c r="AD13" s="10">
        <f t="shared" si="10"/>
        <v>0</v>
      </c>
      <c r="AE13" s="36">
        <f t="shared" si="8"/>
        <v>0.43888888888888888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128</v>
      </c>
      <c r="D14" s="52"/>
      <c r="E14" s="53" t="s">
        <v>558</v>
      </c>
      <c r="F14" s="30" t="s">
        <v>190</v>
      </c>
      <c r="G14" s="33" t="s">
        <v>559</v>
      </c>
      <c r="H14" s="35">
        <v>24</v>
      </c>
      <c r="I14" s="7">
        <v>2000</v>
      </c>
      <c r="J14" s="5">
        <v>2296</v>
      </c>
      <c r="K14" s="15">
        <f>L14+2296</f>
        <v>2296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0.43888888888888888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381</v>
      </c>
      <c r="D15" s="52"/>
      <c r="E15" s="53" t="s">
        <v>494</v>
      </c>
      <c r="F15" s="12" t="s">
        <v>495</v>
      </c>
      <c r="G15" s="12">
        <v>7</v>
      </c>
      <c r="H15" s="13">
        <v>24</v>
      </c>
      <c r="I15" s="31">
        <v>20000</v>
      </c>
      <c r="J15" s="14">
        <v>4048</v>
      </c>
      <c r="K15" s="15">
        <f>L15+4736+32276+34100+4048</f>
        <v>75160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0.43888888888888888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125</v>
      </c>
      <c r="E16" s="53" t="s">
        <v>149</v>
      </c>
      <c r="F16" s="30" t="s">
        <v>126</v>
      </c>
      <c r="G16" s="12">
        <v>1</v>
      </c>
      <c r="H16" s="13">
        <v>28</v>
      </c>
      <c r="I16" s="7">
        <v>50000</v>
      </c>
      <c r="J16" s="14">
        <v>4632</v>
      </c>
      <c r="K16" s="15">
        <f>L16+2312+5350+5082+5413+1290+2964+5302+4904+5084+3203</f>
        <v>45536</v>
      </c>
      <c r="L16" s="15">
        <f>2817+1815</f>
        <v>4632</v>
      </c>
      <c r="M16" s="15">
        <f t="shared" si="1"/>
        <v>4632</v>
      </c>
      <c r="N16" s="15">
        <v>0</v>
      </c>
      <c r="O16" s="58">
        <f t="shared" si="2"/>
        <v>0</v>
      </c>
      <c r="P16" s="39">
        <f t="shared" si="3"/>
        <v>22</v>
      </c>
      <c r="Q16" s="40">
        <f t="shared" si="4"/>
        <v>2</v>
      </c>
      <c r="R16" s="7"/>
      <c r="S16" s="6">
        <v>2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0.91666666666666663</v>
      </c>
      <c r="AD16" s="10">
        <f t="shared" si="7"/>
        <v>0.91666666666666663</v>
      </c>
      <c r="AE16" s="36">
        <f t="shared" si="8"/>
        <v>0.43888888888888888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128</v>
      </c>
      <c r="D17" s="52" t="s">
        <v>183</v>
      </c>
      <c r="E17" s="53" t="s">
        <v>340</v>
      </c>
      <c r="F17" s="30" t="s">
        <v>161</v>
      </c>
      <c r="G17" s="33">
        <v>1</v>
      </c>
      <c r="H17" s="35">
        <v>24</v>
      </c>
      <c r="I17" s="7">
        <v>12000</v>
      </c>
      <c r="J17" s="5">
        <v>6099</v>
      </c>
      <c r="K17" s="15">
        <f>L17+3037+5533</f>
        <v>14669</v>
      </c>
      <c r="L17" s="15">
        <f>3455+2644</f>
        <v>6099</v>
      </c>
      <c r="M17" s="15">
        <f t="shared" si="1"/>
        <v>6099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8"/>
        <v>0.43888888888888888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122</v>
      </c>
      <c r="E18" s="53" t="s">
        <v>590</v>
      </c>
      <c r="F18" s="30" t="s">
        <v>123</v>
      </c>
      <c r="G18" s="33">
        <v>1</v>
      </c>
      <c r="H18" s="35">
        <v>24</v>
      </c>
      <c r="I18" s="7">
        <v>60000</v>
      </c>
      <c r="J18" s="5">
        <v>4710</v>
      </c>
      <c r="K18" s="15">
        <f>L18+2968+2173+2867</f>
        <v>12718</v>
      </c>
      <c r="L18" s="15">
        <f>2815+1895</f>
        <v>4710</v>
      </c>
      <c r="M18" s="15">
        <f t="shared" si="1"/>
        <v>4710</v>
      </c>
      <c r="N18" s="15">
        <v>0</v>
      </c>
      <c r="O18" s="58">
        <f t="shared" si="2"/>
        <v>0</v>
      </c>
      <c r="P18" s="39">
        <f t="shared" si="3"/>
        <v>21</v>
      </c>
      <c r="Q18" s="40">
        <f t="shared" si="4"/>
        <v>3</v>
      </c>
      <c r="R18" s="7"/>
      <c r="S18" s="6">
        <v>3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0.875</v>
      </c>
      <c r="AD18" s="10">
        <f>AC18*AB18*(1-O18)</f>
        <v>0.875</v>
      </c>
      <c r="AE18" s="36">
        <f t="shared" si="8"/>
        <v>0.43888888888888888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611</v>
      </c>
      <c r="E19" s="53" t="s">
        <v>612</v>
      </c>
      <c r="F19" s="30" t="s">
        <v>267</v>
      </c>
      <c r="G19" s="33">
        <v>1</v>
      </c>
      <c r="H19" s="35">
        <v>24</v>
      </c>
      <c r="I19" s="7">
        <v>10000</v>
      </c>
      <c r="J19" s="14">
        <v>4928</v>
      </c>
      <c r="K19" s="15">
        <f>L19+1484</f>
        <v>6412</v>
      </c>
      <c r="L19" s="15">
        <f>2626+2302</f>
        <v>4928</v>
      </c>
      <c r="M19" s="15">
        <f t="shared" si="1"/>
        <v>4928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si="7"/>
        <v>1</v>
      </c>
      <c r="AE19" s="36">
        <f t="shared" si="8"/>
        <v>0.43888888888888888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316</v>
      </c>
      <c r="F20" s="12" t="s">
        <v>116</v>
      </c>
      <c r="G20" s="12">
        <v>4</v>
      </c>
      <c r="H20" s="35">
        <v>20</v>
      </c>
      <c r="I20" s="7">
        <v>200000</v>
      </c>
      <c r="J20" s="14">
        <v>23708</v>
      </c>
      <c r="K20" s="15">
        <f>L20+40932+41236+41440+41856</f>
        <v>189172</v>
      </c>
      <c r="L20" s="15">
        <f>5927*4</f>
        <v>23708</v>
      </c>
      <c r="M20" s="15">
        <f t="shared" si="1"/>
        <v>23708</v>
      </c>
      <c r="N20" s="15">
        <v>0</v>
      </c>
      <c r="O20" s="58">
        <f t="shared" si="2"/>
        <v>0</v>
      </c>
      <c r="P20" s="39">
        <f t="shared" si="3"/>
        <v>9</v>
      </c>
      <c r="Q20" s="40">
        <f t="shared" si="4"/>
        <v>15</v>
      </c>
      <c r="R20" s="7"/>
      <c r="S20" s="6"/>
      <c r="T20" s="16"/>
      <c r="U20" s="16"/>
      <c r="V20" s="17">
        <v>15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0.375</v>
      </c>
      <c r="AD20" s="10">
        <f t="shared" si="7"/>
        <v>0.375</v>
      </c>
      <c r="AE20" s="36">
        <f t="shared" si="8"/>
        <v>0.43888888888888888</v>
      </c>
      <c r="AF20" s="87">
        <f t="shared" si="9"/>
        <v>15</v>
      </c>
    </row>
    <row r="21" spans="1:32" ht="31.5" customHeight="1" thickBot="1">
      <c r="A21" s="541" t="s">
        <v>34</v>
      </c>
      <c r="B21" s="542"/>
      <c r="C21" s="542"/>
      <c r="D21" s="542"/>
      <c r="E21" s="542"/>
      <c r="F21" s="542"/>
      <c r="G21" s="542"/>
      <c r="H21" s="543"/>
      <c r="I21" s="22">
        <f t="shared" ref="I21:N21" si="11">SUM(I6:I20)</f>
        <v>617200</v>
      </c>
      <c r="J21" s="19">
        <f t="shared" si="11"/>
        <v>74641</v>
      </c>
      <c r="K21" s="20">
        <f t="shared" si="11"/>
        <v>622505</v>
      </c>
      <c r="L21" s="21">
        <f t="shared" si="11"/>
        <v>64534</v>
      </c>
      <c r="M21" s="20">
        <f t="shared" si="11"/>
        <v>64534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158</v>
      </c>
      <c r="Q21" s="43">
        <f t="shared" si="12"/>
        <v>202</v>
      </c>
      <c r="R21" s="23">
        <f t="shared" si="12"/>
        <v>24</v>
      </c>
      <c r="S21" s="24">
        <f t="shared" si="12"/>
        <v>67</v>
      </c>
      <c r="T21" s="24">
        <f t="shared" si="12"/>
        <v>0</v>
      </c>
      <c r="U21" s="24">
        <f t="shared" si="12"/>
        <v>0</v>
      </c>
      <c r="V21" s="25">
        <f t="shared" si="12"/>
        <v>39</v>
      </c>
      <c r="W21" s="26">
        <f t="shared" si="12"/>
        <v>72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0.66666666666666663</v>
      </c>
      <c r="AC21" s="4">
        <f>SUM(AC6:AC20)/15</f>
        <v>0.43888888888888888</v>
      </c>
      <c r="AD21" s="4">
        <f>SUM(AD6:AD20)/15</f>
        <v>0.43888888888888888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44" t="s">
        <v>45</v>
      </c>
      <c r="B48" s="544"/>
      <c r="C48" s="544"/>
      <c r="D48" s="544"/>
      <c r="E48" s="54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45" t="s">
        <v>626</v>
      </c>
      <c r="B49" s="546"/>
      <c r="C49" s="546"/>
      <c r="D49" s="546"/>
      <c r="E49" s="546"/>
      <c r="F49" s="546"/>
      <c r="G49" s="546"/>
      <c r="H49" s="546"/>
      <c r="I49" s="546"/>
      <c r="J49" s="546"/>
      <c r="K49" s="546"/>
      <c r="L49" s="546"/>
      <c r="M49" s="547"/>
      <c r="N49" s="548" t="s">
        <v>628</v>
      </c>
      <c r="O49" s="549"/>
      <c r="P49" s="549"/>
      <c r="Q49" s="549"/>
      <c r="R49" s="549"/>
      <c r="S49" s="549"/>
      <c r="T49" s="549"/>
      <c r="U49" s="549"/>
      <c r="V49" s="549"/>
      <c r="W49" s="549"/>
      <c r="X49" s="549"/>
      <c r="Y49" s="549"/>
      <c r="Z49" s="549"/>
      <c r="AA49" s="549"/>
      <c r="AB49" s="549"/>
      <c r="AC49" s="549"/>
      <c r="AD49" s="550"/>
    </row>
    <row r="50" spans="1:32" ht="27" customHeight="1">
      <c r="A50" s="551" t="s">
        <v>2</v>
      </c>
      <c r="B50" s="552"/>
      <c r="C50" s="441" t="s">
        <v>46</v>
      </c>
      <c r="D50" s="441" t="s">
        <v>47</v>
      </c>
      <c r="E50" s="441" t="s">
        <v>108</v>
      </c>
      <c r="F50" s="552" t="s">
        <v>107</v>
      </c>
      <c r="G50" s="552"/>
      <c r="H50" s="552"/>
      <c r="I50" s="552"/>
      <c r="J50" s="552"/>
      <c r="K50" s="552"/>
      <c r="L50" s="552"/>
      <c r="M50" s="553"/>
      <c r="N50" s="67" t="s">
        <v>112</v>
      </c>
      <c r="O50" s="441" t="s">
        <v>46</v>
      </c>
      <c r="P50" s="554" t="s">
        <v>47</v>
      </c>
      <c r="Q50" s="555"/>
      <c r="R50" s="554" t="s">
        <v>38</v>
      </c>
      <c r="S50" s="556"/>
      <c r="T50" s="556"/>
      <c r="U50" s="555"/>
      <c r="V50" s="554" t="s">
        <v>48</v>
      </c>
      <c r="W50" s="556"/>
      <c r="X50" s="556"/>
      <c r="Y50" s="556"/>
      <c r="Z50" s="556"/>
      <c r="AA50" s="556"/>
      <c r="AB50" s="556"/>
      <c r="AC50" s="556"/>
      <c r="AD50" s="557"/>
    </row>
    <row r="51" spans="1:32" ht="27" customHeight="1">
      <c r="A51" s="524" t="s">
        <v>124</v>
      </c>
      <c r="B51" s="525"/>
      <c r="C51" s="443" t="s">
        <v>155</v>
      </c>
      <c r="D51" s="443" t="s">
        <v>125</v>
      </c>
      <c r="E51" s="443" t="s">
        <v>585</v>
      </c>
      <c r="F51" s="517" t="s">
        <v>199</v>
      </c>
      <c r="G51" s="518"/>
      <c r="H51" s="518"/>
      <c r="I51" s="518"/>
      <c r="J51" s="518"/>
      <c r="K51" s="518"/>
      <c r="L51" s="518"/>
      <c r="M51" s="526"/>
      <c r="N51" s="442" t="s">
        <v>138</v>
      </c>
      <c r="O51" s="447" t="s">
        <v>179</v>
      </c>
      <c r="P51" s="536"/>
      <c r="Q51" s="537"/>
      <c r="R51" s="536" t="s">
        <v>326</v>
      </c>
      <c r="S51" s="538"/>
      <c r="T51" s="538"/>
      <c r="U51" s="537"/>
      <c r="V51" s="503" t="s">
        <v>120</v>
      </c>
      <c r="W51" s="503"/>
      <c r="X51" s="503"/>
      <c r="Y51" s="503"/>
      <c r="Z51" s="503"/>
      <c r="AA51" s="503"/>
      <c r="AB51" s="503"/>
      <c r="AC51" s="503"/>
      <c r="AD51" s="527"/>
    </row>
    <row r="52" spans="1:32" ht="27" customHeight="1">
      <c r="A52" s="524" t="s">
        <v>114</v>
      </c>
      <c r="B52" s="525"/>
      <c r="C52" s="443" t="s">
        <v>150</v>
      </c>
      <c r="D52" s="443" t="s">
        <v>117</v>
      </c>
      <c r="E52" s="443" t="s">
        <v>144</v>
      </c>
      <c r="F52" s="517" t="s">
        <v>199</v>
      </c>
      <c r="G52" s="518"/>
      <c r="H52" s="518"/>
      <c r="I52" s="518"/>
      <c r="J52" s="518"/>
      <c r="K52" s="518"/>
      <c r="L52" s="518"/>
      <c r="M52" s="526"/>
      <c r="N52" s="442" t="s">
        <v>114</v>
      </c>
      <c r="O52" s="447" t="s">
        <v>131</v>
      </c>
      <c r="P52" s="536" t="s">
        <v>142</v>
      </c>
      <c r="Q52" s="537"/>
      <c r="R52" s="536" t="s">
        <v>145</v>
      </c>
      <c r="S52" s="538"/>
      <c r="T52" s="538"/>
      <c r="U52" s="537"/>
      <c r="V52" s="503" t="s">
        <v>157</v>
      </c>
      <c r="W52" s="503"/>
      <c r="X52" s="503"/>
      <c r="Y52" s="503"/>
      <c r="Z52" s="503"/>
      <c r="AA52" s="503"/>
      <c r="AB52" s="503"/>
      <c r="AC52" s="503"/>
      <c r="AD52" s="527"/>
    </row>
    <row r="53" spans="1:32" ht="27" customHeight="1">
      <c r="A53" s="524" t="s">
        <v>114</v>
      </c>
      <c r="B53" s="525"/>
      <c r="C53" s="443" t="s">
        <v>234</v>
      </c>
      <c r="D53" s="443" t="s">
        <v>122</v>
      </c>
      <c r="E53" s="443" t="s">
        <v>590</v>
      </c>
      <c r="F53" s="517" t="s">
        <v>293</v>
      </c>
      <c r="G53" s="518"/>
      <c r="H53" s="518"/>
      <c r="I53" s="518"/>
      <c r="J53" s="518"/>
      <c r="K53" s="518"/>
      <c r="L53" s="518"/>
      <c r="M53" s="526"/>
      <c r="N53" s="442" t="s">
        <v>114</v>
      </c>
      <c r="O53" s="447" t="s">
        <v>150</v>
      </c>
      <c r="P53" s="536" t="s">
        <v>117</v>
      </c>
      <c r="Q53" s="537"/>
      <c r="R53" s="536" t="s">
        <v>144</v>
      </c>
      <c r="S53" s="538"/>
      <c r="T53" s="538"/>
      <c r="U53" s="537"/>
      <c r="V53" s="503" t="s">
        <v>157</v>
      </c>
      <c r="W53" s="503"/>
      <c r="X53" s="503"/>
      <c r="Y53" s="503"/>
      <c r="Z53" s="503"/>
      <c r="AA53" s="503"/>
      <c r="AB53" s="503"/>
      <c r="AC53" s="503"/>
      <c r="AD53" s="527"/>
    </row>
    <row r="54" spans="1:32" ht="27" customHeight="1">
      <c r="A54" s="524" t="s">
        <v>114</v>
      </c>
      <c r="B54" s="525"/>
      <c r="C54" s="443" t="s">
        <v>131</v>
      </c>
      <c r="D54" s="443" t="s">
        <v>142</v>
      </c>
      <c r="E54" s="443" t="s">
        <v>145</v>
      </c>
      <c r="F54" s="517" t="s">
        <v>627</v>
      </c>
      <c r="G54" s="518"/>
      <c r="H54" s="518"/>
      <c r="I54" s="518"/>
      <c r="J54" s="518"/>
      <c r="K54" s="518"/>
      <c r="L54" s="518"/>
      <c r="M54" s="526"/>
      <c r="N54" s="442" t="s">
        <v>124</v>
      </c>
      <c r="O54" s="447" t="s">
        <v>132</v>
      </c>
      <c r="P54" s="536" t="s">
        <v>183</v>
      </c>
      <c r="Q54" s="537"/>
      <c r="R54" s="536" t="s">
        <v>300</v>
      </c>
      <c r="S54" s="538"/>
      <c r="T54" s="538"/>
      <c r="U54" s="537"/>
      <c r="V54" s="503" t="s">
        <v>157</v>
      </c>
      <c r="W54" s="503"/>
      <c r="X54" s="503"/>
      <c r="Y54" s="503"/>
      <c r="Z54" s="503"/>
      <c r="AA54" s="503"/>
      <c r="AB54" s="503"/>
      <c r="AC54" s="503"/>
      <c r="AD54" s="527"/>
    </row>
    <row r="55" spans="1:32" ht="27" customHeight="1">
      <c r="A55" s="524" t="s">
        <v>124</v>
      </c>
      <c r="B55" s="525"/>
      <c r="C55" s="443" t="s">
        <v>132</v>
      </c>
      <c r="D55" s="443" t="s">
        <v>183</v>
      </c>
      <c r="E55" s="443" t="s">
        <v>300</v>
      </c>
      <c r="F55" s="517" t="s">
        <v>199</v>
      </c>
      <c r="G55" s="518"/>
      <c r="H55" s="518"/>
      <c r="I55" s="518"/>
      <c r="J55" s="518"/>
      <c r="K55" s="518"/>
      <c r="L55" s="518"/>
      <c r="M55" s="526"/>
      <c r="N55" s="442"/>
      <c r="O55" s="447"/>
      <c r="P55" s="536"/>
      <c r="Q55" s="537"/>
      <c r="R55" s="536"/>
      <c r="S55" s="538"/>
      <c r="T55" s="538"/>
      <c r="U55" s="537"/>
      <c r="V55" s="503"/>
      <c r="W55" s="503"/>
      <c r="X55" s="503"/>
      <c r="Y55" s="503"/>
      <c r="Z55" s="503"/>
      <c r="AA55" s="503"/>
      <c r="AB55" s="503"/>
      <c r="AC55" s="503"/>
      <c r="AD55" s="527"/>
    </row>
    <row r="56" spans="1:32" ht="27" customHeight="1">
      <c r="A56" s="524"/>
      <c r="B56" s="525"/>
      <c r="C56" s="443"/>
      <c r="D56" s="443"/>
      <c r="E56" s="443"/>
      <c r="F56" s="517"/>
      <c r="G56" s="518"/>
      <c r="H56" s="518"/>
      <c r="I56" s="518"/>
      <c r="J56" s="518"/>
      <c r="K56" s="518"/>
      <c r="L56" s="518"/>
      <c r="M56" s="526"/>
      <c r="N56" s="442"/>
      <c r="O56" s="447"/>
      <c r="P56" s="536"/>
      <c r="Q56" s="537"/>
      <c r="R56" s="525"/>
      <c r="S56" s="525"/>
      <c r="T56" s="525"/>
      <c r="U56" s="525"/>
      <c r="V56" s="503"/>
      <c r="W56" s="503"/>
      <c r="X56" s="503"/>
      <c r="Y56" s="503"/>
      <c r="Z56" s="503"/>
      <c r="AA56" s="503"/>
      <c r="AB56" s="503"/>
      <c r="AC56" s="503"/>
      <c r="AD56" s="527"/>
    </row>
    <row r="57" spans="1:32" ht="27" customHeight="1">
      <c r="A57" s="524"/>
      <c r="B57" s="525"/>
      <c r="C57" s="443"/>
      <c r="D57" s="443"/>
      <c r="E57" s="443"/>
      <c r="F57" s="517"/>
      <c r="G57" s="518"/>
      <c r="H57" s="518"/>
      <c r="I57" s="518"/>
      <c r="J57" s="518"/>
      <c r="K57" s="518"/>
      <c r="L57" s="518"/>
      <c r="M57" s="526"/>
      <c r="N57" s="442"/>
      <c r="O57" s="447"/>
      <c r="P57" s="536"/>
      <c r="Q57" s="537"/>
      <c r="R57" s="525"/>
      <c r="S57" s="525"/>
      <c r="T57" s="525"/>
      <c r="U57" s="525"/>
      <c r="V57" s="503"/>
      <c r="W57" s="503"/>
      <c r="X57" s="503"/>
      <c r="Y57" s="503"/>
      <c r="Z57" s="503"/>
      <c r="AA57" s="503"/>
      <c r="AB57" s="503"/>
      <c r="AC57" s="503"/>
      <c r="AD57" s="527"/>
    </row>
    <row r="58" spans="1:32" ht="27" customHeight="1">
      <c r="A58" s="524"/>
      <c r="B58" s="525"/>
      <c r="C58" s="443"/>
      <c r="D58" s="443"/>
      <c r="E58" s="443"/>
      <c r="F58" s="517"/>
      <c r="G58" s="518"/>
      <c r="H58" s="518"/>
      <c r="I58" s="518"/>
      <c r="J58" s="518"/>
      <c r="K58" s="518"/>
      <c r="L58" s="518"/>
      <c r="M58" s="526"/>
      <c r="N58" s="442"/>
      <c r="O58" s="447"/>
      <c r="P58" s="536"/>
      <c r="Q58" s="537"/>
      <c r="R58" s="525"/>
      <c r="S58" s="525"/>
      <c r="T58" s="525"/>
      <c r="U58" s="525"/>
      <c r="V58" s="503"/>
      <c r="W58" s="503"/>
      <c r="X58" s="503"/>
      <c r="Y58" s="503"/>
      <c r="Z58" s="503"/>
      <c r="AA58" s="503"/>
      <c r="AB58" s="503"/>
      <c r="AC58" s="503"/>
      <c r="AD58" s="527"/>
    </row>
    <row r="59" spans="1:32" ht="27" customHeight="1">
      <c r="A59" s="524"/>
      <c r="B59" s="525"/>
      <c r="C59" s="443"/>
      <c r="D59" s="443"/>
      <c r="E59" s="443"/>
      <c r="F59" s="517"/>
      <c r="G59" s="518"/>
      <c r="H59" s="518"/>
      <c r="I59" s="518"/>
      <c r="J59" s="518"/>
      <c r="K59" s="518"/>
      <c r="L59" s="518"/>
      <c r="M59" s="526"/>
      <c r="N59" s="442"/>
      <c r="O59" s="447"/>
      <c r="P59" s="525"/>
      <c r="Q59" s="525"/>
      <c r="R59" s="525"/>
      <c r="S59" s="525"/>
      <c r="T59" s="525"/>
      <c r="U59" s="525"/>
      <c r="V59" s="503"/>
      <c r="W59" s="503"/>
      <c r="X59" s="503"/>
      <c r="Y59" s="503"/>
      <c r="Z59" s="503"/>
      <c r="AA59" s="503"/>
      <c r="AB59" s="503"/>
      <c r="AC59" s="503"/>
      <c r="AD59" s="527"/>
      <c r="AF59" s="87">
        <f>8*3000</f>
        <v>24000</v>
      </c>
    </row>
    <row r="60" spans="1:32" ht="27" customHeight="1" thickBot="1">
      <c r="A60" s="528"/>
      <c r="B60" s="529"/>
      <c r="C60" s="444"/>
      <c r="D60" s="444"/>
      <c r="E60" s="444"/>
      <c r="F60" s="530"/>
      <c r="G60" s="531"/>
      <c r="H60" s="531"/>
      <c r="I60" s="531"/>
      <c r="J60" s="531"/>
      <c r="K60" s="531"/>
      <c r="L60" s="531"/>
      <c r="M60" s="532"/>
      <c r="N60" s="124"/>
      <c r="O60" s="114"/>
      <c r="P60" s="533"/>
      <c r="Q60" s="533"/>
      <c r="R60" s="533"/>
      <c r="S60" s="533"/>
      <c r="T60" s="533"/>
      <c r="U60" s="533"/>
      <c r="V60" s="534"/>
      <c r="W60" s="534"/>
      <c r="X60" s="534"/>
      <c r="Y60" s="534"/>
      <c r="Z60" s="534"/>
      <c r="AA60" s="534"/>
      <c r="AB60" s="534"/>
      <c r="AC60" s="534"/>
      <c r="AD60" s="535"/>
      <c r="AF60" s="87">
        <f>16*3000</f>
        <v>48000</v>
      </c>
    </row>
    <row r="61" spans="1:32" ht="27.75" thickBot="1">
      <c r="A61" s="522" t="s">
        <v>629</v>
      </c>
      <c r="B61" s="522"/>
      <c r="C61" s="522"/>
      <c r="D61" s="522"/>
      <c r="E61" s="522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523" t="s">
        <v>113</v>
      </c>
      <c r="B62" s="515"/>
      <c r="C62" s="445" t="s">
        <v>2</v>
      </c>
      <c r="D62" s="445" t="s">
        <v>37</v>
      </c>
      <c r="E62" s="445" t="s">
        <v>3</v>
      </c>
      <c r="F62" s="515" t="s">
        <v>110</v>
      </c>
      <c r="G62" s="515"/>
      <c r="H62" s="515"/>
      <c r="I62" s="515"/>
      <c r="J62" s="515"/>
      <c r="K62" s="515" t="s">
        <v>39</v>
      </c>
      <c r="L62" s="515"/>
      <c r="M62" s="445" t="s">
        <v>40</v>
      </c>
      <c r="N62" s="515" t="s">
        <v>41</v>
      </c>
      <c r="O62" s="515"/>
      <c r="P62" s="512" t="s">
        <v>42</v>
      </c>
      <c r="Q62" s="514"/>
      <c r="R62" s="512" t="s">
        <v>43</v>
      </c>
      <c r="S62" s="513"/>
      <c r="T62" s="513"/>
      <c r="U62" s="513"/>
      <c r="V62" s="513"/>
      <c r="W62" s="513"/>
      <c r="X62" s="513"/>
      <c r="Y62" s="513"/>
      <c r="Z62" s="513"/>
      <c r="AA62" s="514"/>
      <c r="AB62" s="515" t="s">
        <v>44</v>
      </c>
      <c r="AC62" s="515"/>
      <c r="AD62" s="516"/>
      <c r="AF62" s="87">
        <f>SUM(AF59:AF61)</f>
        <v>96000</v>
      </c>
    </row>
    <row r="63" spans="1:32" ht="25.5" customHeight="1">
      <c r="A63" s="498">
        <v>1</v>
      </c>
      <c r="B63" s="499"/>
      <c r="C63" s="117" t="s">
        <v>128</v>
      </c>
      <c r="D63" s="449"/>
      <c r="E63" s="446"/>
      <c r="F63" s="500" t="s">
        <v>630</v>
      </c>
      <c r="G63" s="492"/>
      <c r="H63" s="492"/>
      <c r="I63" s="492"/>
      <c r="J63" s="492"/>
      <c r="K63" s="492" t="s">
        <v>631</v>
      </c>
      <c r="L63" s="492"/>
      <c r="M63" s="51" t="s">
        <v>162</v>
      </c>
      <c r="N63" s="501" t="s">
        <v>179</v>
      </c>
      <c r="O63" s="501"/>
      <c r="P63" s="502">
        <v>100</v>
      </c>
      <c r="Q63" s="502"/>
      <c r="R63" s="503"/>
      <c r="S63" s="503"/>
      <c r="T63" s="503"/>
      <c r="U63" s="503"/>
      <c r="V63" s="503"/>
      <c r="W63" s="503"/>
      <c r="X63" s="503"/>
      <c r="Y63" s="503"/>
      <c r="Z63" s="503"/>
      <c r="AA63" s="503"/>
      <c r="AB63" s="507"/>
      <c r="AC63" s="520"/>
      <c r="AD63" s="521"/>
      <c r="AF63" s="50"/>
    </row>
    <row r="64" spans="1:32" ht="25.5" customHeight="1">
      <c r="A64" s="498">
        <v>2</v>
      </c>
      <c r="B64" s="499"/>
      <c r="C64" s="117" t="s">
        <v>128</v>
      </c>
      <c r="D64" s="449"/>
      <c r="E64" s="446"/>
      <c r="F64" s="504" t="s">
        <v>335</v>
      </c>
      <c r="G64" s="505"/>
      <c r="H64" s="505"/>
      <c r="I64" s="505"/>
      <c r="J64" s="506"/>
      <c r="K64" s="492" t="s">
        <v>631</v>
      </c>
      <c r="L64" s="492"/>
      <c r="M64" s="51" t="s">
        <v>162</v>
      </c>
      <c r="N64" s="501" t="s">
        <v>179</v>
      </c>
      <c r="O64" s="501"/>
      <c r="P64" s="502">
        <v>100</v>
      </c>
      <c r="Q64" s="502"/>
      <c r="R64" s="503" t="s">
        <v>228</v>
      </c>
      <c r="S64" s="503"/>
      <c r="T64" s="503"/>
      <c r="U64" s="503"/>
      <c r="V64" s="503"/>
      <c r="W64" s="503"/>
      <c r="X64" s="503"/>
      <c r="Y64" s="503"/>
      <c r="Z64" s="503"/>
      <c r="AA64" s="503"/>
      <c r="AB64" s="492"/>
      <c r="AC64" s="492"/>
      <c r="AD64" s="493"/>
      <c r="AF64" s="50"/>
    </row>
    <row r="65" spans="1:32" ht="25.5" customHeight="1">
      <c r="A65" s="498">
        <v>3</v>
      </c>
      <c r="B65" s="499"/>
      <c r="C65" s="117"/>
      <c r="D65" s="449"/>
      <c r="E65" s="446"/>
      <c r="F65" s="504"/>
      <c r="G65" s="505"/>
      <c r="H65" s="505"/>
      <c r="I65" s="505"/>
      <c r="J65" s="506"/>
      <c r="K65" s="492"/>
      <c r="L65" s="492"/>
      <c r="M65" s="51"/>
      <c r="N65" s="501"/>
      <c r="O65" s="501"/>
      <c r="P65" s="502"/>
      <c r="Q65" s="502"/>
      <c r="R65" s="503"/>
      <c r="S65" s="503"/>
      <c r="T65" s="503"/>
      <c r="U65" s="503"/>
      <c r="V65" s="503"/>
      <c r="W65" s="503"/>
      <c r="X65" s="503"/>
      <c r="Y65" s="503"/>
      <c r="Z65" s="503"/>
      <c r="AA65" s="503"/>
      <c r="AB65" s="492"/>
      <c r="AC65" s="492"/>
      <c r="AD65" s="493"/>
      <c r="AF65" s="50"/>
    </row>
    <row r="66" spans="1:32" ht="25.5" customHeight="1">
      <c r="A66" s="498">
        <v>4</v>
      </c>
      <c r="B66" s="499"/>
      <c r="C66" s="117"/>
      <c r="D66" s="449"/>
      <c r="E66" s="446"/>
      <c r="F66" s="504"/>
      <c r="G66" s="505"/>
      <c r="H66" s="505"/>
      <c r="I66" s="505"/>
      <c r="J66" s="506"/>
      <c r="K66" s="507"/>
      <c r="L66" s="499"/>
      <c r="M66" s="51"/>
      <c r="N66" s="501"/>
      <c r="O66" s="501"/>
      <c r="P66" s="502"/>
      <c r="Q66" s="502"/>
      <c r="R66" s="503"/>
      <c r="S66" s="503"/>
      <c r="T66" s="503"/>
      <c r="U66" s="503"/>
      <c r="V66" s="503"/>
      <c r="W66" s="503"/>
      <c r="X66" s="503"/>
      <c r="Y66" s="503"/>
      <c r="Z66" s="503"/>
      <c r="AA66" s="503"/>
      <c r="AB66" s="492"/>
      <c r="AC66" s="492"/>
      <c r="AD66" s="493"/>
      <c r="AF66" s="50"/>
    </row>
    <row r="67" spans="1:32" ht="25.5" customHeight="1">
      <c r="A67" s="498">
        <v>5</v>
      </c>
      <c r="B67" s="499"/>
      <c r="C67" s="117"/>
      <c r="D67" s="449"/>
      <c r="E67" s="446"/>
      <c r="F67" s="504"/>
      <c r="G67" s="505"/>
      <c r="H67" s="505"/>
      <c r="I67" s="505"/>
      <c r="J67" s="506"/>
      <c r="K67" s="507"/>
      <c r="L67" s="499"/>
      <c r="M67" s="51"/>
      <c r="N67" s="501"/>
      <c r="O67" s="501"/>
      <c r="P67" s="502"/>
      <c r="Q67" s="502"/>
      <c r="R67" s="503"/>
      <c r="S67" s="503"/>
      <c r="T67" s="503"/>
      <c r="U67" s="503"/>
      <c r="V67" s="503"/>
      <c r="W67" s="503"/>
      <c r="X67" s="503"/>
      <c r="Y67" s="503"/>
      <c r="Z67" s="503"/>
      <c r="AA67" s="503"/>
      <c r="AB67" s="492"/>
      <c r="AC67" s="492"/>
      <c r="AD67" s="493"/>
      <c r="AF67" s="50"/>
    </row>
    <row r="68" spans="1:32" ht="25.5" customHeight="1">
      <c r="A68" s="498">
        <v>6</v>
      </c>
      <c r="B68" s="499"/>
      <c r="C68" s="117"/>
      <c r="D68" s="449"/>
      <c r="E68" s="446"/>
      <c r="F68" s="500"/>
      <c r="G68" s="492"/>
      <c r="H68" s="492"/>
      <c r="I68" s="492"/>
      <c r="J68" s="492"/>
      <c r="K68" s="492"/>
      <c r="L68" s="492"/>
      <c r="M68" s="51"/>
      <c r="N68" s="508"/>
      <c r="O68" s="509"/>
      <c r="P68" s="510"/>
      <c r="Q68" s="511"/>
      <c r="R68" s="503"/>
      <c r="S68" s="503"/>
      <c r="T68" s="503"/>
      <c r="U68" s="503"/>
      <c r="V68" s="503"/>
      <c r="W68" s="503"/>
      <c r="X68" s="503"/>
      <c r="Y68" s="503"/>
      <c r="Z68" s="503"/>
      <c r="AA68" s="503"/>
      <c r="AB68" s="492"/>
      <c r="AC68" s="492"/>
      <c r="AD68" s="493"/>
      <c r="AF68" s="50"/>
    </row>
    <row r="69" spans="1:32" ht="25.5" customHeight="1">
      <c r="A69" s="498">
        <v>7</v>
      </c>
      <c r="B69" s="499"/>
      <c r="C69" s="117"/>
      <c r="D69" s="449"/>
      <c r="E69" s="446"/>
      <c r="F69" s="500"/>
      <c r="G69" s="492"/>
      <c r="H69" s="492"/>
      <c r="I69" s="492"/>
      <c r="J69" s="492"/>
      <c r="K69" s="492"/>
      <c r="L69" s="492"/>
      <c r="M69" s="51"/>
      <c r="N69" s="508"/>
      <c r="O69" s="509"/>
      <c r="P69" s="510"/>
      <c r="Q69" s="511"/>
      <c r="R69" s="503"/>
      <c r="S69" s="503"/>
      <c r="T69" s="503"/>
      <c r="U69" s="503"/>
      <c r="V69" s="503"/>
      <c r="W69" s="503"/>
      <c r="X69" s="503"/>
      <c r="Y69" s="503"/>
      <c r="Z69" s="503"/>
      <c r="AA69" s="503"/>
      <c r="AB69" s="492"/>
      <c r="AC69" s="492"/>
      <c r="AD69" s="493"/>
      <c r="AF69" s="50"/>
    </row>
    <row r="70" spans="1:32" ht="25.5" customHeight="1">
      <c r="A70" s="498">
        <v>8</v>
      </c>
      <c r="B70" s="499"/>
      <c r="C70" s="117"/>
      <c r="D70" s="449"/>
      <c r="E70" s="446"/>
      <c r="F70" s="500"/>
      <c r="G70" s="492"/>
      <c r="H70" s="492"/>
      <c r="I70" s="492"/>
      <c r="J70" s="492"/>
      <c r="K70" s="492"/>
      <c r="L70" s="492"/>
      <c r="M70" s="51"/>
      <c r="N70" s="508"/>
      <c r="O70" s="509"/>
      <c r="P70" s="510"/>
      <c r="Q70" s="511"/>
      <c r="R70" s="503"/>
      <c r="S70" s="503"/>
      <c r="T70" s="503"/>
      <c r="U70" s="503"/>
      <c r="V70" s="503"/>
      <c r="W70" s="503"/>
      <c r="X70" s="503"/>
      <c r="Y70" s="503"/>
      <c r="Z70" s="503"/>
      <c r="AA70" s="503"/>
      <c r="AB70" s="492"/>
      <c r="AC70" s="492"/>
      <c r="AD70" s="493"/>
      <c r="AF70" s="50"/>
    </row>
    <row r="71" spans="1:32" ht="26.25" customHeight="1" thickBot="1">
      <c r="A71" s="472" t="s">
        <v>632</v>
      </c>
      <c r="B71" s="472"/>
      <c r="C71" s="472"/>
      <c r="D71" s="472"/>
      <c r="E71" s="47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73" t="s">
        <v>113</v>
      </c>
      <c r="B72" s="474"/>
      <c r="C72" s="448" t="s">
        <v>2</v>
      </c>
      <c r="D72" s="448" t="s">
        <v>37</v>
      </c>
      <c r="E72" s="448" t="s">
        <v>3</v>
      </c>
      <c r="F72" s="474" t="s">
        <v>38</v>
      </c>
      <c r="G72" s="474"/>
      <c r="H72" s="474"/>
      <c r="I72" s="474"/>
      <c r="J72" s="474"/>
      <c r="K72" s="494" t="s">
        <v>58</v>
      </c>
      <c r="L72" s="495"/>
      <c r="M72" s="495"/>
      <c r="N72" s="495"/>
      <c r="O72" s="495"/>
      <c r="P72" s="495"/>
      <c r="Q72" s="495"/>
      <c r="R72" s="495"/>
      <c r="S72" s="496"/>
      <c r="T72" s="474" t="s">
        <v>49</v>
      </c>
      <c r="U72" s="474"/>
      <c r="V72" s="494" t="s">
        <v>50</v>
      </c>
      <c r="W72" s="496"/>
      <c r="X72" s="495" t="s">
        <v>51</v>
      </c>
      <c r="Y72" s="495"/>
      <c r="Z72" s="495"/>
      <c r="AA72" s="495"/>
      <c r="AB72" s="495"/>
      <c r="AC72" s="495"/>
      <c r="AD72" s="497"/>
      <c r="AF72" s="50"/>
    </row>
    <row r="73" spans="1:32" ht="33.75" customHeight="1">
      <c r="A73" s="466">
        <v>1</v>
      </c>
      <c r="B73" s="467"/>
      <c r="C73" s="450" t="s">
        <v>114</v>
      </c>
      <c r="D73" s="450"/>
      <c r="E73" s="65" t="s">
        <v>119</v>
      </c>
      <c r="F73" s="481" t="s">
        <v>118</v>
      </c>
      <c r="G73" s="482"/>
      <c r="H73" s="482"/>
      <c r="I73" s="482"/>
      <c r="J73" s="483"/>
      <c r="K73" s="484" t="s">
        <v>130</v>
      </c>
      <c r="L73" s="485"/>
      <c r="M73" s="485"/>
      <c r="N73" s="485"/>
      <c r="O73" s="485"/>
      <c r="P73" s="485"/>
      <c r="Q73" s="485"/>
      <c r="R73" s="485"/>
      <c r="S73" s="486"/>
      <c r="T73" s="487">
        <v>43675</v>
      </c>
      <c r="U73" s="488"/>
      <c r="V73" s="489"/>
      <c r="W73" s="489"/>
      <c r="X73" s="490"/>
      <c r="Y73" s="490"/>
      <c r="Z73" s="490"/>
      <c r="AA73" s="490"/>
      <c r="AB73" s="490"/>
      <c r="AC73" s="490"/>
      <c r="AD73" s="491"/>
      <c r="AF73" s="50"/>
    </row>
    <row r="74" spans="1:32" ht="30" customHeight="1">
      <c r="A74" s="459">
        <f>A73+1</f>
        <v>2</v>
      </c>
      <c r="B74" s="460"/>
      <c r="C74" s="449"/>
      <c r="D74" s="449"/>
      <c r="E74" s="32"/>
      <c r="F74" s="460"/>
      <c r="G74" s="460"/>
      <c r="H74" s="460"/>
      <c r="I74" s="460"/>
      <c r="J74" s="460"/>
      <c r="K74" s="475"/>
      <c r="L74" s="476"/>
      <c r="M74" s="476"/>
      <c r="N74" s="476"/>
      <c r="O74" s="476"/>
      <c r="P74" s="476"/>
      <c r="Q74" s="476"/>
      <c r="R74" s="476"/>
      <c r="S74" s="477"/>
      <c r="T74" s="478"/>
      <c r="U74" s="478"/>
      <c r="V74" s="478"/>
      <c r="W74" s="478"/>
      <c r="X74" s="479"/>
      <c r="Y74" s="479"/>
      <c r="Z74" s="479"/>
      <c r="AA74" s="479"/>
      <c r="AB74" s="479"/>
      <c r="AC74" s="479"/>
      <c r="AD74" s="480"/>
      <c r="AF74" s="50"/>
    </row>
    <row r="75" spans="1:32" ht="30" customHeight="1">
      <c r="A75" s="459">
        <f t="shared" ref="A75:A81" si="13">A74+1</f>
        <v>3</v>
      </c>
      <c r="B75" s="460"/>
      <c r="C75" s="449"/>
      <c r="D75" s="449"/>
      <c r="E75" s="32"/>
      <c r="F75" s="460"/>
      <c r="G75" s="460"/>
      <c r="H75" s="460"/>
      <c r="I75" s="460"/>
      <c r="J75" s="460"/>
      <c r="K75" s="475"/>
      <c r="L75" s="476"/>
      <c r="M75" s="476"/>
      <c r="N75" s="476"/>
      <c r="O75" s="476"/>
      <c r="P75" s="476"/>
      <c r="Q75" s="476"/>
      <c r="R75" s="476"/>
      <c r="S75" s="477"/>
      <c r="T75" s="478"/>
      <c r="U75" s="478"/>
      <c r="V75" s="478"/>
      <c r="W75" s="478"/>
      <c r="X75" s="479"/>
      <c r="Y75" s="479"/>
      <c r="Z75" s="479"/>
      <c r="AA75" s="479"/>
      <c r="AB75" s="479"/>
      <c r="AC75" s="479"/>
      <c r="AD75" s="480"/>
      <c r="AF75" s="50"/>
    </row>
    <row r="76" spans="1:32" ht="30" customHeight="1">
      <c r="A76" s="459">
        <f t="shared" si="13"/>
        <v>4</v>
      </c>
      <c r="B76" s="460"/>
      <c r="C76" s="449"/>
      <c r="D76" s="449"/>
      <c r="E76" s="32"/>
      <c r="F76" s="460"/>
      <c r="G76" s="460"/>
      <c r="H76" s="460"/>
      <c r="I76" s="460"/>
      <c r="J76" s="460"/>
      <c r="K76" s="475"/>
      <c r="L76" s="476"/>
      <c r="M76" s="476"/>
      <c r="N76" s="476"/>
      <c r="O76" s="476"/>
      <c r="P76" s="476"/>
      <c r="Q76" s="476"/>
      <c r="R76" s="476"/>
      <c r="S76" s="477"/>
      <c r="T76" s="478"/>
      <c r="U76" s="478"/>
      <c r="V76" s="478"/>
      <c r="W76" s="478"/>
      <c r="X76" s="479"/>
      <c r="Y76" s="479"/>
      <c r="Z76" s="479"/>
      <c r="AA76" s="479"/>
      <c r="AB76" s="479"/>
      <c r="AC76" s="479"/>
      <c r="AD76" s="480"/>
      <c r="AF76" s="50"/>
    </row>
    <row r="77" spans="1:32" ht="30" customHeight="1">
      <c r="A77" s="459">
        <f t="shared" si="13"/>
        <v>5</v>
      </c>
      <c r="B77" s="460"/>
      <c r="C77" s="449"/>
      <c r="D77" s="449"/>
      <c r="E77" s="32"/>
      <c r="F77" s="460"/>
      <c r="G77" s="460"/>
      <c r="H77" s="460"/>
      <c r="I77" s="460"/>
      <c r="J77" s="460"/>
      <c r="K77" s="475"/>
      <c r="L77" s="476"/>
      <c r="M77" s="476"/>
      <c r="N77" s="476"/>
      <c r="O77" s="476"/>
      <c r="P77" s="476"/>
      <c r="Q77" s="476"/>
      <c r="R77" s="476"/>
      <c r="S77" s="477"/>
      <c r="T77" s="478"/>
      <c r="U77" s="478"/>
      <c r="V77" s="478"/>
      <c r="W77" s="478"/>
      <c r="X77" s="479"/>
      <c r="Y77" s="479"/>
      <c r="Z77" s="479"/>
      <c r="AA77" s="479"/>
      <c r="AB77" s="479"/>
      <c r="AC77" s="479"/>
      <c r="AD77" s="480"/>
      <c r="AF77" s="50"/>
    </row>
    <row r="78" spans="1:32" ht="30" customHeight="1">
      <c r="A78" s="459">
        <f t="shared" si="13"/>
        <v>6</v>
      </c>
      <c r="B78" s="460"/>
      <c r="C78" s="449"/>
      <c r="D78" s="449"/>
      <c r="E78" s="32"/>
      <c r="F78" s="460"/>
      <c r="G78" s="460"/>
      <c r="H78" s="460"/>
      <c r="I78" s="460"/>
      <c r="J78" s="460"/>
      <c r="K78" s="475"/>
      <c r="L78" s="476"/>
      <c r="M78" s="476"/>
      <c r="N78" s="476"/>
      <c r="O78" s="476"/>
      <c r="P78" s="476"/>
      <c r="Q78" s="476"/>
      <c r="R78" s="476"/>
      <c r="S78" s="477"/>
      <c r="T78" s="478"/>
      <c r="U78" s="478"/>
      <c r="V78" s="478"/>
      <c r="W78" s="478"/>
      <c r="X78" s="479"/>
      <c r="Y78" s="479"/>
      <c r="Z78" s="479"/>
      <c r="AA78" s="479"/>
      <c r="AB78" s="479"/>
      <c r="AC78" s="479"/>
      <c r="AD78" s="480"/>
      <c r="AF78" s="50"/>
    </row>
    <row r="79" spans="1:32" ht="30" customHeight="1">
      <c r="A79" s="459">
        <f t="shared" si="13"/>
        <v>7</v>
      </c>
      <c r="B79" s="460"/>
      <c r="C79" s="449"/>
      <c r="D79" s="449"/>
      <c r="E79" s="32"/>
      <c r="F79" s="460"/>
      <c r="G79" s="460"/>
      <c r="H79" s="460"/>
      <c r="I79" s="460"/>
      <c r="J79" s="460"/>
      <c r="K79" s="475"/>
      <c r="L79" s="476"/>
      <c r="M79" s="476"/>
      <c r="N79" s="476"/>
      <c r="O79" s="476"/>
      <c r="P79" s="476"/>
      <c r="Q79" s="476"/>
      <c r="R79" s="476"/>
      <c r="S79" s="477"/>
      <c r="T79" s="478"/>
      <c r="U79" s="478"/>
      <c r="V79" s="478"/>
      <c r="W79" s="478"/>
      <c r="X79" s="479"/>
      <c r="Y79" s="479"/>
      <c r="Z79" s="479"/>
      <c r="AA79" s="479"/>
      <c r="AB79" s="479"/>
      <c r="AC79" s="479"/>
      <c r="AD79" s="480"/>
      <c r="AF79" s="50"/>
    </row>
    <row r="80" spans="1:32" ht="30" customHeight="1">
      <c r="A80" s="459">
        <f t="shared" si="13"/>
        <v>8</v>
      </c>
      <c r="B80" s="460"/>
      <c r="C80" s="449"/>
      <c r="D80" s="449"/>
      <c r="E80" s="32"/>
      <c r="F80" s="460"/>
      <c r="G80" s="460"/>
      <c r="H80" s="460"/>
      <c r="I80" s="460"/>
      <c r="J80" s="460"/>
      <c r="K80" s="475"/>
      <c r="L80" s="476"/>
      <c r="M80" s="476"/>
      <c r="N80" s="476"/>
      <c r="O80" s="476"/>
      <c r="P80" s="476"/>
      <c r="Q80" s="476"/>
      <c r="R80" s="476"/>
      <c r="S80" s="477"/>
      <c r="T80" s="478"/>
      <c r="U80" s="478"/>
      <c r="V80" s="478"/>
      <c r="W80" s="478"/>
      <c r="X80" s="479"/>
      <c r="Y80" s="479"/>
      <c r="Z80" s="479"/>
      <c r="AA80" s="479"/>
      <c r="AB80" s="479"/>
      <c r="AC80" s="479"/>
      <c r="AD80" s="480"/>
      <c r="AF80" s="50"/>
    </row>
    <row r="81" spans="1:32" ht="30" customHeight="1">
      <c r="A81" s="459">
        <f t="shared" si="13"/>
        <v>9</v>
      </c>
      <c r="B81" s="460"/>
      <c r="C81" s="449"/>
      <c r="D81" s="449"/>
      <c r="E81" s="32"/>
      <c r="F81" s="460"/>
      <c r="G81" s="460"/>
      <c r="H81" s="460"/>
      <c r="I81" s="460"/>
      <c r="J81" s="460"/>
      <c r="K81" s="475"/>
      <c r="L81" s="476"/>
      <c r="M81" s="476"/>
      <c r="N81" s="476"/>
      <c r="O81" s="476"/>
      <c r="P81" s="476"/>
      <c r="Q81" s="476"/>
      <c r="R81" s="476"/>
      <c r="S81" s="477"/>
      <c r="T81" s="478"/>
      <c r="U81" s="478"/>
      <c r="V81" s="478"/>
      <c r="W81" s="478"/>
      <c r="X81" s="479"/>
      <c r="Y81" s="479"/>
      <c r="Z81" s="479"/>
      <c r="AA81" s="479"/>
      <c r="AB81" s="479"/>
      <c r="AC81" s="479"/>
      <c r="AD81" s="480"/>
      <c r="AF81" s="50"/>
    </row>
    <row r="82" spans="1:32" ht="36" thickBot="1">
      <c r="A82" s="472" t="s">
        <v>633</v>
      </c>
      <c r="B82" s="472"/>
      <c r="C82" s="472"/>
      <c r="D82" s="472"/>
      <c r="E82" s="47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73" t="s">
        <v>113</v>
      </c>
      <c r="B83" s="474"/>
      <c r="C83" s="464" t="s">
        <v>52</v>
      </c>
      <c r="D83" s="464"/>
      <c r="E83" s="464" t="s">
        <v>53</v>
      </c>
      <c r="F83" s="464"/>
      <c r="G83" s="464"/>
      <c r="H83" s="464"/>
      <c r="I83" s="464"/>
      <c r="J83" s="464"/>
      <c r="K83" s="464" t="s">
        <v>54</v>
      </c>
      <c r="L83" s="464"/>
      <c r="M83" s="464"/>
      <c r="N83" s="464"/>
      <c r="O83" s="464"/>
      <c r="P83" s="464"/>
      <c r="Q83" s="464"/>
      <c r="R83" s="464"/>
      <c r="S83" s="464"/>
      <c r="T83" s="464" t="s">
        <v>55</v>
      </c>
      <c r="U83" s="464"/>
      <c r="V83" s="464" t="s">
        <v>56</v>
      </c>
      <c r="W83" s="464"/>
      <c r="X83" s="464"/>
      <c r="Y83" s="464" t="s">
        <v>51</v>
      </c>
      <c r="Z83" s="464"/>
      <c r="AA83" s="464"/>
      <c r="AB83" s="464"/>
      <c r="AC83" s="464"/>
      <c r="AD83" s="465"/>
      <c r="AF83" s="50"/>
    </row>
    <row r="84" spans="1:32" ht="30.75" customHeight="1">
      <c r="A84" s="466">
        <v>1</v>
      </c>
      <c r="B84" s="467"/>
      <c r="C84" s="468"/>
      <c r="D84" s="468"/>
      <c r="E84" s="468"/>
      <c r="F84" s="468"/>
      <c r="G84" s="468"/>
      <c r="H84" s="468"/>
      <c r="I84" s="468"/>
      <c r="J84" s="468"/>
      <c r="K84" s="468"/>
      <c r="L84" s="468"/>
      <c r="M84" s="468"/>
      <c r="N84" s="468"/>
      <c r="O84" s="468"/>
      <c r="P84" s="468"/>
      <c r="Q84" s="468"/>
      <c r="R84" s="468"/>
      <c r="S84" s="468"/>
      <c r="T84" s="468"/>
      <c r="U84" s="468"/>
      <c r="V84" s="469"/>
      <c r="W84" s="469"/>
      <c r="X84" s="469"/>
      <c r="Y84" s="470"/>
      <c r="Z84" s="470"/>
      <c r="AA84" s="470"/>
      <c r="AB84" s="470"/>
      <c r="AC84" s="470"/>
      <c r="AD84" s="471"/>
      <c r="AF84" s="50"/>
    </row>
    <row r="85" spans="1:32" ht="30.75" customHeight="1">
      <c r="A85" s="459">
        <v>2</v>
      </c>
      <c r="B85" s="460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2"/>
      <c r="Z85" s="452"/>
      <c r="AA85" s="452"/>
      <c r="AB85" s="452"/>
      <c r="AC85" s="452"/>
      <c r="AD85" s="453"/>
      <c r="AF85" s="50"/>
    </row>
    <row r="86" spans="1:32" ht="30.75" customHeight="1" thickBot="1">
      <c r="A86" s="454">
        <v>3</v>
      </c>
      <c r="B86" s="455"/>
      <c r="C86" s="456"/>
      <c r="D86" s="456"/>
      <c r="E86" s="456"/>
      <c r="F86" s="456"/>
      <c r="G86" s="456"/>
      <c r="H86" s="456"/>
      <c r="I86" s="456"/>
      <c r="J86" s="456"/>
      <c r="K86" s="456"/>
      <c r="L86" s="456"/>
      <c r="M86" s="456"/>
      <c r="N86" s="456"/>
      <c r="O86" s="456"/>
      <c r="P86" s="456"/>
      <c r="Q86" s="456"/>
      <c r="R86" s="456"/>
      <c r="S86" s="456"/>
      <c r="T86" s="456"/>
      <c r="U86" s="456"/>
      <c r="V86" s="456"/>
      <c r="W86" s="456"/>
      <c r="X86" s="456"/>
      <c r="Y86" s="457"/>
      <c r="Z86" s="457"/>
      <c r="AA86" s="457"/>
      <c r="AB86" s="457"/>
      <c r="AC86" s="457"/>
      <c r="AD86" s="458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30</vt:i4>
      </vt:variant>
      <vt:variant>
        <vt:lpstr>이름 지정된 범위</vt:lpstr>
      </vt:variant>
      <vt:variant>
        <vt:i4>58</vt:i4>
      </vt:variant>
    </vt:vector>
  </HeadingPairs>
  <TitlesOfParts>
    <vt:vector size="88" baseType="lpstr">
      <vt:lpstr>총괄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25</vt:lpstr>
      <vt:lpstr>26</vt:lpstr>
      <vt:lpstr>27</vt:lpstr>
      <vt:lpstr>28</vt:lpstr>
      <vt:lpstr>29</vt:lpstr>
      <vt:lpstr>30</vt:lpstr>
      <vt:lpstr>'01'!Print_Area</vt:lpstr>
      <vt:lpstr>'02'!Print_Area</vt:lpstr>
      <vt:lpstr>'03'!Print_Area</vt:lpstr>
      <vt:lpstr>'04'!Print_Area</vt:lpstr>
      <vt:lpstr>'05'!Print_Area</vt:lpstr>
      <vt:lpstr>'06'!Print_Area</vt:lpstr>
      <vt:lpstr>'07'!Print_Area</vt:lpstr>
      <vt:lpstr>'08'!Print_Area</vt:lpstr>
      <vt:lpstr>'09'!Print_Area</vt:lpstr>
      <vt:lpstr>'10'!Print_Area</vt:lpstr>
      <vt:lpstr>'11'!Print_Area</vt:lpstr>
      <vt:lpstr>'12'!Print_Area</vt:lpstr>
      <vt:lpstr>'13'!Print_Area</vt:lpstr>
      <vt:lpstr>'14'!Print_Area</vt:lpstr>
      <vt:lpstr>'15'!Print_Area</vt:lpstr>
      <vt:lpstr>'16'!Print_Area</vt:lpstr>
      <vt:lpstr>'17'!Print_Area</vt:lpstr>
      <vt:lpstr>'18'!Print_Area</vt:lpstr>
      <vt:lpstr>'19'!Print_Area</vt:lpstr>
      <vt:lpstr>'20'!Print_Area</vt:lpstr>
      <vt:lpstr>'21'!Print_Area</vt:lpstr>
      <vt:lpstr>'22'!Print_Area</vt:lpstr>
      <vt:lpstr>'23'!Print_Area</vt:lpstr>
      <vt:lpstr>'25'!Print_Area</vt:lpstr>
      <vt:lpstr>'26'!Print_Area</vt:lpstr>
      <vt:lpstr>'27'!Print_Area</vt:lpstr>
      <vt:lpstr>'28'!Print_Area</vt:lpstr>
      <vt:lpstr>'29'!Print_Area</vt:lpstr>
      <vt:lpstr>'30'!Print_Area</vt:lpstr>
      <vt:lpstr>'01'!ㅁ1</vt:lpstr>
      <vt:lpstr>'02'!ㅁ1</vt:lpstr>
      <vt:lpstr>'03'!ㅁ1</vt:lpstr>
      <vt:lpstr>'04'!ㅁ1</vt:lpstr>
      <vt:lpstr>'05'!ㅁ1</vt:lpstr>
      <vt:lpstr>'06'!ㅁ1</vt:lpstr>
      <vt:lpstr>'07'!ㅁ1</vt:lpstr>
      <vt:lpstr>'08'!ㅁ1</vt:lpstr>
      <vt:lpstr>'09'!ㅁ1</vt:lpstr>
      <vt:lpstr>'10'!ㅁ1</vt:lpstr>
      <vt:lpstr>'11'!ㅁ1</vt:lpstr>
      <vt:lpstr>'12'!ㅁ1</vt:lpstr>
      <vt:lpstr>'13'!ㅁ1</vt:lpstr>
      <vt:lpstr>'14'!ㅁ1</vt:lpstr>
      <vt:lpstr>'15'!ㅁ1</vt:lpstr>
      <vt:lpstr>'16'!ㅁ1</vt:lpstr>
      <vt:lpstr>'17'!ㅁ1</vt:lpstr>
      <vt:lpstr>'18'!ㅁ1</vt:lpstr>
      <vt:lpstr>'19'!ㅁ1</vt:lpstr>
      <vt:lpstr>'20'!ㅁ1</vt:lpstr>
      <vt:lpstr>'21'!ㅁ1</vt:lpstr>
      <vt:lpstr>'22'!ㅁ1</vt:lpstr>
      <vt:lpstr>'23'!ㅁ1</vt:lpstr>
      <vt:lpstr>'25'!ㅁ1</vt:lpstr>
      <vt:lpstr>'26'!ㅁ1</vt:lpstr>
      <vt:lpstr>'27'!ㅁ1</vt:lpstr>
      <vt:lpstr>'28'!ㅁ1</vt:lpstr>
      <vt:lpstr>'29'!ㅁ1</vt:lpstr>
      <vt:lpstr>'30'!ㅁ1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2019-10-24T15:57:38Z</cp:lastPrinted>
  <dcterms:created xsi:type="dcterms:W3CDTF">2014-05-16T00:06:55Z</dcterms:created>
  <dcterms:modified xsi:type="dcterms:W3CDTF">2019-12-01T05:55:43Z</dcterms:modified>
</cp:coreProperties>
</file>